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E:\UMV\Riesgos 2023\"/>
    </mc:Choice>
  </mc:AlternateContent>
  <xr:revisionPtr revIDLastSave="0" documentId="13_ncr:1_{819E2275-EF9B-4B38-8712-AFE8CE9E12EA}" xr6:coauthVersionLast="47" xr6:coauthVersionMax="47" xr10:uidLastSave="{00000000-0000-0000-0000-000000000000}"/>
  <bookViews>
    <workbookView xWindow="-120" yWindow="-120" windowWidth="29040" windowHeight="15840" tabRatio="933" activeTab="8" xr2:uid="{00000000-000D-0000-FFFF-FFFF00000000}"/>
  </bookViews>
  <sheets>
    <sheet name="Intructivo" sheetId="20" r:id="rId1"/>
    <sheet name="Revisión DOFA" sheetId="21" state="hidden" r:id="rId2"/>
    <sheet name="Listas" sheetId="16" state="hidden" r:id="rId3"/>
    <sheet name="Riesgos de Gestión" sheetId="1" r:id="rId4"/>
    <sheet name="Matriz Calor Inherente" sheetId="18" r:id="rId5"/>
    <sheet name="Matriz Calor Residual" sheetId="19" r:id="rId6"/>
    <sheet name="Riesgos de Corrupción" sheetId="31" r:id="rId7"/>
    <sheet name="Impacto Corrupción " sheetId="22" r:id="rId8"/>
    <sheet name="Riesgos de Seguridad" sheetId="32" r:id="rId9"/>
    <sheet name="Tabla probabilidad" sheetId="12" r:id="rId10"/>
    <sheet name="Tabla Impacto" sheetId="13" r:id="rId11"/>
    <sheet name="Tipo de riesgos" sheetId="23" r:id="rId12"/>
    <sheet name="Amenazas" sheetId="28" r:id="rId13"/>
    <sheet name="Ejemplos de riesgos" sheetId="26" r:id="rId14"/>
    <sheet name="Tabla Valoración controles" sheetId="15" r:id="rId15"/>
    <sheet name="Hoja1" sheetId="11" state="hidden" r:id="rId16"/>
  </sheets>
  <externalReferences>
    <externalReference r:id="rId17"/>
    <externalReference r:id="rId18"/>
    <externalReference r:id="rId19"/>
  </externalReferences>
  <definedNames>
    <definedName name="_xlnm.Print_Area" localSheetId="7">'Impacto Corrupción '!$A$1:$G$26</definedName>
    <definedName name="_xlnm.Print_Area" localSheetId="6">'Riesgos de Corrupción'!$A$1:$AR$66</definedName>
    <definedName name="_xlnm.Print_Area" localSheetId="3">'Riesgos de Gestión'!$A$1:$AR$76</definedName>
    <definedName name="_xlnm.Print_Area" localSheetId="8">'Riesgos de Seguridad'!$A$1:$AV$24</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7">#REF!</definedName>
    <definedName name="impactoco">#REF!</definedName>
    <definedName name="infraestructura">#REF!</definedName>
    <definedName name="interno">#REF!</definedName>
    <definedName name="macroprocesos">#REF!</definedName>
    <definedName name="medio_ambientales">#REF!</definedName>
    <definedName name="opciondelriesgo" localSheetId="7">[1]FORMULAS!$K$4:$K$7</definedName>
    <definedName name="opciondelriesgo">[2]FORMULAS!$K$4:$K$7</definedName>
    <definedName name="personal">#REF!</definedName>
    <definedName name="políticos">#REF!</definedName>
    <definedName name="probabilidad" localSheetId="7">#REF!</definedName>
    <definedName name="probabilidad">[2]FORMULAS!$G$4:$G$8</definedName>
    <definedName name="proceso">#REF!</definedName>
    <definedName name="procesos" localSheetId="7">#REF!</definedName>
    <definedName name="procesos">[2]FORMULAS!$B$4:$B$21</definedName>
    <definedName name="sociales">#REF!</definedName>
    <definedName name="tecnología">#REF!</definedName>
    <definedName name="tecnológicos">#REF!</definedName>
    <definedName name="tipo_de_amenaza" localSheetId="7">[1]FORMULAS!$E$4:$E$11</definedName>
    <definedName name="tipo_de_amenaza">[2]FORMULAS!$E$4:$E$11</definedName>
    <definedName name="tipo_de_riesgos" localSheetId="7">[1]FORMULAS!$C$4:$C$6</definedName>
    <definedName name="tipo_de_riesgos">[2]FORMULAS!$C$4:$C$6</definedName>
    <definedName name="_xlnm.Print_Titles" localSheetId="6">'Riesgos de Corrupción'!$1:$8</definedName>
    <definedName name="_xlnm.Print_Titles" localSheetId="3">'Riesgos de Gestión'!$1:$8</definedName>
    <definedName name="_xlnm.Print_Titles" localSheetId="8">'Riesgos de Seguridad'!$1:$8</definedName>
  </definedNames>
  <calcPr calcId="191029"/>
  <pivotCaches>
    <pivotCache cacheId="11" r:id="rId2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72" i="32" l="1"/>
  <c r="AB72" i="32"/>
  <c r="V72" i="32"/>
  <c r="AE71" i="32"/>
  <c r="AB71" i="32"/>
  <c r="AM72" i="32" s="1"/>
  <c r="AL72" i="32" s="1"/>
  <c r="V71" i="32"/>
  <c r="AE70" i="32"/>
  <c r="AB70" i="32"/>
  <c r="V70" i="32"/>
  <c r="AE69" i="32"/>
  <c r="AB69" i="32"/>
  <c r="V69" i="32"/>
  <c r="AE68" i="32"/>
  <c r="AB68" i="32"/>
  <c r="V68" i="32"/>
  <c r="AE67" i="32"/>
  <c r="AB67" i="32"/>
  <c r="S67" i="32"/>
  <c r="T67" i="32" s="1"/>
  <c r="AE66" i="32"/>
  <c r="AB66" i="32"/>
  <c r="V66" i="32"/>
  <c r="AE65" i="32"/>
  <c r="AB65" i="32"/>
  <c r="V65" i="32"/>
  <c r="AE64" i="32"/>
  <c r="AB64" i="32"/>
  <c r="AI65" i="32" s="1"/>
  <c r="V64" i="32"/>
  <c r="AM63" i="32"/>
  <c r="AL63" i="32" s="1"/>
  <c r="AE63" i="32"/>
  <c r="AB63" i="32"/>
  <c r="V63" i="32"/>
  <c r="AE62" i="32"/>
  <c r="AB62" i="32"/>
  <c r="V62" i="32"/>
  <c r="AE61" i="32"/>
  <c r="AB61" i="32"/>
  <c r="AM62" i="32" s="1"/>
  <c r="AL62" i="32" s="1"/>
  <c r="S61" i="32"/>
  <c r="AE60" i="32"/>
  <c r="AB60" i="32"/>
  <c r="V60" i="32"/>
  <c r="AE59" i="32"/>
  <c r="AB59" i="32"/>
  <c r="V59" i="32"/>
  <c r="AE58" i="32"/>
  <c r="AB58" i="32"/>
  <c r="V58" i="32"/>
  <c r="AE57" i="32"/>
  <c r="AB57" i="32"/>
  <c r="V57" i="32"/>
  <c r="AE56" i="32"/>
  <c r="AB56" i="32"/>
  <c r="V56" i="32"/>
  <c r="AE55" i="32"/>
  <c r="AB55" i="32"/>
  <c r="AM55" i="32" s="1"/>
  <c r="AL55" i="32" s="1"/>
  <c r="S55" i="32"/>
  <c r="AE54" i="32"/>
  <c r="AB54" i="32"/>
  <c r="V54" i="32"/>
  <c r="AE53" i="32"/>
  <c r="AB53" i="32"/>
  <c r="AI54" i="32" s="1"/>
  <c r="AK54" i="32" s="1"/>
  <c r="V53" i="32"/>
  <c r="AE52" i="32"/>
  <c r="AB52" i="32"/>
  <c r="V52" i="32"/>
  <c r="AE51" i="32"/>
  <c r="AB51" i="32"/>
  <c r="V51" i="32"/>
  <c r="AE50" i="32"/>
  <c r="AB50" i="32"/>
  <c r="AI51" i="32" s="1"/>
  <c r="V50" i="32"/>
  <c r="AE49" i="32"/>
  <c r="AB49" i="32"/>
  <c r="AM49" i="32" s="1"/>
  <c r="AL49" i="32" s="1"/>
  <c r="S49" i="32"/>
  <c r="T49" i="32" s="1"/>
  <c r="AE48" i="32"/>
  <c r="AB48" i="32"/>
  <c r="V48" i="32"/>
  <c r="AE47" i="32"/>
  <c r="AB47" i="32"/>
  <c r="V47" i="32"/>
  <c r="AE46" i="32"/>
  <c r="AB46" i="32"/>
  <c r="AM47" i="32" s="1"/>
  <c r="AL47" i="32" s="1"/>
  <c r="V46" i="32"/>
  <c r="AE45" i="32"/>
  <c r="AB45" i="32"/>
  <c r="AM46" i="32" s="1"/>
  <c r="AL46" i="32" s="1"/>
  <c r="V45" i="32"/>
  <c r="AE44" i="32"/>
  <c r="AB44" i="32"/>
  <c r="V44" i="32"/>
  <c r="AE43" i="32"/>
  <c r="AB43" i="32"/>
  <c r="AI43" i="32" s="1"/>
  <c r="AJ43" i="32" s="1"/>
  <c r="S43" i="32"/>
  <c r="AE42" i="32"/>
  <c r="AB42" i="32"/>
  <c r="V42" i="32"/>
  <c r="AE41" i="32"/>
  <c r="AB41" i="32"/>
  <c r="V41" i="32"/>
  <c r="AE40" i="32"/>
  <c r="AB40" i="32"/>
  <c r="V40" i="32"/>
  <c r="AE39" i="32"/>
  <c r="AB39" i="32"/>
  <c r="V39" i="32"/>
  <c r="AE38" i="32"/>
  <c r="AB38" i="32"/>
  <c r="AI39" i="32" s="1"/>
  <c r="AK39" i="32" s="1"/>
  <c r="V38" i="32"/>
  <c r="AE37" i="32"/>
  <c r="AB37" i="32"/>
  <c r="AI37" i="32" s="1"/>
  <c r="S37" i="32"/>
  <c r="T37" i="32" s="1"/>
  <c r="AM36" i="32"/>
  <c r="AL36" i="32" s="1"/>
  <c r="AE36" i="32"/>
  <c r="AB36" i="32"/>
  <c r="V36" i="32"/>
  <c r="AE35" i="32"/>
  <c r="AB35" i="32"/>
  <c r="AI36" i="32" s="1"/>
  <c r="AK36" i="32" s="1"/>
  <c r="V35" i="32"/>
  <c r="AE34" i="32"/>
  <c r="AB34" i="32"/>
  <c r="AI35" i="32" s="1"/>
  <c r="AK35" i="32" s="1"/>
  <c r="V34" i="32"/>
  <c r="AE33" i="32"/>
  <c r="AB33" i="32"/>
  <c r="V33" i="32"/>
  <c r="AE32" i="32"/>
  <c r="AB32" i="32"/>
  <c r="V32" i="32"/>
  <c r="AE31" i="32"/>
  <c r="AB31" i="32"/>
  <c r="AM31" i="32" s="1"/>
  <c r="AL31" i="32" s="1"/>
  <c r="S31" i="32"/>
  <c r="T31" i="32" s="1"/>
  <c r="AE30" i="32"/>
  <c r="AB30" i="32"/>
  <c r="V30" i="32"/>
  <c r="AE29" i="32"/>
  <c r="AB29" i="32"/>
  <c r="V29" i="32"/>
  <c r="AE28" i="32"/>
  <c r="AB28" i="32"/>
  <c r="AM29" i="32" s="1"/>
  <c r="AL29" i="32" s="1"/>
  <c r="V28" i="32"/>
  <c r="AE27" i="32"/>
  <c r="AB27" i="32"/>
  <c r="V27" i="32"/>
  <c r="AE26" i="32"/>
  <c r="AB26" i="32"/>
  <c r="V26" i="32"/>
  <c r="AE25" i="32"/>
  <c r="AB25" i="32"/>
  <c r="S25" i="32"/>
  <c r="AE24" i="32"/>
  <c r="AB24" i="32"/>
  <c r="V24" i="32"/>
  <c r="AE23" i="32"/>
  <c r="AB23" i="32"/>
  <c r="AM24" i="32" s="1"/>
  <c r="AL24" i="32" s="1"/>
  <c r="V23" i="32"/>
  <c r="AE22" i="32"/>
  <c r="AB22" i="32"/>
  <c r="V22" i="32"/>
  <c r="AE21" i="32"/>
  <c r="AB21" i="32"/>
  <c r="V21" i="32"/>
  <c r="AE20" i="32"/>
  <c r="AB20" i="32"/>
  <c r="V20" i="32"/>
  <c r="AE19" i="32"/>
  <c r="AB19" i="32"/>
  <c r="AM19" i="32" s="1"/>
  <c r="AL19" i="32" s="1"/>
  <c r="S19" i="32"/>
  <c r="T19" i="32" s="1"/>
  <c r="AE18" i="32"/>
  <c r="AB18" i="32"/>
  <c r="V18" i="32"/>
  <c r="AE17" i="32"/>
  <c r="AB17" i="32"/>
  <c r="AM18" i="32" s="1"/>
  <c r="AL18" i="32" s="1"/>
  <c r="V17" i="32"/>
  <c r="AE16" i="32"/>
  <c r="AB16" i="32"/>
  <c r="V16" i="32"/>
  <c r="AE15" i="32"/>
  <c r="AB15" i="32"/>
  <c r="V15" i="32"/>
  <c r="AE14" i="32"/>
  <c r="AB14" i="32"/>
  <c r="V14" i="32"/>
  <c r="AE13" i="32"/>
  <c r="AB13" i="32"/>
  <c r="S13" i="32"/>
  <c r="AA72" i="31"/>
  <c r="X72" i="31"/>
  <c r="R72" i="31"/>
  <c r="AA71" i="31"/>
  <c r="X71" i="31"/>
  <c r="R71" i="31"/>
  <c r="AA70" i="31"/>
  <c r="X70" i="31"/>
  <c r="R70" i="31"/>
  <c r="AA69" i="31"/>
  <c r="X69" i="31"/>
  <c r="AI70" i="31" s="1"/>
  <c r="AH70" i="31" s="1"/>
  <c r="R69" i="31"/>
  <c r="AA68" i="31"/>
  <c r="X68" i="31"/>
  <c r="R68" i="31"/>
  <c r="AA67" i="31"/>
  <c r="X67" i="31"/>
  <c r="AE68" i="31" s="1"/>
  <c r="AF68" i="31" s="1"/>
  <c r="O67" i="31"/>
  <c r="P67" i="31" s="1"/>
  <c r="AA66" i="31"/>
  <c r="X66" i="31"/>
  <c r="R66" i="31"/>
  <c r="AA65" i="31"/>
  <c r="X65" i="31"/>
  <c r="R65" i="31"/>
  <c r="AI64" i="31"/>
  <c r="AH64" i="31" s="1"/>
  <c r="AA64" i="31"/>
  <c r="X64" i="31"/>
  <c r="R64" i="31"/>
  <c r="AA63" i="31"/>
  <c r="X63" i="31"/>
  <c r="AE64" i="31" s="1"/>
  <c r="R63" i="31"/>
  <c r="AA62" i="31"/>
  <c r="X62" i="31"/>
  <c r="AI63" i="31" s="1"/>
  <c r="AH63" i="31" s="1"/>
  <c r="R62" i="31"/>
  <c r="AA61" i="31"/>
  <c r="X61" i="31"/>
  <c r="O61" i="31"/>
  <c r="P61" i="31" s="1"/>
  <c r="AA60" i="31"/>
  <c r="X60" i="31"/>
  <c r="R60" i="31"/>
  <c r="AA59" i="31"/>
  <c r="X59" i="31"/>
  <c r="R59" i="31"/>
  <c r="AA58" i="31"/>
  <c r="X58" i="31"/>
  <c r="R58" i="31"/>
  <c r="AA57" i="31"/>
  <c r="X57" i="31"/>
  <c r="AE58" i="31" s="1"/>
  <c r="R57" i="31"/>
  <c r="AA56" i="31"/>
  <c r="X56" i="31"/>
  <c r="R56" i="31"/>
  <c r="AA55" i="31"/>
  <c r="X55" i="31"/>
  <c r="O55" i="31"/>
  <c r="AA54" i="31"/>
  <c r="X54" i="31"/>
  <c r="R54" i="31"/>
  <c r="AA53" i="31"/>
  <c r="X53" i="31"/>
  <c r="R53" i="31"/>
  <c r="AA52" i="31"/>
  <c r="X52" i="31"/>
  <c r="AE52" i="31" s="1"/>
  <c r="AG52" i="31" s="1"/>
  <c r="R52" i="31"/>
  <c r="AA51" i="31"/>
  <c r="X51" i="31"/>
  <c r="R51" i="31"/>
  <c r="AA50" i="31"/>
  <c r="X50" i="31"/>
  <c r="AE51" i="31" s="1"/>
  <c r="AF51" i="31" s="1"/>
  <c r="R50" i="31"/>
  <c r="AA49" i="31"/>
  <c r="X49" i="31"/>
  <c r="AI49" i="31" s="1"/>
  <c r="AH49" i="31" s="1"/>
  <c r="O49" i="31"/>
  <c r="P49" i="31" s="1"/>
  <c r="AA48" i="31"/>
  <c r="X48" i="31"/>
  <c r="R48" i="31"/>
  <c r="AA47" i="31"/>
  <c r="X47" i="31"/>
  <c r="AE48" i="31" s="1"/>
  <c r="AF48" i="31" s="1"/>
  <c r="R47" i="31"/>
  <c r="AA46" i="31"/>
  <c r="X46" i="31"/>
  <c r="R46" i="31"/>
  <c r="AA45" i="31"/>
  <c r="X45" i="31"/>
  <c r="R45" i="31"/>
  <c r="AA44" i="31"/>
  <c r="X44" i="31"/>
  <c r="R44" i="31"/>
  <c r="AA43" i="31"/>
  <c r="X43" i="31"/>
  <c r="AI43" i="31" s="1"/>
  <c r="AH43" i="31" s="1"/>
  <c r="O43" i="31"/>
  <c r="P43" i="31" s="1"/>
  <c r="AA42" i="31"/>
  <c r="X42" i="31"/>
  <c r="R42" i="31"/>
  <c r="AA41" i="31"/>
  <c r="X41" i="31"/>
  <c r="R41" i="31"/>
  <c r="AA40" i="31"/>
  <c r="X40" i="31"/>
  <c r="R40" i="31"/>
  <c r="AA39" i="31"/>
  <c r="X39" i="31"/>
  <c r="R39" i="31"/>
  <c r="AA38" i="31"/>
  <c r="X38" i="31"/>
  <c r="R38" i="31"/>
  <c r="AA37" i="31"/>
  <c r="X37" i="31"/>
  <c r="AI38" i="31" s="1"/>
  <c r="AH38" i="31" s="1"/>
  <c r="O37" i="31"/>
  <c r="AA36" i="31"/>
  <c r="X36" i="31"/>
  <c r="R36" i="31"/>
  <c r="AA35" i="31"/>
  <c r="X35" i="31"/>
  <c r="R35" i="31"/>
  <c r="AA34" i="31"/>
  <c r="X34" i="31"/>
  <c r="R34" i="31"/>
  <c r="AA33" i="31"/>
  <c r="X33" i="31"/>
  <c r="R33" i="31"/>
  <c r="AA32" i="31"/>
  <c r="X32" i="31"/>
  <c r="R32" i="31"/>
  <c r="AA31" i="31"/>
  <c r="X31" i="31"/>
  <c r="AE31" i="31" s="1"/>
  <c r="O31" i="31"/>
  <c r="P31" i="31" s="1"/>
  <c r="AA30" i="31"/>
  <c r="X30" i="31"/>
  <c r="R30" i="31"/>
  <c r="AA29" i="31"/>
  <c r="X29" i="31"/>
  <c r="AE30" i="31" s="1"/>
  <c r="AG30" i="31" s="1"/>
  <c r="R29" i="31"/>
  <c r="AA28" i="31"/>
  <c r="X28" i="31"/>
  <c r="R28" i="31"/>
  <c r="AA27" i="31"/>
  <c r="X27" i="31"/>
  <c r="R27" i="31"/>
  <c r="AA26" i="31"/>
  <c r="X26" i="31"/>
  <c r="R26" i="31"/>
  <c r="AA25" i="31"/>
  <c r="X25" i="31"/>
  <c r="O25" i="31"/>
  <c r="P25" i="31" s="1"/>
  <c r="AA24" i="31"/>
  <c r="X24" i="31"/>
  <c r="R24" i="31"/>
  <c r="AA23" i="31"/>
  <c r="X23" i="31"/>
  <c r="AE24" i="31" s="1"/>
  <c r="R23" i="31"/>
  <c r="AA22" i="31"/>
  <c r="X22" i="31"/>
  <c r="R22" i="31"/>
  <c r="AA21" i="31"/>
  <c r="X21" i="31"/>
  <c r="R21" i="31"/>
  <c r="AA20" i="31"/>
  <c r="X20" i="31"/>
  <c r="R20" i="31"/>
  <c r="AA19" i="31"/>
  <c r="X19" i="31"/>
  <c r="AI19" i="31" s="1"/>
  <c r="AH19" i="31" s="1"/>
  <c r="O19" i="31"/>
  <c r="P19" i="31" s="1"/>
  <c r="AA18" i="31"/>
  <c r="X18" i="31"/>
  <c r="R18" i="31"/>
  <c r="AA17" i="31"/>
  <c r="X17" i="31"/>
  <c r="R17" i="31"/>
  <c r="AA16" i="31"/>
  <c r="X16" i="31"/>
  <c r="R16" i="31"/>
  <c r="AA15" i="31"/>
  <c r="X15" i="31"/>
  <c r="R15" i="31"/>
  <c r="AA14" i="31"/>
  <c r="X14" i="31"/>
  <c r="R14" i="31"/>
  <c r="AA13" i="31"/>
  <c r="X13" i="31"/>
  <c r="O13" i="31"/>
  <c r="P13" i="31" s="1"/>
  <c r="AI31" i="31" l="1"/>
  <c r="AH31" i="31" s="1"/>
  <c r="AI27" i="31"/>
  <c r="AH27" i="31" s="1"/>
  <c r="AE33" i="31"/>
  <c r="AE41" i="31"/>
  <c r="AI69" i="31"/>
  <c r="AH69" i="31" s="1"/>
  <c r="AM17" i="32"/>
  <c r="AL17" i="32" s="1"/>
  <c r="AI48" i="32"/>
  <c r="AI53" i="32"/>
  <c r="AK53" i="32" s="1"/>
  <c r="AI45" i="31"/>
  <c r="AH45" i="31" s="1"/>
  <c r="AI36" i="31"/>
  <c r="AH36" i="31" s="1"/>
  <c r="AI52" i="31"/>
  <c r="AH52" i="31" s="1"/>
  <c r="AI57" i="31"/>
  <c r="AH57" i="31" s="1"/>
  <c r="AI58" i="31"/>
  <c r="AH58" i="31" s="1"/>
  <c r="AE66" i="31"/>
  <c r="AG66" i="31" s="1"/>
  <c r="AE72" i="31"/>
  <c r="AM28" i="32"/>
  <c r="AL28" i="32" s="1"/>
  <c r="AE20" i="31"/>
  <c r="AF20" i="31" s="1"/>
  <c r="AE65" i="31"/>
  <c r="AF65" i="31" s="1"/>
  <c r="AM69" i="32"/>
  <c r="AL69" i="32" s="1"/>
  <c r="AE67" i="31"/>
  <c r="AF67" i="31" s="1"/>
  <c r="AI48" i="31"/>
  <c r="AH48" i="31" s="1"/>
  <c r="AI22" i="31"/>
  <c r="AH22" i="31" s="1"/>
  <c r="AI28" i="31"/>
  <c r="AH28" i="31" s="1"/>
  <c r="AE35" i="31"/>
  <c r="AG35" i="31" s="1"/>
  <c r="AI41" i="31"/>
  <c r="AH41" i="31" s="1"/>
  <c r="AE46" i="31"/>
  <c r="AE62" i="31"/>
  <c r="AG67" i="31"/>
  <c r="AI15" i="32"/>
  <c r="AE29" i="31"/>
  <c r="AG29" i="31" s="1"/>
  <c r="AI42" i="31"/>
  <c r="AH42" i="31" s="1"/>
  <c r="AI38" i="32"/>
  <c r="AK38" i="32" s="1"/>
  <c r="AM45" i="32"/>
  <c r="AL45" i="32" s="1"/>
  <c r="AM48" i="32"/>
  <c r="AL48" i="32" s="1"/>
  <c r="AM54" i="32"/>
  <c r="AL54" i="32" s="1"/>
  <c r="AM58" i="32"/>
  <c r="AL58" i="32" s="1"/>
  <c r="AI63" i="32"/>
  <c r="AM71" i="32"/>
  <c r="AL71" i="32" s="1"/>
  <c r="AM52" i="32"/>
  <c r="AL52" i="32" s="1"/>
  <c r="AI60" i="32"/>
  <c r="AK60" i="32" s="1"/>
  <c r="AM66" i="32"/>
  <c r="AL66" i="32" s="1"/>
  <c r="AI68" i="32"/>
  <c r="AJ68" i="32" s="1"/>
  <c r="AI72" i="32"/>
  <c r="AI16" i="31"/>
  <c r="AH16" i="31" s="1"/>
  <c r="AI40" i="31"/>
  <c r="AH40" i="31" s="1"/>
  <c r="AM22" i="32"/>
  <c r="AL22" i="32" s="1"/>
  <c r="AM27" i="32"/>
  <c r="AL27" i="32" s="1"/>
  <c r="AM34" i="32"/>
  <c r="AL34" i="32" s="1"/>
  <c r="AE18" i="31"/>
  <c r="AI26" i="31"/>
  <c r="AH26" i="31" s="1"/>
  <c r="AI34" i="31"/>
  <c r="AH34" i="31" s="1"/>
  <c r="AI47" i="31"/>
  <c r="AH47" i="31" s="1"/>
  <c r="AE49" i="31"/>
  <c r="AG49" i="31" s="1"/>
  <c r="AI60" i="31"/>
  <c r="AH60" i="31" s="1"/>
  <c r="AI67" i="31"/>
  <c r="AH67" i="31" s="1"/>
  <c r="AE69" i="31"/>
  <c r="AG69" i="31" s="1"/>
  <c r="AM15" i="32"/>
  <c r="AL15" i="32" s="1"/>
  <c r="AM26" i="32"/>
  <c r="AL26" i="32" s="1"/>
  <c r="AM30" i="32"/>
  <c r="AL30" i="32" s="1"/>
  <c r="AI33" i="32"/>
  <c r="AM41" i="32"/>
  <c r="AL41" i="32" s="1"/>
  <c r="AI46" i="32"/>
  <c r="AK46" i="32" s="1"/>
  <c r="AI55" i="32"/>
  <c r="AK55" i="32" s="1"/>
  <c r="AM68" i="32"/>
  <c r="AL68" i="32" s="1"/>
  <c r="AG33" i="31"/>
  <c r="AF33" i="31"/>
  <c r="AG64" i="31"/>
  <c r="AF64" i="31"/>
  <c r="AG46" i="31"/>
  <c r="AF46" i="31"/>
  <c r="AE50" i="31"/>
  <c r="AE60" i="31"/>
  <c r="AI21" i="31"/>
  <c r="AH21" i="31" s="1"/>
  <c r="AI23" i="31"/>
  <c r="AH23" i="31" s="1"/>
  <c r="AI24" i="31"/>
  <c r="AH24" i="31" s="1"/>
  <c r="AI30" i="31"/>
  <c r="AH30" i="31" s="1"/>
  <c r="AE34" i="31"/>
  <c r="AF34" i="31" s="1"/>
  <c r="AJ34" i="31" s="1"/>
  <c r="AE38" i="31"/>
  <c r="AG38" i="31" s="1"/>
  <c r="AE42" i="31"/>
  <c r="AE45" i="31"/>
  <c r="AG45" i="31" s="1"/>
  <c r="AI53" i="31"/>
  <c r="AH53" i="31" s="1"/>
  <c r="AI61" i="31"/>
  <c r="AH61" i="31" s="1"/>
  <c r="AE63" i="31"/>
  <c r="AF49" i="31"/>
  <c r="AI50" i="31"/>
  <c r="AH50" i="31" s="1"/>
  <c r="AI18" i="31"/>
  <c r="AH18" i="31" s="1"/>
  <c r="AE32" i="31"/>
  <c r="AI56" i="31"/>
  <c r="AH56" i="31" s="1"/>
  <c r="AI59" i="31"/>
  <c r="AH59" i="31" s="1"/>
  <c r="AI66" i="31"/>
  <c r="AH66" i="31" s="1"/>
  <c r="AI33" i="31"/>
  <c r="AH33" i="31" s="1"/>
  <c r="AE37" i="31"/>
  <c r="AF37" i="31" s="1"/>
  <c r="AE47" i="31"/>
  <c r="AI54" i="31"/>
  <c r="AH54" i="31" s="1"/>
  <c r="AI62" i="31"/>
  <c r="AH62" i="31" s="1"/>
  <c r="AI71" i="31"/>
  <c r="AH71" i="31" s="1"/>
  <c r="AI72" i="31"/>
  <c r="AH72" i="31" s="1"/>
  <c r="AE17" i="31"/>
  <c r="AF17" i="31" s="1"/>
  <c r="AE19" i="31"/>
  <c r="AF19" i="31" s="1"/>
  <c r="AE28" i="31"/>
  <c r="AE55" i="31"/>
  <c r="AG55" i="31" s="1"/>
  <c r="AE59" i="31"/>
  <c r="AG59" i="31" s="1"/>
  <c r="AE21" i="31"/>
  <c r="AG21" i="31" s="1"/>
  <c r="AE27" i="31"/>
  <c r="AF27" i="31" s="1"/>
  <c r="AJ27" i="31" s="1"/>
  <c r="AI35" i="31"/>
  <c r="AH35" i="31" s="1"/>
  <c r="AI39" i="31"/>
  <c r="AH39" i="31" s="1"/>
  <c r="AI44" i="31"/>
  <c r="AH44" i="31" s="1"/>
  <c r="AE61" i="31"/>
  <c r="AF30" i="31"/>
  <c r="AJ30" i="31" s="1"/>
  <c r="AK68" i="32"/>
  <c r="AK51" i="32"/>
  <c r="AJ51" i="32"/>
  <c r="AK48" i="32"/>
  <c r="AJ48" i="32"/>
  <c r="AN48" i="32" s="1"/>
  <c r="AK65" i="32"/>
  <c r="AJ65" i="32"/>
  <c r="AI71" i="32"/>
  <c r="AI17" i="32"/>
  <c r="AI18" i="32"/>
  <c r="AI34" i="32"/>
  <c r="AJ34" i="32" s="1"/>
  <c r="AN34" i="32" s="1"/>
  <c r="AJ35" i="32"/>
  <c r="AM39" i="32"/>
  <c r="AL39" i="32" s="1"/>
  <c r="AI47" i="32"/>
  <c r="AJ47" i="32" s="1"/>
  <c r="AN47" i="32" s="1"/>
  <c r="AJ54" i="32"/>
  <c r="AJ55" i="32"/>
  <c r="AN55" i="32" s="1"/>
  <c r="AI20" i="32"/>
  <c r="AK20" i="32" s="1"/>
  <c r="AI19" i="32"/>
  <c r="AI23" i="32"/>
  <c r="AJ23" i="32" s="1"/>
  <c r="AI25" i="32"/>
  <c r="AJ25" i="32" s="1"/>
  <c r="AM32" i="32"/>
  <c r="AL32" i="32" s="1"/>
  <c r="AM20" i="32"/>
  <c r="AL20" i="32" s="1"/>
  <c r="AM23" i="32"/>
  <c r="AL23" i="32" s="1"/>
  <c r="AM25" i="32"/>
  <c r="AL25" i="32" s="1"/>
  <c r="T55" i="32"/>
  <c r="AM67" i="32"/>
  <c r="AL67" i="32" s="1"/>
  <c r="AI24" i="32"/>
  <c r="AJ24" i="32" s="1"/>
  <c r="AN24" i="32" s="1"/>
  <c r="AI29" i="32"/>
  <c r="AK29" i="32" s="1"/>
  <c r="AM57" i="32"/>
  <c r="AL57" i="32" s="1"/>
  <c r="AM70" i="32"/>
  <c r="AL70" i="32" s="1"/>
  <c r="AI70" i="32"/>
  <c r="AK70" i="32" s="1"/>
  <c r="AM51" i="32"/>
  <c r="AL51" i="32" s="1"/>
  <c r="AN51" i="32" s="1"/>
  <c r="AI57" i="32"/>
  <c r="AI22" i="32"/>
  <c r="AJ22" i="32" s="1"/>
  <c r="AI40" i="32"/>
  <c r="AK40" i="32" s="1"/>
  <c r="AM59" i="32"/>
  <c r="AL59" i="32" s="1"/>
  <c r="AM60" i="32"/>
  <c r="AL60" i="32" s="1"/>
  <c r="AM65" i="32"/>
  <c r="AL65" i="32" s="1"/>
  <c r="AN65" i="32" s="1"/>
  <c r="AM16" i="32"/>
  <c r="AL16" i="32" s="1"/>
  <c r="AI16" i="32"/>
  <c r="AK16" i="32" s="1"/>
  <c r="AM37" i="32"/>
  <c r="AL37" i="32" s="1"/>
  <c r="AM40" i="32"/>
  <c r="AL40" i="32" s="1"/>
  <c r="AI50" i="32"/>
  <c r="AK50" i="32" s="1"/>
  <c r="AI52" i="32"/>
  <c r="AI56" i="32"/>
  <c r="AK56" i="32" s="1"/>
  <c r="AI64" i="32"/>
  <c r="AK64" i="32" s="1"/>
  <c r="AI66" i="32"/>
  <c r="AI69" i="32"/>
  <c r="AI21" i="32"/>
  <c r="AI26" i="32"/>
  <c r="AJ26" i="32" s="1"/>
  <c r="AI30" i="32"/>
  <c r="AK30" i="32" s="1"/>
  <c r="AM33" i="32"/>
  <c r="AL33" i="32" s="1"/>
  <c r="AM42" i="32"/>
  <c r="AL42" i="32" s="1"/>
  <c r="AM44" i="32"/>
  <c r="AL44" i="32" s="1"/>
  <c r="AI67" i="32"/>
  <c r="AE16" i="31"/>
  <c r="AG16" i="31" s="1"/>
  <c r="AK33" i="32"/>
  <c r="AJ33" i="32"/>
  <c r="AJ60" i="32"/>
  <c r="AK34" i="32"/>
  <c r="AK15" i="32"/>
  <c r="AJ15" i="32"/>
  <c r="AN15" i="32" s="1"/>
  <c r="AJ37" i="32"/>
  <c r="AK37" i="32"/>
  <c r="AK63" i="32"/>
  <c r="AJ63" i="32"/>
  <c r="AN63" i="32" s="1"/>
  <c r="AK72" i="32"/>
  <c r="AJ72" i="32"/>
  <c r="AN72" i="32" s="1"/>
  <c r="AJ29" i="32"/>
  <c r="AN29" i="32" s="1"/>
  <c r="AM50" i="32"/>
  <c r="AL50" i="32" s="1"/>
  <c r="AM64" i="32"/>
  <c r="AL64" i="32" s="1"/>
  <c r="AJ70" i="32"/>
  <c r="T25" i="32"/>
  <c r="T13" i="32"/>
  <c r="AI13" i="32" s="1"/>
  <c r="AM21" i="32"/>
  <c r="AL21" i="32" s="1"/>
  <c r="AK23" i="32"/>
  <c r="AI28" i="32"/>
  <c r="AI31" i="32"/>
  <c r="AM35" i="32"/>
  <c r="AL35" i="32" s="1"/>
  <c r="AN35" i="32" s="1"/>
  <c r="AM38" i="32"/>
  <c r="AL38" i="32" s="1"/>
  <c r="AI42" i="32"/>
  <c r="AK43" i="32"/>
  <c r="AI45" i="32"/>
  <c r="AI59" i="32"/>
  <c r="T61" i="32"/>
  <c r="AI62" i="32"/>
  <c r="AI27" i="32"/>
  <c r="AI32" i="32"/>
  <c r="AI49" i="32"/>
  <c r="AM53" i="32"/>
  <c r="AL53" i="32" s="1"/>
  <c r="AM56" i="32"/>
  <c r="AL56" i="32" s="1"/>
  <c r="AJ36" i="32"/>
  <c r="AN36" i="32" s="1"/>
  <c r="AJ39" i="32"/>
  <c r="AN39" i="32" s="1"/>
  <c r="AK25" i="32"/>
  <c r="T43" i="32"/>
  <c r="AI61" i="32"/>
  <c r="AM43" i="32"/>
  <c r="AL43" i="32" s="1"/>
  <c r="AN43" i="32" s="1"/>
  <c r="AI41" i="32"/>
  <c r="AI44" i="32"/>
  <c r="AM13" i="32"/>
  <c r="AL13" i="32" s="1"/>
  <c r="AM61" i="32"/>
  <c r="AL61" i="32" s="1"/>
  <c r="AI58" i="32"/>
  <c r="AJ49" i="31"/>
  <c r="AJ67" i="31"/>
  <c r="AJ48" i="31"/>
  <c r="AJ64" i="31"/>
  <c r="AG42" i="31"/>
  <c r="AF42" i="31"/>
  <c r="AJ42" i="31" s="1"/>
  <c r="AG72" i="31"/>
  <c r="AF72" i="31"/>
  <c r="AG27" i="31"/>
  <c r="AG31" i="31"/>
  <c r="AF31" i="31"/>
  <c r="AJ31" i="31" s="1"/>
  <c r="AG18" i="31"/>
  <c r="AF18" i="31"/>
  <c r="AJ19" i="31"/>
  <c r="AF45" i="31"/>
  <c r="AJ45" i="31" s="1"/>
  <c r="AG58" i="31"/>
  <c r="AF58" i="31"/>
  <c r="AJ58" i="31" s="1"/>
  <c r="AG24" i="31"/>
  <c r="AF24" i="31"/>
  <c r="AJ24" i="31" s="1"/>
  <c r="AG41" i="31"/>
  <c r="AF41" i="31"/>
  <c r="AJ41" i="31" s="1"/>
  <c r="AG62" i="31"/>
  <c r="AF62" i="31"/>
  <c r="AJ62" i="31" s="1"/>
  <c r="AG28" i="31"/>
  <c r="AF28" i="31"/>
  <c r="AJ28" i="31" s="1"/>
  <c r="P37" i="31"/>
  <c r="AG20" i="31"/>
  <c r="AF21" i="31"/>
  <c r="AJ21" i="31" s="1"/>
  <c r="AE22" i="31"/>
  <c r="AE25" i="31"/>
  <c r="AI29" i="31"/>
  <c r="AH29" i="31" s="1"/>
  <c r="AI32" i="31"/>
  <c r="AH32" i="31" s="1"/>
  <c r="AE36" i="31"/>
  <c r="AG37" i="31"/>
  <c r="AE39" i="31"/>
  <c r="AI46" i="31"/>
  <c r="AH46" i="31" s="1"/>
  <c r="AG48" i="31"/>
  <c r="AG51" i="31"/>
  <c r="AF52" i="31"/>
  <c r="AJ52" i="31" s="1"/>
  <c r="AE53" i="31"/>
  <c r="P55" i="31"/>
  <c r="AF55" i="31"/>
  <c r="AE56" i="31"/>
  <c r="AG65" i="31"/>
  <c r="AG68" i="31"/>
  <c r="AE70" i="31"/>
  <c r="AE23" i="31"/>
  <c r="AE26" i="31"/>
  <c r="AE40" i="31"/>
  <c r="AE43" i="31"/>
  <c r="AE54" i="31"/>
  <c r="AE57" i="31"/>
  <c r="AE71" i="31"/>
  <c r="AE13" i="31"/>
  <c r="AI17" i="31"/>
  <c r="AH17" i="31" s="1"/>
  <c r="AI20" i="31"/>
  <c r="AH20" i="31" s="1"/>
  <c r="AJ20" i="31" s="1"/>
  <c r="AI37" i="31"/>
  <c r="AH37" i="31" s="1"/>
  <c r="AJ37" i="31" s="1"/>
  <c r="AE44" i="31"/>
  <c r="AI51" i="31"/>
  <c r="AH51" i="31" s="1"/>
  <c r="AJ51" i="31" s="1"/>
  <c r="AI65" i="31"/>
  <c r="AH65" i="31" s="1"/>
  <c r="AJ65" i="31" s="1"/>
  <c r="AI68" i="31"/>
  <c r="AH68" i="31" s="1"/>
  <c r="AJ68" i="31" s="1"/>
  <c r="AI55" i="31"/>
  <c r="AH55" i="31" s="1"/>
  <c r="AI25" i="31"/>
  <c r="AH25" i="31" s="1"/>
  <c r="O13" i="1"/>
  <c r="P13" i="1" s="1"/>
  <c r="X13" i="1"/>
  <c r="AA13" i="1"/>
  <c r="X14" i="1"/>
  <c r="AA14" i="1"/>
  <c r="X15" i="1"/>
  <c r="AA15" i="1"/>
  <c r="X16" i="1"/>
  <c r="AA16" i="1"/>
  <c r="X17" i="1"/>
  <c r="AA17" i="1"/>
  <c r="X18" i="1"/>
  <c r="AA18" i="1"/>
  <c r="R17" i="1"/>
  <c r="R15" i="1"/>
  <c r="R16" i="1"/>
  <c r="R14" i="1"/>
  <c r="R18" i="1"/>
  <c r="AF69" i="31" l="1"/>
  <c r="AJ69" i="31" s="1"/>
  <c r="AJ40" i="32"/>
  <c r="AJ38" i="32"/>
  <c r="AF66" i="31"/>
  <c r="AF59" i="31"/>
  <c r="AJ59" i="31" s="1"/>
  <c r="AF29" i="31"/>
  <c r="AN38" i="32"/>
  <c r="AJ18" i="31"/>
  <c r="AJ53" i="32"/>
  <c r="AF38" i="31"/>
  <c r="AJ38" i="31" s="1"/>
  <c r="AJ50" i="32"/>
  <c r="AJ33" i="31"/>
  <c r="AN68" i="32"/>
  <c r="AJ29" i="31"/>
  <c r="AJ66" i="31"/>
  <c r="AJ46" i="32"/>
  <c r="AN46" i="32" s="1"/>
  <c r="AJ46" i="31"/>
  <c r="AJ56" i="32"/>
  <c r="AK47" i="32"/>
  <c r="AF35" i="31"/>
  <c r="AN26" i="32"/>
  <c r="AN22" i="32"/>
  <c r="AN54" i="32"/>
  <c r="AJ35" i="31"/>
  <c r="AJ72" i="31"/>
  <c r="AJ17" i="31"/>
  <c r="AG17" i="31"/>
  <c r="AG60" i="31"/>
  <c r="AF60" i="31"/>
  <c r="AJ60" i="31" s="1"/>
  <c r="AG34" i="31"/>
  <c r="AG19" i="31"/>
  <c r="AG32" i="31"/>
  <c r="AF32" i="31"/>
  <c r="AJ32" i="31" s="1"/>
  <c r="AG50" i="31"/>
  <c r="AF50" i="31"/>
  <c r="AJ50" i="31" s="1"/>
  <c r="AG47" i="31"/>
  <c r="AF47" i="31"/>
  <c r="AJ47" i="31" s="1"/>
  <c r="AF61" i="31"/>
  <c r="AJ61" i="31" s="1"/>
  <c r="AG61" i="31"/>
  <c r="AF63" i="31"/>
  <c r="AJ63" i="31" s="1"/>
  <c r="AG63" i="31"/>
  <c r="AF16" i="31"/>
  <c r="AJ16" i="31" s="1"/>
  <c r="AN40" i="32"/>
  <c r="AN60" i="32"/>
  <c r="AN70" i="32"/>
  <c r="AK26" i="32"/>
  <c r="AJ30" i="32"/>
  <c r="AN30" i="32" s="1"/>
  <c r="AK24" i="32"/>
  <c r="AJ20" i="32"/>
  <c r="AN20" i="32" s="1"/>
  <c r="AK22" i="32"/>
  <c r="AJ16" i="32"/>
  <c r="AN16" i="32" s="1"/>
  <c r="AI15" i="31"/>
  <c r="AH15" i="31" s="1"/>
  <c r="AJ21" i="32"/>
  <c r="AN21" i="32" s="1"/>
  <c r="AK21" i="32"/>
  <c r="AK57" i="32"/>
  <c r="AJ57" i="32"/>
  <c r="AN57" i="32" s="1"/>
  <c r="AK19" i="32"/>
  <c r="AJ19" i="32"/>
  <c r="AN19" i="32" s="1"/>
  <c r="AJ18" i="32"/>
  <c r="AN18" i="32" s="1"/>
  <c r="AK18" i="32"/>
  <c r="AN33" i="32"/>
  <c r="AJ69" i="32"/>
  <c r="AN69" i="32" s="1"/>
  <c r="AK69" i="32"/>
  <c r="AK17" i="32"/>
  <c r="AJ17" i="32"/>
  <c r="AN17" i="32" s="1"/>
  <c r="AK71" i="32"/>
  <c r="AJ71" i="32"/>
  <c r="AN71" i="32" s="1"/>
  <c r="AJ66" i="32"/>
  <c r="AN66" i="32" s="1"/>
  <c r="AK66" i="32"/>
  <c r="AN37" i="32"/>
  <c r="AK67" i="32"/>
  <c r="AJ67" i="32"/>
  <c r="AN67" i="32" s="1"/>
  <c r="AJ64" i="32"/>
  <c r="AJ52" i="32"/>
  <c r="AN52" i="32" s="1"/>
  <c r="AK52" i="32"/>
  <c r="AN25" i="32"/>
  <c r="AN23" i="32"/>
  <c r="AK13" i="32"/>
  <c r="AI14" i="32" s="1"/>
  <c r="AJ13" i="32"/>
  <c r="AN13" i="32" s="1"/>
  <c r="AK45" i="32"/>
  <c r="AJ45" i="32"/>
  <c r="AN45" i="32" s="1"/>
  <c r="AK61" i="32"/>
  <c r="AJ61" i="32"/>
  <c r="AN61" i="32" s="1"/>
  <c r="AN56" i="32"/>
  <c r="AN50" i="32"/>
  <c r="AK58" i="32"/>
  <c r="AJ58" i="32"/>
  <c r="AN58" i="32" s="1"/>
  <c r="AK49" i="32"/>
  <c r="AJ49" i="32"/>
  <c r="AN49" i="32" s="1"/>
  <c r="AK42" i="32"/>
  <c r="AJ42" i="32"/>
  <c r="AN42" i="32" s="1"/>
  <c r="AN53" i="32"/>
  <c r="AK32" i="32"/>
  <c r="AJ32" i="32"/>
  <c r="AN32" i="32" s="1"/>
  <c r="AK62" i="32"/>
  <c r="AJ62" i="32"/>
  <c r="AN62" i="32" s="1"/>
  <c r="AK31" i="32"/>
  <c r="AJ31" i="32"/>
  <c r="AN31" i="32" s="1"/>
  <c r="AM14" i="32"/>
  <c r="AL14" i="32" s="1"/>
  <c r="AK44" i="32"/>
  <c r="AJ44" i="32"/>
  <c r="AN44" i="32" s="1"/>
  <c r="AN64" i="32"/>
  <c r="AK27" i="32"/>
  <c r="AJ27" i="32"/>
  <c r="AN27" i="32" s="1"/>
  <c r="AK28" i="32"/>
  <c r="AJ28" i="32"/>
  <c r="AN28" i="32" s="1"/>
  <c r="AK41" i="32"/>
  <c r="AJ41" i="32"/>
  <c r="AN41" i="32" s="1"/>
  <c r="AK59" i="32"/>
  <c r="AJ59" i="32"/>
  <c r="AN59" i="32" s="1"/>
  <c r="AG40" i="31"/>
  <c r="AF40" i="31"/>
  <c r="AJ40" i="31" s="1"/>
  <c r="AG56" i="31"/>
  <c r="AF56" i="31"/>
  <c r="AJ56" i="31" s="1"/>
  <c r="AG39" i="31"/>
  <c r="AF39" i="31"/>
  <c r="AJ39" i="31" s="1"/>
  <c r="AG25" i="31"/>
  <c r="AF25" i="31"/>
  <c r="AJ25" i="31" s="1"/>
  <c r="AG44" i="31"/>
  <c r="AF44" i="31"/>
  <c r="AJ44" i="31" s="1"/>
  <c r="AG22" i="31"/>
  <c r="AF22" i="31"/>
  <c r="AJ22" i="31" s="1"/>
  <c r="AG26" i="31"/>
  <c r="AF26" i="31"/>
  <c r="AJ26" i="31" s="1"/>
  <c r="AJ55" i="31"/>
  <c r="AG23" i="31"/>
  <c r="AF23" i="31"/>
  <c r="AJ23" i="31" s="1"/>
  <c r="AG57" i="31"/>
  <c r="AF57" i="31"/>
  <c r="AJ57" i="31" s="1"/>
  <c r="AG13" i="31"/>
  <c r="AE14" i="31" s="1"/>
  <c r="AF13" i="31"/>
  <c r="AG70" i="31"/>
  <c r="AF70" i="31"/>
  <c r="AJ70" i="31" s="1"/>
  <c r="AG53" i="31"/>
  <c r="AF53" i="31"/>
  <c r="AJ53" i="31" s="1"/>
  <c r="AG36" i="31"/>
  <c r="AF36" i="31"/>
  <c r="AJ36" i="31" s="1"/>
  <c r="AG54" i="31"/>
  <c r="AF54" i="31"/>
  <c r="AJ54" i="31" s="1"/>
  <c r="AG43" i="31"/>
  <c r="AF43" i="31"/>
  <c r="AJ43" i="31" s="1"/>
  <c r="AG71" i="31"/>
  <c r="AF71" i="31"/>
  <c r="AJ71" i="31" s="1"/>
  <c r="AE17" i="1"/>
  <c r="AF17" i="1" s="1"/>
  <c r="AI18" i="1"/>
  <c r="AH18" i="1" s="1"/>
  <c r="AE18" i="1"/>
  <c r="AG18" i="1" s="1"/>
  <c r="AI16" i="1"/>
  <c r="AH16" i="1" s="1"/>
  <c r="AE13" i="1"/>
  <c r="AG13" i="1" s="1"/>
  <c r="AE14" i="1" s="1"/>
  <c r="AI17" i="1"/>
  <c r="AH17" i="1" s="1"/>
  <c r="AE16" i="1"/>
  <c r="AK14" i="32" l="1"/>
  <c r="AJ14" i="32"/>
  <c r="AN14" i="32" s="1"/>
  <c r="AG14" i="31"/>
  <c r="AE15" i="31" s="1"/>
  <c r="AF14" i="31"/>
  <c r="AG17" i="1"/>
  <c r="AF18" i="1"/>
  <c r="AJ18" i="1" s="1"/>
  <c r="AI15" i="1"/>
  <c r="AH15" i="1" s="1"/>
  <c r="AF13" i="1"/>
  <c r="AF14" i="1"/>
  <c r="AG14" i="1"/>
  <c r="AE15" i="1" s="1"/>
  <c r="AF15" i="1" s="1"/>
  <c r="AF16" i="1"/>
  <c r="AJ16" i="1" s="1"/>
  <c r="AG16" i="1"/>
  <c r="AJ17" i="1"/>
  <c r="AG15" i="31" l="1"/>
  <c r="AF15" i="31"/>
  <c r="AJ15" i="31" s="1"/>
  <c r="AJ15" i="1"/>
  <c r="AG15" i="1"/>
  <c r="O55" i="1" l="1"/>
  <c r="X19" i="1" l="1"/>
  <c r="X20" i="1"/>
  <c r="AI20" i="1" l="1"/>
  <c r="E24" i="22"/>
  <c r="E8" i="13"/>
  <c r="E7" i="13"/>
  <c r="E6" i="13"/>
  <c r="E5" i="13"/>
  <c r="R22" i="1"/>
  <c r="R71" i="1"/>
  <c r="R38" i="1"/>
  <c r="R54" i="1"/>
  <c r="R20" i="1"/>
  <c r="R35" i="1"/>
  <c r="R32" i="1"/>
  <c r="R42" i="1"/>
  <c r="R47" i="1"/>
  <c r="R59" i="1"/>
  <c r="R64" i="1"/>
  <c r="R40" i="1"/>
  <c r="R70" i="1"/>
  <c r="R45" i="1"/>
  <c r="R30" i="1"/>
  <c r="R63" i="1"/>
  <c r="R28" i="1"/>
  <c r="R29" i="1"/>
  <c r="R57" i="1"/>
  <c r="R24" i="1"/>
  <c r="R58" i="1"/>
  <c r="R62" i="1"/>
  <c r="R69" i="1"/>
  <c r="R68" i="1"/>
  <c r="R21" i="1"/>
  <c r="R46" i="1"/>
  <c r="R44" i="1"/>
  <c r="R53" i="1"/>
  <c r="R50" i="1"/>
  <c r="R36" i="1"/>
  <c r="R39" i="1"/>
  <c r="R23" i="1"/>
  <c r="R51" i="1"/>
  <c r="R41" i="1"/>
  <c r="R72" i="1"/>
  <c r="R27" i="1"/>
  <c r="R26" i="1"/>
  <c r="R65" i="1"/>
  <c r="R48" i="1"/>
  <c r="R56" i="1"/>
  <c r="R33" i="1"/>
  <c r="R60" i="1"/>
  <c r="R34" i="1"/>
  <c r="R52" i="1"/>
  <c r="R66" i="1"/>
  <c r="F222" i="13" l="1"/>
  <c r="F212" i="13"/>
  <c r="F213" i="13"/>
  <c r="F214" i="13"/>
  <c r="F215" i="13"/>
  <c r="F216" i="13"/>
  <c r="F217" i="13"/>
  <c r="F218" i="13"/>
  <c r="F219" i="13"/>
  <c r="F220" i="13"/>
  <c r="F221" i="13"/>
  <c r="F211" i="13"/>
  <c r="B222" i="13" a="1"/>
  <c r="B222" i="13" l="1"/>
  <c r="X55" i="1"/>
  <c r="X50" i="1"/>
  <c r="X44" i="1"/>
  <c r="R13" i="1" l="1"/>
  <c r="S13" i="1" s="1"/>
  <c r="T13" i="1" s="1"/>
  <c r="AI13" i="1" s="1"/>
  <c r="V55" i="32"/>
  <c r="W55" i="32" s="1"/>
  <c r="V19" i="32"/>
  <c r="W19" i="32" s="1"/>
  <c r="R43" i="31"/>
  <c r="S43" i="31" s="1"/>
  <c r="R37" i="31"/>
  <c r="S37" i="31" s="1"/>
  <c r="R31" i="31"/>
  <c r="S31" i="31" s="1"/>
  <c r="R13" i="31"/>
  <c r="S13" i="31" s="1"/>
  <c r="V13" i="32"/>
  <c r="W13" i="32" s="1"/>
  <c r="R25" i="31"/>
  <c r="S25" i="31" s="1"/>
  <c r="R61" i="31"/>
  <c r="S61" i="31" s="1"/>
  <c r="V49" i="32"/>
  <c r="W49" i="32" s="1"/>
  <c r="V61" i="32"/>
  <c r="W61" i="32" s="1"/>
  <c r="V43" i="32"/>
  <c r="W43" i="32" s="1"/>
  <c r="V37" i="32"/>
  <c r="W37" i="32" s="1"/>
  <c r="R49" i="31"/>
  <c r="S49" i="31" s="1"/>
  <c r="V31" i="32"/>
  <c r="W31" i="32" s="1"/>
  <c r="V25" i="32"/>
  <c r="W25" i="32" s="1"/>
  <c r="R67" i="31"/>
  <c r="S67" i="31" s="1"/>
  <c r="R19" i="31"/>
  <c r="S19" i="31" s="1"/>
  <c r="V67" i="32"/>
  <c r="W67" i="32" s="1"/>
  <c r="R55" i="31"/>
  <c r="S55" i="31" s="1"/>
  <c r="AI55"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X25" i="32" l="1"/>
  <c r="Y25" i="32"/>
  <c r="U25" i="31"/>
  <c r="T25" i="31"/>
  <c r="T37" i="31"/>
  <c r="U37" i="31"/>
  <c r="U13" i="1"/>
  <c r="Y67" i="32"/>
  <c r="X67" i="32"/>
  <c r="X31" i="32"/>
  <c r="Y31" i="32"/>
  <c r="X61" i="32"/>
  <c r="Y61" i="32"/>
  <c r="X13" i="32"/>
  <c r="Y13" i="32"/>
  <c r="T43" i="31"/>
  <c r="U43" i="31"/>
  <c r="T19" i="31"/>
  <c r="U19" i="31"/>
  <c r="T49" i="31"/>
  <c r="U49" i="31"/>
  <c r="Y49" i="32"/>
  <c r="X49" i="32"/>
  <c r="U13" i="31"/>
  <c r="T13" i="31"/>
  <c r="AI13" i="31" s="1"/>
  <c r="Y19" i="32"/>
  <c r="X19" i="32"/>
  <c r="T55" i="31"/>
  <c r="U55" i="31"/>
  <c r="X43" i="32"/>
  <c r="Y43" i="32"/>
  <c r="T67" i="31"/>
  <c r="U67" i="31"/>
  <c r="X37" i="32"/>
  <c r="Y37" i="32"/>
  <c r="T61" i="31"/>
  <c r="U61" i="31"/>
  <c r="T31" i="31"/>
  <c r="U31" i="31"/>
  <c r="X55" i="32"/>
  <c r="Y55" i="32"/>
  <c r="AH13" i="1"/>
  <c r="AJ13" i="1" s="1"/>
  <c r="AI14" i="1"/>
  <c r="AH14" i="1" s="1"/>
  <c r="AJ14" i="1" s="1"/>
  <c r="AA72" i="1"/>
  <c r="X72" i="1"/>
  <c r="AA71" i="1"/>
  <c r="X71" i="1"/>
  <c r="AA70" i="1"/>
  <c r="X70" i="1"/>
  <c r="AA69" i="1"/>
  <c r="X69" i="1"/>
  <c r="AA68" i="1"/>
  <c r="X68" i="1"/>
  <c r="AA67" i="1"/>
  <c r="X67" i="1"/>
  <c r="O67" i="1"/>
  <c r="P67" i="1" s="1"/>
  <c r="AA66" i="1"/>
  <c r="X66" i="1"/>
  <c r="AA65" i="1"/>
  <c r="X65" i="1"/>
  <c r="AA64" i="1"/>
  <c r="X64" i="1"/>
  <c r="AA63" i="1"/>
  <c r="X63" i="1"/>
  <c r="AA62" i="1"/>
  <c r="X62" i="1"/>
  <c r="AA61" i="1"/>
  <c r="X61" i="1"/>
  <c r="O61" i="1"/>
  <c r="P61" i="1" s="1"/>
  <c r="AA60" i="1"/>
  <c r="X60" i="1"/>
  <c r="AA59" i="1"/>
  <c r="X59" i="1"/>
  <c r="AA58" i="1"/>
  <c r="X58" i="1"/>
  <c r="AA57" i="1"/>
  <c r="X57" i="1"/>
  <c r="AA56" i="1"/>
  <c r="X56" i="1"/>
  <c r="AA55" i="1"/>
  <c r="P55" i="1"/>
  <c r="AA54" i="1"/>
  <c r="X54" i="1"/>
  <c r="AA53" i="1"/>
  <c r="X53" i="1"/>
  <c r="AA52" i="1"/>
  <c r="X52" i="1"/>
  <c r="AA51" i="1"/>
  <c r="X51" i="1"/>
  <c r="AA50" i="1"/>
  <c r="AA49" i="1"/>
  <c r="X49" i="1"/>
  <c r="O49" i="1"/>
  <c r="P49" i="1" s="1"/>
  <c r="AA48" i="1"/>
  <c r="X48" i="1"/>
  <c r="AA47" i="1"/>
  <c r="X47" i="1"/>
  <c r="AA46" i="1"/>
  <c r="X46" i="1"/>
  <c r="AA45" i="1"/>
  <c r="X45" i="1"/>
  <c r="AA44" i="1"/>
  <c r="AA43" i="1"/>
  <c r="X43" i="1"/>
  <c r="O43" i="1"/>
  <c r="P43" i="1" s="1"/>
  <c r="AA42" i="1"/>
  <c r="X42" i="1"/>
  <c r="AA41" i="1"/>
  <c r="X41" i="1"/>
  <c r="AA40" i="1"/>
  <c r="X40" i="1"/>
  <c r="AA39" i="1"/>
  <c r="X39" i="1"/>
  <c r="AA38" i="1"/>
  <c r="X38" i="1"/>
  <c r="AA37" i="1"/>
  <c r="X37" i="1"/>
  <c r="O37" i="1"/>
  <c r="AA36" i="1"/>
  <c r="X36" i="1"/>
  <c r="AA35" i="1"/>
  <c r="X35" i="1"/>
  <c r="AA34" i="1"/>
  <c r="X34" i="1"/>
  <c r="AA33" i="1"/>
  <c r="X33" i="1"/>
  <c r="AA32" i="1"/>
  <c r="X32" i="1"/>
  <c r="AA31" i="1"/>
  <c r="X31" i="1"/>
  <c r="O31" i="1"/>
  <c r="P31" i="1" s="1"/>
  <c r="AA30" i="1"/>
  <c r="X30" i="1"/>
  <c r="AA29" i="1"/>
  <c r="X29" i="1"/>
  <c r="AA28" i="1"/>
  <c r="X28" i="1"/>
  <c r="AA27" i="1"/>
  <c r="X27" i="1"/>
  <c r="AA26" i="1"/>
  <c r="X26" i="1"/>
  <c r="AA25" i="1"/>
  <c r="X25" i="1"/>
  <c r="O25" i="1"/>
  <c r="P25" i="1" s="1"/>
  <c r="O19" i="1"/>
  <c r="AA24" i="1"/>
  <c r="X24" i="1"/>
  <c r="AA23" i="1"/>
  <c r="X23" i="1"/>
  <c r="AA22" i="1"/>
  <c r="X22" i="1"/>
  <c r="AA21" i="1"/>
  <c r="X21" i="1"/>
  <c r="AA20" i="1"/>
  <c r="AA19" i="1"/>
  <c r="AH13" i="31" l="1"/>
  <c r="AJ13" i="31" s="1"/>
  <c r="AI14" i="31"/>
  <c r="AH14" i="31" s="1"/>
  <c r="AJ14" i="31" s="1"/>
  <c r="P37" i="1"/>
  <c r="AI29" i="1"/>
  <c r="AI40" i="1"/>
  <c r="AI48" i="1"/>
  <c r="AI60" i="1"/>
  <c r="AI71" i="1"/>
  <c r="AI23" i="1"/>
  <c r="AI30" i="1"/>
  <c r="AI41" i="1"/>
  <c r="AI36" i="1"/>
  <c r="AI63" i="1"/>
  <c r="AI64" i="1"/>
  <c r="AI34" i="1"/>
  <c r="AI65" i="1"/>
  <c r="AI28" i="1"/>
  <c r="AI39" i="1"/>
  <c r="AI47" i="1"/>
  <c r="AI59" i="1"/>
  <c r="AI70" i="1"/>
  <c r="AI33" i="1"/>
  <c r="AI53" i="1"/>
  <c r="AH53" i="1" s="1"/>
  <c r="AI72" i="1"/>
  <c r="AI32" i="1"/>
  <c r="AI22" i="1"/>
  <c r="AI21" i="1"/>
  <c r="AI44" i="1"/>
  <c r="AI43" i="1"/>
  <c r="AI26" i="1"/>
  <c r="AI57" i="1"/>
  <c r="AI56" i="1"/>
  <c r="AI68" i="1"/>
  <c r="AI67" i="1"/>
  <c r="AI52" i="1"/>
  <c r="AI51" i="1"/>
  <c r="AI24" i="1"/>
  <c r="AI27" i="1"/>
  <c r="AI38" i="1"/>
  <c r="AI37" i="1"/>
  <c r="AI42" i="1"/>
  <c r="AI46" i="1"/>
  <c r="AI45" i="1"/>
  <c r="AI54" i="1"/>
  <c r="AH54" i="1" s="1"/>
  <c r="AI58" i="1"/>
  <c r="AI69" i="1"/>
  <c r="AI35" i="1"/>
  <c r="AI50" i="1"/>
  <c r="AI49" i="1"/>
  <c r="AI62" i="1"/>
  <c r="AI61" i="1"/>
  <c r="AI66" i="1"/>
  <c r="P19" i="1"/>
  <c r="AE19" i="1" s="1"/>
  <c r="AE67" i="1"/>
  <c r="AE61" i="1"/>
  <c r="AE55" i="1"/>
  <c r="AE49" i="1"/>
  <c r="AE53" i="1"/>
  <c r="AE54" i="1"/>
  <c r="AE43" i="1"/>
  <c r="AE37" i="1"/>
  <c r="AE31" i="1"/>
  <c r="AE25" i="1"/>
  <c r="AF67" i="1" l="1"/>
  <c r="AG67" i="1"/>
  <c r="AE68" i="1" s="1"/>
  <c r="AF68" i="1" s="1"/>
  <c r="AF61" i="1"/>
  <c r="AG61" i="1"/>
  <c r="AE62" i="1" s="1"/>
  <c r="AG62" i="1" s="1"/>
  <c r="AE63" i="1" s="1"/>
  <c r="AF55" i="1"/>
  <c r="AG55" i="1"/>
  <c r="AE56" i="1" s="1"/>
  <c r="AG56" i="1" s="1"/>
  <c r="AE57" i="1" s="1"/>
  <c r="AF54" i="1"/>
  <c r="AG54" i="1"/>
  <c r="AF53" i="1"/>
  <c r="AG53" i="1"/>
  <c r="AF49" i="1"/>
  <c r="AG49" i="1"/>
  <c r="AF43" i="1"/>
  <c r="AG43" i="1"/>
  <c r="AE44" i="1" s="1"/>
  <c r="AG44" i="1" s="1"/>
  <c r="AE45" i="1" s="1"/>
  <c r="AF37" i="1"/>
  <c r="AG37" i="1"/>
  <c r="AF31" i="1"/>
  <c r="AG31" i="1"/>
  <c r="AE32" i="1" s="1"/>
  <c r="AG32" i="1" s="1"/>
  <c r="AE33" i="1" s="1"/>
  <c r="AF33" i="1" s="1"/>
  <c r="AF25" i="1"/>
  <c r="AG25" i="1"/>
  <c r="AE26" i="1" s="1"/>
  <c r="AF26" i="1" s="1"/>
  <c r="AF19" i="1"/>
  <c r="AG19" i="1"/>
  <c r="AE20" i="1" s="1"/>
  <c r="AF62" i="1" l="1"/>
  <c r="AF56" i="1"/>
  <c r="AG26" i="1"/>
  <c r="AE27" i="1" s="1"/>
  <c r="AF27" i="1" s="1"/>
  <c r="AF44" i="1"/>
  <c r="AF32" i="1"/>
  <c r="AF45" i="1"/>
  <c r="AG45" i="1"/>
  <c r="AG63" i="1"/>
  <c r="AE64" i="1" s="1"/>
  <c r="AF63" i="1"/>
  <c r="AG57" i="1"/>
  <c r="AE58" i="1" s="1"/>
  <c r="AF57" i="1"/>
  <c r="AG68" i="1"/>
  <c r="AE69" i="1" s="1"/>
  <c r="AE38" i="1"/>
  <c r="AE50" i="1"/>
  <c r="AG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J53" i="1"/>
  <c r="AJ54" i="1"/>
  <c r="AF64" i="1" l="1"/>
  <c r="AG64" i="1"/>
  <c r="AF58" i="1"/>
  <c r="AG58" i="1"/>
  <c r="AE59" i="1" s="1"/>
  <c r="AG27" i="1"/>
  <c r="AE28" i="1" s="1"/>
  <c r="AG28" i="1" s="1"/>
  <c r="AF69" i="1"/>
  <c r="AG69" i="1"/>
  <c r="AE70" i="1" s="1"/>
  <c r="AF50" i="1"/>
  <c r="AG50" i="1"/>
  <c r="AE51" i="1" s="1"/>
  <c r="AF51" i="1" s="1"/>
  <c r="AE46" i="1"/>
  <c r="AF38" i="1"/>
  <c r="AG38" i="1"/>
  <c r="AE39" i="1" s="1"/>
  <c r="AF39" i="1" s="1"/>
  <c r="AE35" i="1"/>
  <c r="AF35" i="1" s="1"/>
  <c r="AE34" i="1"/>
  <c r="AF20" i="1"/>
  <c r="AG20" i="1"/>
  <c r="AE21" i="1" s="1"/>
  <c r="AF21" i="1" s="1"/>
  <c r="AG51" i="1" l="1"/>
  <c r="AE52" i="1" s="1"/>
  <c r="AF52" i="1" s="1"/>
  <c r="AG39" i="1"/>
  <c r="AE40" i="1" s="1"/>
  <c r="AG40" i="1" s="1"/>
  <c r="AE41" i="1" s="1"/>
  <c r="AF59" i="1"/>
  <c r="AG59" i="1"/>
  <c r="AE60" i="1" s="1"/>
  <c r="AE65" i="1"/>
  <c r="AE66" i="1"/>
  <c r="AF28" i="1"/>
  <c r="AF46" i="1"/>
  <c r="AG46" i="1"/>
  <c r="AE47" i="1" s="1"/>
  <c r="AF47" i="1" s="1"/>
  <c r="AE29" i="1"/>
  <c r="AG70" i="1"/>
  <c r="AF70" i="1"/>
  <c r="AF34" i="1"/>
  <c r="AG34" i="1"/>
  <c r="AG35" i="1"/>
  <c r="AE36" i="1" s="1"/>
  <c r="AG21" i="1"/>
  <c r="AE22" i="1" s="1"/>
  <c r="AF22" i="1" s="1"/>
  <c r="AG52" i="1" l="1"/>
  <c r="AF40" i="1"/>
  <c r="AF66" i="1"/>
  <c r="AG66" i="1"/>
  <c r="AF65" i="1"/>
  <c r="AG65" i="1"/>
  <c r="AF60" i="1"/>
  <c r="AG60" i="1"/>
  <c r="AE71" i="1"/>
  <c r="AE72" i="1"/>
  <c r="AG47" i="1"/>
  <c r="AE48" i="1" s="1"/>
  <c r="AF48" i="1" s="1"/>
  <c r="AG41" i="1"/>
  <c r="AE42" i="1" s="1"/>
  <c r="AF41" i="1"/>
  <c r="AF29" i="1"/>
  <c r="AG29" i="1"/>
  <c r="AE30" i="1" s="1"/>
  <c r="AF30" i="1" s="1"/>
  <c r="AF36" i="1"/>
  <c r="AG36" i="1"/>
  <c r="AG22" i="1"/>
  <c r="AE23" i="1" s="1"/>
  <c r="AG23" i="1" s="1"/>
  <c r="AE24" i="1" s="1"/>
  <c r="AF72" i="1" l="1"/>
  <c r="AG72" i="1"/>
  <c r="AF71" i="1"/>
  <c r="AG71" i="1"/>
  <c r="AF42" i="1"/>
  <c r="AG42" i="1"/>
  <c r="AG48" i="1"/>
  <c r="AG30" i="1"/>
  <c r="AF23" i="1"/>
  <c r="AF24" i="1"/>
  <c r="AG24" i="1"/>
  <c r="R43" i="1" l="1"/>
  <c r="S43" i="1" s="1"/>
  <c r="R31" i="1"/>
  <c r="S31" i="1" s="1"/>
  <c r="R25" i="1"/>
  <c r="S25" i="1" s="1"/>
  <c r="R55" i="1"/>
  <c r="S55" i="1" s="1"/>
  <c r="R49" i="1"/>
  <c r="S49" i="1" s="1"/>
  <c r="R37" i="1"/>
  <c r="S37" i="1" s="1"/>
  <c r="AD40" i="18" s="1"/>
  <c r="R67" i="1"/>
  <c r="S67" i="1" s="1"/>
  <c r="R61" i="1"/>
  <c r="S61" i="1" s="1"/>
  <c r="R19" i="1"/>
  <c r="S19" i="1" s="1"/>
  <c r="Z42" i="18" l="1"/>
  <c r="N42" i="18"/>
  <c r="AF26" i="18"/>
  <c r="N26" i="18"/>
  <c r="AF18" i="18"/>
  <c r="T10" i="18"/>
  <c r="N34" i="18"/>
  <c r="T34" i="18"/>
  <c r="T18" i="18"/>
  <c r="Z18" i="18"/>
  <c r="Z10" i="18"/>
  <c r="AL18" i="18"/>
  <c r="Z26" i="18"/>
  <c r="U61" i="1"/>
  <c r="T61"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T55" i="1"/>
  <c r="AJ42" i="18"/>
  <c r="AJ18" i="18"/>
  <c r="AD26" i="18"/>
  <c r="L10" i="18"/>
  <c r="AD10" i="18"/>
  <c r="X18" i="18"/>
  <c r="AD42" i="18"/>
  <c r="L18" i="18"/>
  <c r="R10" i="18"/>
  <c r="U55" i="1"/>
  <c r="T67" i="1"/>
  <c r="AB36" i="18"/>
  <c r="AH12" i="18"/>
  <c r="P28" i="18"/>
  <c r="AH20" i="18"/>
  <c r="P36" i="18"/>
  <c r="V12" i="18"/>
  <c r="AH28" i="18"/>
  <c r="AB20" i="18"/>
  <c r="J12" i="18"/>
  <c r="J20" i="18"/>
  <c r="U67" i="1"/>
  <c r="P44" i="18"/>
  <c r="AB44" i="18"/>
  <c r="V28" i="18"/>
  <c r="V36" i="18"/>
  <c r="J28" i="18"/>
  <c r="AH36" i="18"/>
  <c r="J44" i="18"/>
  <c r="P12" i="18"/>
  <c r="AB12" i="18"/>
  <c r="V44" i="18"/>
  <c r="AH44" i="18"/>
  <c r="V20" i="18"/>
  <c r="P20" i="18"/>
  <c r="J36" i="18"/>
  <c r="AB28" i="18"/>
  <c r="T38" i="18"/>
  <c r="AF22" i="18"/>
  <c r="N38" i="18"/>
  <c r="AF30" i="18"/>
  <c r="AL6" i="18"/>
  <c r="Z6" i="18"/>
  <c r="U25" i="1"/>
  <c r="T14" i="18"/>
  <c r="T22" i="18"/>
  <c r="N6" i="18"/>
  <c r="AL30" i="18"/>
  <c r="Z22" i="18"/>
  <c r="Z14" i="18"/>
  <c r="T25" i="1"/>
  <c r="AI25" i="1" s="1"/>
  <c r="Z30" i="18"/>
  <c r="AL38" i="18"/>
  <c r="AL14" i="18"/>
  <c r="AF6" i="18"/>
  <c r="AL22" i="18"/>
  <c r="T30" i="18"/>
  <c r="Z38" i="18"/>
  <c r="AF14" i="18"/>
  <c r="N30" i="18"/>
  <c r="N14" i="18"/>
  <c r="N22" i="18"/>
  <c r="AF38" i="18"/>
  <c r="T6" i="18"/>
  <c r="T37" i="1"/>
  <c r="X32" i="18"/>
  <c r="AD32" i="18"/>
  <c r="AJ8" i="18"/>
  <c r="L16" i="18"/>
  <c r="R32" i="18"/>
  <c r="AJ32" i="18"/>
  <c r="U37" i="1"/>
  <c r="R40" i="18"/>
  <c r="AJ40" i="18"/>
  <c r="AD24" i="18"/>
  <c r="AJ24" i="18"/>
  <c r="R24" i="18"/>
  <c r="AJ16" i="18"/>
  <c r="AD8" i="18"/>
  <c r="L32" i="18"/>
  <c r="L40" i="18"/>
  <c r="R16" i="18"/>
  <c r="L24" i="18"/>
  <c r="AD16" i="18"/>
  <c r="L8" i="18"/>
  <c r="R8" i="18"/>
  <c r="X40" i="18"/>
  <c r="X8" i="18"/>
  <c r="X16" i="18"/>
  <c r="X24" i="18"/>
  <c r="T31" i="1"/>
  <c r="AI31" i="1" s="1"/>
  <c r="J40" i="18"/>
  <c r="J16" i="18"/>
  <c r="P16" i="18"/>
  <c r="V8" i="18"/>
  <c r="J8" i="18"/>
  <c r="J24" i="18"/>
  <c r="AH16" i="18"/>
  <c r="AB16" i="18"/>
  <c r="AB40" i="18"/>
  <c r="P32" i="18"/>
  <c r="P40" i="18"/>
  <c r="AH24" i="18"/>
  <c r="AB32" i="18"/>
  <c r="J32" i="18"/>
  <c r="V16" i="18"/>
  <c r="V40" i="18"/>
  <c r="AH32" i="18"/>
  <c r="V24" i="18"/>
  <c r="V32" i="18"/>
  <c r="AH8" i="18"/>
  <c r="AB8" i="18"/>
  <c r="P8" i="18"/>
  <c r="U31" i="1"/>
  <c r="AH40" i="18"/>
  <c r="AB24" i="18"/>
  <c r="P24" i="18"/>
  <c r="AD38" i="18"/>
  <c r="L30" i="18"/>
  <c r="AD30" i="18"/>
  <c r="AJ6" i="18"/>
  <c r="L14" i="18"/>
  <c r="L22" i="18"/>
  <c r="X6" i="18"/>
  <c r="L6" i="18"/>
  <c r="U19" i="1"/>
  <c r="R38" i="18"/>
  <c r="AJ38" i="18"/>
  <c r="L38" i="18"/>
  <c r="AD6" i="18"/>
  <c r="R6" i="18"/>
  <c r="AJ30" i="18"/>
  <c r="R30" i="18"/>
  <c r="AD22" i="18"/>
  <c r="AJ14" i="18"/>
  <c r="AJ22" i="18"/>
  <c r="AD14" i="18"/>
  <c r="X38" i="18"/>
  <c r="X14" i="18"/>
  <c r="R22" i="18"/>
  <c r="X22" i="18"/>
  <c r="T19" i="1"/>
  <c r="AI19"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T49" i="1"/>
  <c r="AH34" i="18"/>
  <c r="AH42" i="18"/>
  <c r="AH18" i="18"/>
  <c r="AB10" i="18"/>
  <c r="J26" i="18"/>
  <c r="V18" i="18"/>
  <c r="V42" i="18"/>
  <c r="J42" i="18"/>
  <c r="P10" i="18"/>
  <c r="AB26" i="18"/>
  <c r="J34" i="18"/>
  <c r="J18" i="18"/>
  <c r="AH10" i="18"/>
  <c r="AB34" i="18"/>
  <c r="P26" i="18"/>
  <c r="P34" i="18"/>
  <c r="V34" i="18"/>
  <c r="AH26" i="18"/>
  <c r="J10" i="18"/>
  <c r="U49" i="1"/>
  <c r="P18" i="18"/>
  <c r="AB42" i="18"/>
  <c r="V10" i="18"/>
  <c r="AB18" i="18"/>
  <c r="P42" i="18"/>
  <c r="V26" i="18"/>
  <c r="Z32" i="18"/>
  <c r="N24" i="18"/>
  <c r="AL32" i="18"/>
  <c r="AL40" i="18"/>
  <c r="N8" i="18"/>
  <c r="AF24" i="18"/>
  <c r="Z40" i="18"/>
  <c r="Z16" i="18"/>
  <c r="N32" i="18"/>
  <c r="T32" i="18"/>
  <c r="N40" i="18"/>
  <c r="T8" i="18"/>
  <c r="T43" i="1"/>
  <c r="AF32" i="18"/>
  <c r="AL8" i="18"/>
  <c r="T24" i="18"/>
  <c r="N16" i="18"/>
  <c r="T16" i="18"/>
  <c r="Z24" i="18"/>
  <c r="AF16" i="18"/>
  <c r="U43" i="1"/>
  <c r="T40" i="18"/>
  <c r="AF8" i="18"/>
  <c r="AL24" i="18"/>
  <c r="Z8" i="18"/>
  <c r="AF40" i="18"/>
  <c r="AL16" i="18"/>
  <c r="AH31" i="1" l="1"/>
  <c r="AH67" i="1"/>
  <c r="AH43" i="1"/>
  <c r="AH55" i="1"/>
  <c r="AH19" i="1"/>
  <c r="AH25" i="1"/>
  <c r="AH49" i="1"/>
  <c r="AH37" i="1"/>
  <c r="AH50" i="1" l="1"/>
  <c r="AH56" i="1"/>
  <c r="AH62" i="1"/>
  <c r="AH38" i="1"/>
  <c r="AH44" i="1"/>
  <c r="AH32" i="1"/>
  <c r="AH26" i="1"/>
  <c r="J40" i="19"/>
  <c r="V30" i="19"/>
  <c r="AH20" i="19"/>
  <c r="J30" i="19"/>
  <c r="V20" i="19"/>
  <c r="AH10" i="19"/>
  <c r="P10" i="19"/>
  <c r="AB50" i="19"/>
  <c r="J50" i="19"/>
  <c r="AB40" i="19"/>
  <c r="P30" i="19"/>
  <c r="V50" i="19"/>
  <c r="P50" i="19"/>
  <c r="AB10" i="19"/>
  <c r="AH30" i="19"/>
  <c r="AH40" i="19"/>
  <c r="J10" i="19"/>
  <c r="AB20" i="19"/>
  <c r="AH50" i="19"/>
  <c r="AJ37" i="1"/>
  <c r="V10" i="19"/>
  <c r="P20" i="19"/>
  <c r="J20" i="19"/>
  <c r="P40" i="19"/>
  <c r="V40" i="19"/>
  <c r="AB30" i="19"/>
  <c r="J11" i="19"/>
  <c r="V11" i="19"/>
  <c r="AB21" i="19"/>
  <c r="P31" i="19"/>
  <c r="J31" i="19"/>
  <c r="AB41" i="19"/>
  <c r="AJ43"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J67" i="1"/>
  <c r="P25" i="19"/>
  <c r="V55" i="19"/>
  <c r="J15" i="19"/>
  <c r="AB15" i="19"/>
  <c r="J35" i="19"/>
  <c r="AB35" i="19"/>
  <c r="J55" i="19"/>
  <c r="AB25" i="19"/>
  <c r="P35" i="19"/>
  <c r="P55" i="19"/>
  <c r="AB45" i="19"/>
  <c r="P15" i="19"/>
  <c r="J47" i="19"/>
  <c r="V27" i="19"/>
  <c r="AH7" i="19"/>
  <c r="P47" i="19"/>
  <c r="AB27" i="19"/>
  <c r="J17" i="19"/>
  <c r="V47" i="19"/>
  <c r="J37" i="19"/>
  <c r="AJ19" i="1"/>
  <c r="AB37" i="19"/>
  <c r="J27" i="19"/>
  <c r="V7" i="19"/>
  <c r="AH37" i="19"/>
  <c r="P27" i="19"/>
  <c r="AB7" i="19"/>
  <c r="P17" i="19"/>
  <c r="V17" i="19"/>
  <c r="AH47" i="19"/>
  <c r="P37" i="19"/>
  <c r="AB17" i="19"/>
  <c r="J7" i="19"/>
  <c r="V37" i="19"/>
  <c r="AH17" i="19"/>
  <c r="P7" i="19"/>
  <c r="AH27" i="19"/>
  <c r="AB47" i="19"/>
  <c r="AJ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H61" i="1"/>
  <c r="AJ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J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H45" i="1"/>
  <c r="V32" i="19"/>
  <c r="P42" i="19"/>
  <c r="J12" i="19"/>
  <c r="J32" i="19"/>
  <c r="AB52" i="19"/>
  <c r="AJ49" i="1"/>
  <c r="J22" i="19"/>
  <c r="V22" i="19"/>
  <c r="J52" i="19"/>
  <c r="AH12" i="19"/>
  <c r="J42" i="19"/>
  <c r="AH42" i="19"/>
  <c r="P32" i="19"/>
  <c r="AB12" i="19"/>
  <c r="AH32" i="19"/>
  <c r="AB32" i="19"/>
  <c r="AB42" i="19"/>
  <c r="V42" i="19"/>
  <c r="V12" i="19"/>
  <c r="V52" i="19"/>
  <c r="AB22" i="19"/>
  <c r="AH52" i="19"/>
  <c r="AH22" i="19"/>
  <c r="P22" i="19"/>
  <c r="P12" i="19"/>
  <c r="P52" i="19"/>
  <c r="AH51" i="1"/>
  <c r="AH20" i="1"/>
  <c r="AH68" i="1" l="1"/>
  <c r="K45" i="19" s="1"/>
  <c r="AH52" i="1"/>
  <c r="S12" i="19" s="1"/>
  <c r="W37" i="19"/>
  <c r="AI7" i="19"/>
  <c r="W17" i="19"/>
  <c r="W27" i="19"/>
  <c r="Q47" i="19"/>
  <c r="W7" i="19"/>
  <c r="AI17" i="19"/>
  <c r="K47" i="19"/>
  <c r="AI47" i="19"/>
  <c r="Q27" i="19"/>
  <c r="AC27" i="19"/>
  <c r="AC47" i="19"/>
  <c r="AC37" i="19"/>
  <c r="AI37" i="19"/>
  <c r="AJ20"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J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J44" i="1"/>
  <c r="P54" i="19"/>
  <c r="AH14" i="19"/>
  <c r="AB14" i="19"/>
  <c r="AH34" i="19"/>
  <c r="AB54" i="19"/>
  <c r="AH54" i="19"/>
  <c r="AJ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J51" i="1"/>
  <c r="AD12" i="19"/>
  <c r="AD32" i="19"/>
  <c r="AD22" i="19"/>
  <c r="X52" i="19"/>
  <c r="AD52" i="19"/>
  <c r="L42" i="19"/>
  <c r="R42" i="19"/>
  <c r="AJ21" i="19"/>
  <c r="AD31" i="19"/>
  <c r="R21" i="19"/>
  <c r="AD41" i="19"/>
  <c r="AJ11" i="19"/>
  <c r="AJ51" i="19"/>
  <c r="AJ45" i="1"/>
  <c r="L41" i="19"/>
  <c r="AD11" i="19"/>
  <c r="L21" i="19"/>
  <c r="L11" i="19"/>
  <c r="X51" i="19"/>
  <c r="X21" i="19"/>
  <c r="R11" i="19"/>
  <c r="R31" i="19"/>
  <c r="AJ41" i="19"/>
  <c r="L31" i="19"/>
  <c r="R51" i="19"/>
  <c r="X31" i="19"/>
  <c r="X11" i="19"/>
  <c r="X41" i="19"/>
  <c r="AJ31" i="19"/>
  <c r="AD51" i="19"/>
  <c r="R41" i="19"/>
  <c r="AD21" i="19"/>
  <c r="L51" i="19"/>
  <c r="AH21" i="1"/>
  <c r="AH33" i="1"/>
  <c r="AH57" i="1"/>
  <c r="K42" i="19"/>
  <c r="AC32" i="19"/>
  <c r="W42" i="19"/>
  <c r="AI52" i="19"/>
  <c r="K22" i="19"/>
  <c r="Q32" i="19"/>
  <c r="AI12" i="19"/>
  <c r="AC52" i="19"/>
  <c r="Q42" i="19"/>
  <c r="AC42" i="19"/>
  <c r="K12" i="19"/>
  <c r="Q22" i="19"/>
  <c r="W52" i="19"/>
  <c r="AI42" i="19"/>
  <c r="W32" i="19"/>
  <c r="AI22" i="19"/>
  <c r="W12" i="19"/>
  <c r="AI32" i="19"/>
  <c r="AC12" i="19"/>
  <c r="Q12" i="19"/>
  <c r="Q52" i="19"/>
  <c r="AJ50" i="1"/>
  <c r="K32" i="19"/>
  <c r="W22" i="19"/>
  <c r="K52" i="19"/>
  <c r="AC22" i="19"/>
  <c r="AC40" i="19"/>
  <c r="W10" i="19"/>
  <c r="AC50" i="19"/>
  <c r="Q10" i="19"/>
  <c r="Q30" i="19"/>
  <c r="W50" i="19"/>
  <c r="K40" i="19"/>
  <c r="Q50" i="19"/>
  <c r="W20" i="19"/>
  <c r="AJ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H63" i="1"/>
  <c r="K39" i="19"/>
  <c r="AC39" i="19"/>
  <c r="W29" i="19"/>
  <c r="AI49" i="19"/>
  <c r="W9" i="19"/>
  <c r="AC19" i="19"/>
  <c r="Q49" i="19"/>
  <c r="W49" i="19"/>
  <c r="AC9" i="19"/>
  <c r="AI9" i="19"/>
  <c r="Q29" i="19"/>
  <c r="W39" i="19"/>
  <c r="Q39" i="19"/>
  <c r="AJ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J56" i="1"/>
  <c r="Q33" i="19"/>
  <c r="AI23" i="19"/>
  <c r="K53" i="19"/>
  <c r="AC23" i="19"/>
  <c r="AC13" i="19"/>
  <c r="W23" i="19"/>
  <c r="W33" i="19"/>
  <c r="Q13" i="19"/>
  <c r="W13" i="19"/>
  <c r="AI13" i="19"/>
  <c r="Q43" i="19"/>
  <c r="Q23" i="19"/>
  <c r="W53" i="19"/>
  <c r="AK42" i="19"/>
  <c r="AE32" i="19"/>
  <c r="AJ52" i="1"/>
  <c r="Y52" i="19"/>
  <c r="S22" i="19"/>
  <c r="AK52" i="19"/>
  <c r="M22" i="19"/>
  <c r="AK32" i="19"/>
  <c r="AE22" i="19"/>
  <c r="AE42" i="19"/>
  <c r="S42" i="19"/>
  <c r="AH46" i="1"/>
  <c r="AH48" i="1"/>
  <c r="AH47" i="1"/>
  <c r="AH3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J26" i="1"/>
  <c r="M12" i="19" l="1"/>
  <c r="S52" i="19"/>
  <c r="AK22" i="19"/>
  <c r="AK12" i="19"/>
  <c r="AE52" i="19"/>
  <c r="Y42" i="19"/>
  <c r="Q55" i="19"/>
  <c r="Y22" i="19"/>
  <c r="Y32" i="19"/>
  <c r="AE12" i="19"/>
  <c r="M52" i="19"/>
  <c r="Y12" i="19"/>
  <c r="S32" i="19"/>
  <c r="M32" i="19"/>
  <c r="M42" i="19"/>
  <c r="W45" i="19"/>
  <c r="K25" i="19"/>
  <c r="W55" i="19"/>
  <c r="AI25" i="19"/>
  <c r="AI45" i="19"/>
  <c r="Q25" i="19"/>
  <c r="AJ68" i="1"/>
  <c r="AC35" i="19"/>
  <c r="AI15" i="19"/>
  <c r="Q35" i="19"/>
  <c r="W25" i="19"/>
  <c r="AC25" i="19"/>
  <c r="AI55" i="19"/>
  <c r="K15" i="19"/>
  <c r="Q15" i="19"/>
  <c r="K35" i="19"/>
  <c r="W35" i="19"/>
  <c r="W15" i="19"/>
  <c r="AC15" i="19"/>
  <c r="Q45" i="19"/>
  <c r="AC55" i="19"/>
  <c r="K55" i="19"/>
  <c r="AC45" i="19"/>
  <c r="AI35" i="19"/>
  <c r="AH69" i="1"/>
  <c r="AH27" i="1"/>
  <c r="R18" i="19" s="1"/>
  <c r="R40" i="19"/>
  <c r="AD10" i="19"/>
  <c r="X40" i="19"/>
  <c r="AJ10" i="19"/>
  <c r="R50" i="19"/>
  <c r="X10" i="19"/>
  <c r="R30" i="19"/>
  <c r="AJ39" i="1"/>
  <c r="L10" i="19"/>
  <c r="L50" i="19"/>
  <c r="AJ20" i="19"/>
  <c r="AJ40" i="19"/>
  <c r="AD30" i="19"/>
  <c r="R20" i="19"/>
  <c r="AD50" i="19"/>
  <c r="AJ30" i="19"/>
  <c r="AJ50" i="19"/>
  <c r="X30" i="19"/>
  <c r="AD20" i="19"/>
  <c r="L40" i="19"/>
  <c r="X50" i="19"/>
  <c r="X20" i="19"/>
  <c r="AD40" i="19"/>
  <c r="R10" i="19"/>
  <c r="L30" i="19"/>
  <c r="L20" i="19"/>
  <c r="AH58" i="1"/>
  <c r="AH72" i="1"/>
  <c r="AD47" i="19"/>
  <c r="AJ27" i="19"/>
  <c r="AD27" i="19"/>
  <c r="AJ7" i="19"/>
  <c r="AJ37" i="19"/>
  <c r="L27" i="19"/>
  <c r="AD17" i="19"/>
  <c r="L37" i="19"/>
  <c r="R17" i="19"/>
  <c r="AJ17" i="19"/>
  <c r="X7" i="19"/>
  <c r="X47" i="19"/>
  <c r="L7" i="19"/>
  <c r="L17" i="19"/>
  <c r="R27" i="19"/>
  <c r="X27" i="19"/>
  <c r="R7" i="19"/>
  <c r="X17" i="19"/>
  <c r="AJ47" i="19"/>
  <c r="L47" i="19"/>
  <c r="R37" i="19"/>
  <c r="AD7" i="19"/>
  <c r="X37" i="19"/>
  <c r="AJ21" i="1"/>
  <c r="R47" i="19"/>
  <c r="AD37" i="19"/>
  <c r="AH29" i="1"/>
  <c r="AH28" i="1"/>
  <c r="AH30" i="1"/>
  <c r="AJ43" i="19"/>
  <c r="AD33" i="19"/>
  <c r="X33" i="19"/>
  <c r="X13" i="19"/>
  <c r="AD43" i="19"/>
  <c r="L43" i="19"/>
  <c r="AJ57" i="1"/>
  <c r="X23" i="19"/>
  <c r="R33" i="19"/>
  <c r="R43" i="19"/>
  <c r="AD53" i="19"/>
  <c r="AJ13" i="19"/>
  <c r="R23" i="19"/>
  <c r="R13" i="19"/>
  <c r="AJ53" i="19"/>
  <c r="L33" i="19"/>
  <c r="L23" i="19"/>
  <c r="X43" i="19"/>
  <c r="X53" i="19"/>
  <c r="AD13" i="19"/>
  <c r="L53" i="19"/>
  <c r="L13" i="19"/>
  <c r="AD23" i="19"/>
  <c r="AJ33" i="19"/>
  <c r="AJ23" i="19"/>
  <c r="R53" i="19"/>
  <c r="AH22" i="1"/>
  <c r="Z11" i="19"/>
  <c r="AF31" i="19"/>
  <c r="T51" i="19"/>
  <c r="N51" i="19"/>
  <c r="Z41" i="19"/>
  <c r="AF21" i="19"/>
  <c r="AL31" i="19"/>
  <c r="T31" i="19"/>
  <c r="Z31" i="19"/>
  <c r="N21" i="19"/>
  <c r="N31" i="19"/>
  <c r="AL11" i="19"/>
  <c r="T11" i="19"/>
  <c r="AF11" i="19"/>
  <c r="AL41" i="19"/>
  <c r="T21" i="19"/>
  <c r="Z21" i="19"/>
  <c r="AL51" i="19"/>
  <c r="N11" i="19"/>
  <c r="AF51" i="19"/>
  <c r="N41" i="19"/>
  <c r="Z51" i="19"/>
  <c r="AJ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J48" i="1"/>
  <c r="AG11" i="19"/>
  <c r="AM41" i="19"/>
  <c r="AA21" i="19"/>
  <c r="AA51" i="19"/>
  <c r="U51" i="19"/>
  <c r="U31" i="19"/>
  <c r="AA11" i="19"/>
  <c r="AG21" i="19"/>
  <c r="O31" i="19"/>
  <c r="AH64" i="1"/>
  <c r="AH34" i="1"/>
  <c r="AH35" i="1"/>
  <c r="AH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H40" i="1"/>
  <c r="AE11" i="19"/>
  <c r="Y41" i="19"/>
  <c r="M41" i="19"/>
  <c r="Y21" i="19"/>
  <c r="AK41" i="19"/>
  <c r="S31" i="19"/>
  <c r="M31" i="19"/>
  <c r="M51" i="19"/>
  <c r="Y51" i="19"/>
  <c r="AK21" i="19"/>
  <c r="AK31" i="19"/>
  <c r="Y11" i="19"/>
  <c r="AE41" i="19"/>
  <c r="AE21" i="19"/>
  <c r="S51" i="19"/>
  <c r="AE51" i="19"/>
  <c r="AK51" i="19"/>
  <c r="M21" i="19"/>
  <c r="AE31" i="19"/>
  <c r="AJ46" i="1"/>
  <c r="S41" i="19"/>
  <c r="AK11" i="19"/>
  <c r="S11" i="19"/>
  <c r="Y31" i="19"/>
  <c r="S21" i="19"/>
  <c r="M11" i="19"/>
  <c r="L54" i="19"/>
  <c r="AJ14" i="19"/>
  <c r="AD44" i="19"/>
  <c r="X54" i="19"/>
  <c r="R14" i="19"/>
  <c r="AD24" i="19"/>
  <c r="AD34" i="19"/>
  <c r="R54" i="19"/>
  <c r="L34" i="19"/>
  <c r="AJ34" i="19"/>
  <c r="X24" i="19"/>
  <c r="AJ24" i="19"/>
  <c r="X44" i="19"/>
  <c r="R24" i="19"/>
  <c r="AJ63" i="1"/>
  <c r="X34" i="19"/>
  <c r="L14" i="19"/>
  <c r="AD14" i="19"/>
  <c r="L44" i="19"/>
  <c r="R44" i="19"/>
  <c r="AD54" i="19"/>
  <c r="X14" i="19"/>
  <c r="AJ44" i="19"/>
  <c r="R34" i="19"/>
  <c r="AJ54" i="19"/>
  <c r="L24" i="19"/>
  <c r="AD29" i="19"/>
  <c r="AD19" i="19"/>
  <c r="R39" i="19"/>
  <c r="R9" i="19"/>
  <c r="X49" i="19"/>
  <c r="X9" i="19"/>
  <c r="AD39" i="19"/>
  <c r="R29" i="19"/>
  <c r="L49" i="19"/>
  <c r="X19" i="19"/>
  <c r="X29" i="19"/>
  <c r="X39" i="19"/>
  <c r="L9" i="19"/>
  <c r="AJ33" i="1"/>
  <c r="AD9" i="19"/>
  <c r="AJ49" i="19"/>
  <c r="L39" i="19"/>
  <c r="R19" i="19"/>
  <c r="AJ39" i="19"/>
  <c r="AJ29" i="19"/>
  <c r="AJ19" i="19"/>
  <c r="AJ9" i="19"/>
  <c r="AD49" i="19"/>
  <c r="L19" i="19"/>
  <c r="L29" i="19"/>
  <c r="R49" i="19"/>
  <c r="R15" i="19" l="1"/>
  <c r="R55" i="19"/>
  <c r="AD25" i="19"/>
  <c r="L55" i="19"/>
  <c r="AJ35" i="19"/>
  <c r="X55" i="19"/>
  <c r="X35" i="19"/>
  <c r="AJ69" i="1"/>
  <c r="AD15" i="19"/>
  <c r="X25" i="19"/>
  <c r="X45" i="19"/>
  <c r="L35" i="19"/>
  <c r="R35" i="19"/>
  <c r="AJ15" i="19"/>
  <c r="L15" i="19"/>
  <c r="AJ25" i="19"/>
  <c r="AJ55" i="19"/>
  <c r="L45" i="19"/>
  <c r="AD35" i="19"/>
  <c r="R25" i="19"/>
  <c r="AD45" i="19"/>
  <c r="R45" i="19"/>
  <c r="AD55" i="19"/>
  <c r="X15" i="19"/>
  <c r="L25" i="19"/>
  <c r="AJ45" i="19"/>
  <c r="AH71" i="1"/>
  <c r="Z35" i="19" s="1"/>
  <c r="AH70" i="1"/>
  <c r="AJ48" i="19"/>
  <c r="L18" i="19"/>
  <c r="AD8" i="19"/>
  <c r="AJ8" i="19"/>
  <c r="AJ28" i="19"/>
  <c r="R48" i="19"/>
  <c r="X48" i="19"/>
  <c r="L8" i="19"/>
  <c r="AD28" i="19"/>
  <c r="X38" i="19"/>
  <c r="AJ27" i="1"/>
  <c r="X8" i="19"/>
  <c r="L48" i="19"/>
  <c r="AD48" i="19"/>
  <c r="AD38" i="19"/>
  <c r="X18" i="19"/>
  <c r="R38" i="19"/>
  <c r="R8" i="19"/>
  <c r="L38" i="19"/>
  <c r="R28" i="19"/>
  <c r="AJ38" i="19"/>
  <c r="AD18" i="19"/>
  <c r="L28" i="19"/>
  <c r="AJ18" i="19"/>
  <c r="X28" i="19"/>
  <c r="AH41" i="1"/>
  <c r="AH42" i="1"/>
  <c r="AG39" i="19"/>
  <c r="AG29" i="19"/>
  <c r="AM19" i="19"/>
  <c r="O39" i="19"/>
  <c r="AJ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J64" i="1"/>
  <c r="AE24" i="19"/>
  <c r="S14" i="19"/>
  <c r="AK17" i="19"/>
  <c r="S27" i="19"/>
  <c r="S37" i="19"/>
  <c r="AE27" i="19"/>
  <c r="Y47" i="19"/>
  <c r="S7" i="19"/>
  <c r="M17" i="19"/>
  <c r="AE17" i="19"/>
  <c r="AK27" i="19"/>
  <c r="Y7" i="19"/>
  <c r="Y37" i="19"/>
  <c r="AE37" i="19"/>
  <c r="Y27" i="19"/>
  <c r="M47" i="19"/>
  <c r="AJ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J28" i="1"/>
  <c r="AE28" i="19"/>
  <c r="AA55" i="19"/>
  <c r="O45" i="19"/>
  <c r="AA15" i="19"/>
  <c r="AM55" i="19"/>
  <c r="O55" i="19"/>
  <c r="AG35" i="19"/>
  <c r="AM25" i="19"/>
  <c r="AM35" i="19"/>
  <c r="AA25" i="19"/>
  <c r="AM45" i="19"/>
  <c r="AG25" i="19"/>
  <c r="AA35" i="19"/>
  <c r="O25" i="19"/>
  <c r="U25" i="19"/>
  <c r="AG45" i="19"/>
  <c r="U35" i="19"/>
  <c r="AA45" i="19"/>
  <c r="AM15" i="19"/>
  <c r="U45" i="19"/>
  <c r="O35" i="19"/>
  <c r="O15" i="19"/>
  <c r="AJ72" i="1"/>
  <c r="AG15" i="19"/>
  <c r="U15" i="19"/>
  <c r="AG55" i="19"/>
  <c r="U55" i="19"/>
  <c r="AE40" i="19"/>
  <c r="Y30" i="19"/>
  <c r="M20" i="19"/>
  <c r="AJ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J35" i="1"/>
  <c r="T19" i="19"/>
  <c r="AL49" i="19"/>
  <c r="T29" i="19"/>
  <c r="AF29" i="19"/>
  <c r="T18" i="19"/>
  <c r="N48" i="19"/>
  <c r="N8" i="19"/>
  <c r="T28" i="19"/>
  <c r="AF38" i="19"/>
  <c r="Z28" i="19"/>
  <c r="Z18" i="19"/>
  <c r="AF8" i="19"/>
  <c r="AJ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J34" i="1"/>
  <c r="M9" i="19"/>
  <c r="Y29" i="19"/>
  <c r="AH59" i="1"/>
  <c r="AH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H65" i="1"/>
  <c r="AH66" i="1"/>
  <c r="AH24" i="1"/>
  <c r="AH23" i="1"/>
  <c r="O8" i="19"/>
  <c r="AA48" i="19"/>
  <c r="AM38" i="19"/>
  <c r="U48" i="19"/>
  <c r="AA18" i="19"/>
  <c r="AG18" i="19"/>
  <c r="AG48" i="19"/>
  <c r="AM18" i="19"/>
  <c r="AA28" i="19"/>
  <c r="AG28" i="19"/>
  <c r="AA8" i="19"/>
  <c r="U18" i="19"/>
  <c r="AG38" i="19"/>
  <c r="U38" i="19"/>
  <c r="AM8" i="19"/>
  <c r="AA38" i="19"/>
  <c r="AM48" i="19"/>
  <c r="U28" i="19"/>
  <c r="O38" i="19"/>
  <c r="U8" i="19"/>
  <c r="AG8" i="19"/>
  <c r="AJ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J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J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J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J66" i="1"/>
  <c r="AA14" i="19"/>
  <c r="O54" i="19"/>
  <c r="U44" i="19"/>
  <c r="U43" i="19"/>
  <c r="U13" i="19"/>
  <c r="AM53" i="19"/>
  <c r="AA53" i="19"/>
  <c r="AA43" i="19"/>
  <c r="O53" i="19"/>
  <c r="O23" i="19"/>
  <c r="O13" i="19"/>
  <c r="AG43" i="19"/>
  <c r="U33" i="19"/>
  <c r="U23" i="19"/>
  <c r="AM13" i="19"/>
  <c r="AM23" i="19"/>
  <c r="AG13" i="19"/>
  <c r="AA23" i="19"/>
  <c r="AG33" i="19"/>
  <c r="AA33" i="19"/>
  <c r="AM33" i="19"/>
  <c r="AA13" i="19"/>
  <c r="AJ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J65" i="1"/>
  <c r="AF53" i="19"/>
  <c r="T43" i="19"/>
  <c r="Z53" i="19"/>
  <c r="N43" i="19"/>
  <c r="T23" i="19"/>
  <c r="AF43" i="19"/>
  <c r="Z13" i="19"/>
  <c r="Z43" i="19"/>
  <c r="AF23" i="19"/>
  <c r="AL13" i="19"/>
  <c r="Z23" i="19"/>
  <c r="AL43" i="19"/>
  <c r="AF13" i="19"/>
  <c r="AL23" i="19"/>
  <c r="N13" i="19"/>
  <c r="T33" i="19"/>
  <c r="AL53" i="19"/>
  <c r="N23" i="19"/>
  <c r="N53" i="19"/>
  <c r="AF33" i="19"/>
  <c r="N33" i="19"/>
  <c r="AJ59" i="1"/>
  <c r="T53" i="19"/>
  <c r="AL33" i="19"/>
  <c r="T13" i="19"/>
  <c r="Z33" i="19"/>
  <c r="Z47" i="19"/>
  <c r="T7" i="19"/>
  <c r="AL37" i="19"/>
  <c r="T17" i="19"/>
  <c r="Z17" i="19"/>
  <c r="AF7" i="19"/>
  <c r="AF37" i="19"/>
  <c r="N17" i="19"/>
  <c r="AF27" i="19"/>
  <c r="AJ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J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J24" i="1"/>
  <c r="AA17" i="19"/>
  <c r="O7" i="19"/>
  <c r="AA37" i="19"/>
  <c r="AA27" i="19"/>
  <c r="AM27" i="19"/>
  <c r="U17" i="19"/>
  <c r="U47" i="19"/>
  <c r="AG17" i="19"/>
  <c r="O47" i="19"/>
  <c r="Z40" i="19"/>
  <c r="AJ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<sst xmlns="http://schemas.openxmlformats.org/spreadsheetml/2006/main" count="875" uniqueCount="481">
  <si>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</si>
  <si>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</si>
  <si>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</si>
  <si>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</si>
  <si>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</si>
  <si>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</si>
  <si>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</si>
  <si>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</si>
  <si>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</si>
  <si>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</si>
  <si>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</si>
  <si>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</si>
  <si>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</si>
  <si>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</si>
  <si>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</si>
  <si>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</si>
  <si>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</si>
  <si>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</si>
  <si>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</si>
  <si>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</si>
  <si>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</si>
  <si>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</si>
  <si>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</si>
  <si>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</si>
  <si>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</si>
  <si>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</si>
  <si>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</si>
  <si>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</si>
  <si>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</si>
  <si>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</si>
  <si>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</si>
  <si>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</si>
  <si>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</si>
  <si>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</si>
  <si>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</si>
  <si>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</si>
  <si>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</si>
  <si>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</si>
  <si>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</si>
  <si>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</si>
  <si>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</si>
  <si>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</si>
  <si>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</si>
  <si>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</si>
  <si>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</si>
  <si>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</si>
  <si>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</si>
  <si>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</si>
  <si>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</si>
  <si>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</si>
  <si>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</si>
  <si>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</si>
  <si>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</si>
  <si>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</si>
  <si>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</si>
  <si>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</si>
  <si>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</si>
  <si>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</si>
  <si>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</si>
  <si>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</si>
  <si>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 xml:space="preserve">Control de cambios </t>
  </si>
  <si>
    <t>el registra la actualización de los riesgos a partir de 2023</t>
  </si>
  <si>
    <t>Versión inicial</t>
  </si>
  <si>
    <t>tipo de riesgos</t>
  </si>
  <si>
    <t>Fecha de cambio</t>
  </si>
  <si>
    <t>Aspecto(s) que cambiaron</t>
  </si>
  <si>
    <t>Descripción de los cambios efectuados</t>
  </si>
  <si>
    <t>2023 -v1</t>
  </si>
  <si>
    <t>na</t>
  </si>
  <si>
    <t>2023 -v2</t>
  </si>
  <si>
    <t>gestión</t>
  </si>
  <si>
    <t>interno</t>
  </si>
  <si>
    <t>se incorporo una nueva por el covid 2+</t>
  </si>
  <si>
    <t>1. Direccionamiento estratégico e innovación</t>
  </si>
  <si>
    <t>2. Atención a partes interesadas y comunicaciones</t>
  </si>
  <si>
    <t>3. Estrategia y gobierno de TI</t>
  </si>
  <si>
    <t>4. Planificación de la intervención vial</t>
  </si>
  <si>
    <t>5. Producción de mezcla y provisión de maquinaria y equipos</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</si>
  <si>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</si>
  <si>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</si>
  <si>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</si>
  <si>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</si>
  <si>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</si>
  <si>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</si>
  <si>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</si>
  <si>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</si>
  <si>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</si>
  <si>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</si>
  <si>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</si>
  <si>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</si>
  <si>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CONTEXTO  DE PROCESO</t>
  </si>
  <si>
    <t>Riesgo asociado</t>
  </si>
  <si>
    <t>FACTORES INTERNOS</t>
  </si>
  <si>
    <t>ORIGEN</t>
  </si>
  <si>
    <t>FORTALEZAS Y/O OPORTUNIDADES</t>
  </si>
  <si>
    <t>DEBILIDADES Y/O AMENAZAS</t>
  </si>
  <si>
    <t>DISEÑO DEL PROCESO:</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</si>
  <si>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</si>
  <si>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</si>
  <si>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</si>
  <si>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t>INTERACCIONES CON OTROS PROCESOS:</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</si>
  <si>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</si>
  <si>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</si>
  <si>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</si>
  <si>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TRANSVERSALIDAD</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</si>
  <si>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</si>
  <si>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</si>
  <si>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PROCEDIMIENTOS ASOCIADOS:</t>
  </si>
  <si>
    <t xml:space="preserve">RESPONSABLES DEL PROCESO: </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</si>
  <si>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</si>
  <si>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</si>
  <si>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COMUNICACIÓN ENTRE LOS PROCESOS:</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</si>
  <si>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</si>
  <si>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</si>
  <si>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ACTIVOS DE SEGURIDAD DIGITAL DEL PROCESO:</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</si>
  <si>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</si>
  <si>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</si>
  <si>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Aceptar</t>
  </si>
  <si>
    <t>Económico</t>
  </si>
  <si>
    <t>Evitar</t>
  </si>
  <si>
    <t>Reputacional</t>
  </si>
  <si>
    <t>Reducir (compartir)</t>
  </si>
  <si>
    <t>Económico y Reputacional</t>
  </si>
  <si>
    <t>Reducir (mitigar)</t>
  </si>
  <si>
    <t xml:space="preserve">Riesgo estrategico </t>
  </si>
  <si>
    <t>Objetivo Intitucional asociado</t>
  </si>
  <si>
    <t>Plan de accion (solo para la opción reducir)</t>
  </si>
  <si>
    <t>Si</t>
  </si>
  <si>
    <t>1. Lograr mecanismos de financiación que permitan incrementar los recursos propios de la entidad.</t>
  </si>
  <si>
    <t>Finalizado</t>
  </si>
  <si>
    <t>No</t>
  </si>
  <si>
    <t>2. Diseñar e implementar una estrategia de innovación que permita hacer más eficiente la gestión de la Unidad.</t>
  </si>
  <si>
    <t>En curso</t>
  </si>
  <si>
    <t xml:space="preserve">3.Mejorar el estado de la malla vial local, intermedia, rural, y de la ciclo-infraestructura de Bogotá D.C., </t>
  </si>
  <si>
    <t>4.Mejorar las condiciones de Infraestructura que permitan el uso y disfrute del espacio público en Bogotá D.C.</t>
  </si>
  <si>
    <t xml:space="preserve">Gestión </t>
  </si>
  <si>
    <t>Relaciones Laborales</t>
  </si>
  <si>
    <t>NA</t>
  </si>
  <si>
    <t>Daños Activos Fisicos</t>
  </si>
  <si>
    <t>Proyecto de inversión</t>
  </si>
  <si>
    <t>Ejecucion y Administracion de procesos</t>
  </si>
  <si>
    <t>7858 Conservación de la Malla Vial Distrital y Cicloinfraestructura de Bogotá</t>
  </si>
  <si>
    <t>Fallas Tecnologicas</t>
  </si>
  <si>
    <t xml:space="preserve">7859 Fortalecimiento Institucional </t>
  </si>
  <si>
    <t>Usuarios, productos y practicas , organizacionales</t>
  </si>
  <si>
    <t>7860 Fortalecimiento de los componentes de TI para la transformación digital</t>
  </si>
  <si>
    <t>Corrupción</t>
  </si>
  <si>
    <t>Fraude Externo</t>
  </si>
  <si>
    <t>7903 Apoyo a la adecuación y conservación del espacio público de Bogotá</t>
  </si>
  <si>
    <t>Fraude Interno</t>
  </si>
  <si>
    <t>Soborno</t>
  </si>
  <si>
    <t>seguridad</t>
  </si>
  <si>
    <t xml:space="preserve">Pérdida de la integridad </t>
  </si>
  <si>
    <t xml:space="preserve">Pérdida de la confidencialidad </t>
  </si>
  <si>
    <t xml:space="preserve">Pérdida de la disponibilidad </t>
  </si>
  <si>
    <t>Acciones no autorizadas </t>
  </si>
  <si>
    <t>Compromiso de la información </t>
  </si>
  <si>
    <t>Compromiso de las funciones </t>
  </si>
  <si>
    <t>Daño físico </t>
  </si>
  <si>
    <t>TIPO</t>
  </si>
  <si>
    <t>AMENAZA</t>
  </si>
  <si>
    <t>Fallas técnicas </t>
  </si>
  <si>
    <t>Fuego</t>
  </si>
  <si>
    <t>Perdida de los servicios esenciales </t>
  </si>
  <si>
    <t>Agua</t>
  </si>
  <si>
    <t>Perturbación debida a la radiación </t>
  </si>
  <si>
    <t>Contaminación</t>
  </si>
  <si>
    <t>Eventos naturales </t>
  </si>
  <si>
    <t>Accidente Importante</t>
  </si>
  <si>
    <t>Destrucción del equipo o medios </t>
  </si>
  <si>
    <t>Polvo, corrosión, congelamiento </t>
  </si>
  <si>
    <t>Fenómenos climáticos </t>
  </si>
  <si>
    <t>Fenómenos sísmicos </t>
  </si>
  <si>
    <t>Fenómenos volcánicos </t>
  </si>
  <si>
    <t>Fenómenos meteorológicos </t>
  </si>
  <si>
    <t>Inundación </t>
  </si>
  <si>
    <t>Fallas en el sistema de suministro de agua o aire acondicionado </t>
  </si>
  <si>
    <t>Perdida de suministro de energía </t>
  </si>
  <si>
    <t>Falla en equipo de telecomunicaciones </t>
  </si>
  <si>
    <t>Radiación electromagnética </t>
  </si>
  <si>
    <t>Radiación térmica </t>
  </si>
  <si>
    <t>Impulsos electromagnéticos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</si>
  <si>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</si>
  <si>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</si>
  <si>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</si>
  <si>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</si>
  <si>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</si>
  <si>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</si>
  <si>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</si>
  <si>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</si>
  <si>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</si>
  <si>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</si>
  <si>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</si>
  <si>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</si>
  <si>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</si>
  <si>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</si>
  <si>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</si>
  <si>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</si>
  <si>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Uso no autorizado del equipo </t>
  </si>
  <si>
    <t>Copia fraudulenta del software </t>
  </si>
  <si>
    <t>Uso de software falso o copiado </t>
  </si>
  <si>
    <t>Corrupción de los datos </t>
  </si>
  <si>
    <t>Procesamiento ilegal de datos </t>
  </si>
  <si>
    <t>Error en el uso </t>
  </si>
  <si>
    <t>Abuso de derechos </t>
  </si>
  <si>
    <t>Falsificación de derechos </t>
  </si>
  <si>
    <t>Negación de acciones </t>
  </si>
  <si>
    <t>Incumplimiento en la disponibilidad del personal </t>
  </si>
  <si>
    <t>FORMATO MAPA RIESGOS DE PROCESO</t>
  </si>
  <si>
    <t>CÓDIGO: DESI-FM-018</t>
  </si>
  <si>
    <t>VERSIÓN: 11</t>
  </si>
  <si>
    <t>Proceso:</t>
  </si>
  <si>
    <t>Objetivo:</t>
  </si>
  <si>
    <t>Alcance:</t>
  </si>
  <si>
    <t>Identificación del riesgo</t>
  </si>
  <si>
    <t>Contexto</t>
  </si>
  <si>
    <t>Instrumentos posiblemente afectados</t>
  </si>
  <si>
    <t>Análisis del riesgo inherente</t>
  </si>
  <si>
    <t>Evaluación del riesgo - Valoración de los controles</t>
  </si>
  <si>
    <t>Evaluación del riesgo - Nivel del riesgo residual</t>
  </si>
  <si>
    <t xml:space="preserve">Tratamiento del riesgo -plan de acción </t>
  </si>
  <si>
    <t>ACCION DE CONTINGENCIA</t>
  </si>
  <si>
    <t xml:space="preserve">Referencia </t>
  </si>
  <si>
    <t xml:space="preserve">Actividad clave o fase del proyecto </t>
  </si>
  <si>
    <t>Internas</t>
  </si>
  <si>
    <t>Externas</t>
  </si>
  <si>
    <t>Efectos (Consecuencias)</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</si>
  <si>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</si>
  <si>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</si>
  <si>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</si>
  <si>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</si>
  <si>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</si>
  <si>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</si>
  <si>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</si>
  <si>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</si>
  <si>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</si>
  <si>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</si>
  <si>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</si>
  <si>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</si>
  <si>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</si>
  <si>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</si>
  <si>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</si>
  <si>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</si>
  <si>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</si>
  <si>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</si>
  <si>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</si>
  <si>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 xml:space="preserve">Proyecto de Inversión asociado </t>
  </si>
  <si>
    <t>Tipo</t>
  </si>
  <si>
    <t>Implementación</t>
  </si>
  <si>
    <t>Calificación</t>
  </si>
  <si>
    <t>Documentación</t>
  </si>
  <si>
    <t>Frecuencia</t>
  </si>
  <si>
    <t>Evidencia</t>
  </si>
  <si>
    <t xml:space="preserve">     El riesgo afecta la imagen de la entidad con algunos usuarios de relevancia frente al logro de los objetivos</t>
  </si>
  <si>
    <t>Preventivo</t>
  </si>
  <si>
    <t>Manual</t>
  </si>
  <si>
    <t>Documentado</t>
  </si>
  <si>
    <t>Continua</t>
  </si>
  <si>
    <t>Con Registro</t>
  </si>
  <si>
    <t>Detectivo</t>
  </si>
  <si>
    <t>Sin Documentar</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</si>
  <si>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</si>
  <si>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</si>
  <si>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 RIESGOS GESTIÓN</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</si>
  <si>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</si>
  <si>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</si>
  <si>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</si>
  <si>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</si>
  <si>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</si>
  <si>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</si>
  <si>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</si>
  <si>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</si>
  <si>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</si>
  <si>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</si>
  <si>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</si>
  <si>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</si>
  <si>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</si>
  <si>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</si>
  <si>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</si>
  <si>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 RIESGOS GESTIÓN</t>
  </si>
  <si>
    <t>Actividad clave o fase del proyecto</t>
  </si>
  <si>
    <t>Correctivo</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</si>
  <si>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</si>
  <si>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</si>
  <si>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</si>
  <si>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</si>
  <si>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</si>
  <si>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</si>
  <si>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</si>
  <si>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</si>
  <si>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</si>
  <si>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</si>
  <si>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</si>
  <si>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</si>
  <si>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</si>
  <si>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</si>
  <si>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</si>
  <si>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</si>
  <si>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</si>
  <si>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</si>
  <si>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</si>
  <si>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</si>
  <si>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</si>
  <si>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</si>
  <si>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</si>
  <si>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</si>
  <si>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</si>
  <si>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</si>
  <si>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</si>
  <si>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Tipo de activo</t>
  </si>
  <si>
    <t>Activo de información</t>
  </si>
  <si>
    <t>Tipo de amenaza</t>
  </si>
  <si>
    <t>Amenaza</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</si>
  <si>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</si>
  <si>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</si>
  <si>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</si>
  <si>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</si>
  <si>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</si>
  <si>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</si>
  <si>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</si>
  <si>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</si>
  <si>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</si>
  <si>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</si>
  <si>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</si>
  <si>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</si>
  <si>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</si>
  <si>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</si>
  <si>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</si>
  <si>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 xml:space="preserve">Equivalente </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</si>
  <si>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</si>
  <si>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</si>
  <si>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</si>
  <si>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</si>
  <si>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</si>
  <si>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</si>
  <si>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</si>
  <si>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</si>
  <si>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</si>
  <si>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</si>
  <si>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</si>
  <si>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</si>
  <si>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</si>
  <si>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</si>
  <si>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</si>
  <si>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</si>
  <si>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</si>
  <si>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</si>
  <si>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</si>
  <si>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</si>
  <si>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</si>
  <si>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</si>
  <si>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</si>
  <si>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</si>
  <si>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</si>
  <si>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</si>
  <si>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</si>
  <si>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</si>
  <si>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</si>
  <si>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</si>
  <si>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</si>
  <si>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</si>
  <si>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</si>
  <si>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</si>
  <si>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</si>
  <si>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</si>
  <si>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</si>
  <si>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</si>
  <si>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Gestión</t>
  </si>
  <si>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</si>
  <si>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</si>
  <si>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</si>
  <si>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</si>
  <si>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</si>
  <si>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</si>
  <si>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Seguridad Digital</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</si>
  <si>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</si>
  <si>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</si>
  <si>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</si>
  <si>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</si>
  <si>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</si>
  <si>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</si>
  <si>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</si>
  <si>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</si>
  <si>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</si>
  <si>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</si>
  <si>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</si>
  <si>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INFORMACIÓN</t>
  </si>
  <si>
    <t>SOFTWARE</t>
  </si>
  <si>
    <t>HARDWARE</t>
  </si>
  <si>
    <t>INSTALACIONES</t>
  </si>
  <si>
    <t>PROCESOS</t>
  </si>
  <si>
    <t>RECURSOS HUMANOS</t>
  </si>
  <si>
    <t>RED</t>
  </si>
  <si>
    <t>SERVICIOS</t>
  </si>
  <si>
    <t>EQUIPAMIENTO AUXILIAR</t>
  </si>
  <si>
    <t>COMPONENTES DE RED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</si>
  <si>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</si>
  <si>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</si>
  <si>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</si>
  <si>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</si>
  <si>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</si>
  <si>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</si>
  <si>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</si>
  <si>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</si>
  <si>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</si>
  <si>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</si>
  <si>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</si>
  <si>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</si>
  <si>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</si>
  <si>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</si>
  <si>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</si>
  <si>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</si>
  <si>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</si>
  <si>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</si>
  <si>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</si>
  <si>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</si>
  <si>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</si>
  <si>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</si>
  <si>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Registro Sustancial</t>
  </si>
  <si>
    <t>Registro Material</t>
  </si>
  <si>
    <t>Sin registro</t>
  </si>
  <si>
    <t>Reducir</t>
  </si>
  <si>
    <t>FECHA DE APLICACIÓN: NOVIEMBRE 2022</t>
  </si>
  <si>
    <t xml:space="preserve">Tratamiento del riesgo -Plan de acción </t>
  </si>
  <si>
    <t xml:space="preserve">Acción de Contigencia </t>
  </si>
  <si>
    <t>Objetivo Institucional  asociado</t>
  </si>
  <si>
    <t>Coordinar los diferentes procesos de contratación requeridos por la entidad, en las etapas precontractual, contractual y pos contractual, mediante la sujeción de la normatividad legal vigente, con el fin de garantizar la adquisición de bienes, servicios y obra pública para suplir las necesidades de la entidad, y el cumplimiento de las metas y los objetivos institucionales de la entidad, bajo parámetros de efectividad, calidad y transparencia.</t>
  </si>
  <si>
    <t>Inicia con la identificación y programación de las necesidades de adquisición de bienes, servicios y obras públicas de la entidad y finaliza con la liquidación de los contratos, si a ello hay lugar y el archivo final de todos los documentos del proceso contractual.</t>
  </si>
  <si>
    <t xml:space="preserve">Perdida de la imagen de la entidad </t>
  </si>
  <si>
    <t>Orientación de la contratación por presión indebida o intereses personales, cambios injustificados y debilidades en la integridad de quien adelanta el proceso contractual</t>
  </si>
  <si>
    <t>Posibilidad de afectación reputacional por perdida de la imagen de la entidad debido a la orientación de la contratación por presión indebida o intereses personales, cambios injustificados y debilidades en la integridad de quien adelanta el proceso contractual.</t>
  </si>
  <si>
    <t>Adelantar las etapas pre-contractual y contractual de los procesos  para suplir las necesidades de bienes, servicios y obra pública previstos en el plan anual de adquisiciones de la entidad</t>
  </si>
  <si>
    <t>No aplicación de los principios y valores de integridad en el desarrollo de las actividades del proceso contractual.</t>
  </si>
  <si>
    <t>Cambios normativos que afecten los controles en el desarrollo de los procesos contractuales.</t>
  </si>
  <si>
    <t>Sanciones o investigaciones disciplinarias, fiscales o penales.</t>
  </si>
  <si>
    <t>X</t>
  </si>
  <si>
    <t>R1-C1 
El profesional (servidor público o contratista) del proceso de Gestión Contractual, cada vez que tenga que adelantar un proceso contractual (exceptuando las modalidades de mínima cuantía y contratación directa), conforme a las necesidades que se encuentran incluidas en el Plan Anual de Adquisiciones (PAA), verifica que el proceso de selección haya sido aprobado por el comité de contratación Antes de su publicación en SECOP.
Como evidencia se cuenta con las actas del comité de contratación donde se identifican los procesos aprobados para continuar con el ciclo contractual.
En caso de evidenciar que no se ha aprobado el proceso de selección por parte del Comité de Contratación, se solicitará al Secretario(a) Técnico del Comité de Contratación, convocar a través del correo institucional a sesión extraordinaria del mismo Comité.</t>
  </si>
  <si>
    <t>R1-C2
El Enlace del proceso GCON verifica la participación del equipo de gestión contractual en la sensibilización Anual del Manual "código de integridad UAERMV", con el objeto de apropiar la integridad en el marco de la lucha contra la corrupción, para evitar conductas o comportamientos inadecuados, que transgredan dicho código. 
Como evidencia se aportará el listado de asistencia a la sensibilización y se aplicará Evaluación Interna al equipo de gestión contractual de esta sensibilización.
En caso de evidenciar que no se ha realizado la sensibilización, reiterará la solicitud para su realización a Gestión de Talento Humano a través del correo institucional.</t>
  </si>
  <si>
    <t>Servidor Público o contratista designado</t>
  </si>
  <si>
    <t>Listados de asistencia, grabación de la sesión y la presentación de esta.</t>
  </si>
  <si>
    <t>Informar las situaciones y evidencias identicadas en la suscripción del contrato a la Oficina de Control Disciplinario Interno, para que se tomen las medidas correspondientes.</t>
  </si>
  <si>
    <t>Comunicación oficial</t>
  </si>
  <si>
    <t xml:space="preserve">Secretaria General </t>
  </si>
  <si>
    <t>Realizar una (1) mesa de trabajo para sensibilizar al equipo GCON en las temáticas "estructuración y evaluación de contratos en el ejercicio de buenas prácticas en la contratación estatal, principios de la función pública, principios de la contratación estatal y las responsabilidades disciplinarias, fiscales, penales y civiles", Aplicación de documentos TIPO, para evitar modificaciones a pliegos de condiciones, durante el proceso de selección, sin la debida justificación.</t>
  </si>
  <si>
    <t>Perdida de credibilidad y confianza de las partes interesadas</t>
  </si>
  <si>
    <t>Diligenciamiento del formato Análisis de Riesgos Contractuales  fuera del lineamiento establecido por Colombia Compra Eficiente.</t>
  </si>
  <si>
    <t>R2-C1
El servidor público o contratista (profesional) del proceso Gestión Contractual, designado por la Secretaria General, cada vez que se adelante un proceso contractual selectivo, revisa que los riesgos identificados para el proceso de selección sean coherentes con lo estipulado en el "manual para la identificación y asignación de los riesgos"  expedido por Colombia Compra Eficiente.
Como evidencia se deja en el aplicativo ORFEO registro de la aprobación de la matriz de riesgos del proceso de selección. 
En caso de que se evidencien inconsistencias en la matriz de riesgos del proceso selectivo, se realizarán en el aplicativo ORFEO las observaciones por parte del servidor público o contratista que revisó, para sus ajustes.</t>
  </si>
  <si>
    <t>R2-C2
El servidor público o contratista (profesional), del proceso Gestión Contractual,  designado por la Secretaria General, antes de aprobar los documentos definitivos de un proceso de selección, valida que la matriz de riesgos se diligenció de conformidad con el formato GCON-FM-089: "ANÁLISIS DE RIESGOS CONTRACTUALES" vigente y publicada en el SECOP.
Como evidencia: El formato GCON-FM-089 dentro del expediente contractual.
En caso de evidenciar que no se diligenció el formato GCON-FM-089, el servidor público o contratista GCON, responsable del proceso contractual en mención procederá a analizar desde el punto de vista jurídico y elaborará el documento que corresponda según el caso y el punto donde está el proceso en la etapa precontractual.</t>
  </si>
  <si>
    <t>Socializar al equipo de GCON y los estructuradores de procesos selectivos la metodología para el diligenciamiento del formato GCON-FM-089- Análisis de riesgos contractuales.</t>
  </si>
  <si>
    <t>Listado de asistencia y presentación de la socialización adelantada.</t>
  </si>
  <si>
    <t xml:space="preserve"> La información y documentos soporte publicados en el SECOP difieren del expediente contractual a nivel interno de la entidad en Orfeo.</t>
  </si>
  <si>
    <t>Posibilidad de afectación reputacional por perdida de credibilidad y confianza de las partes interesadas debido a que la información y documentos soporte publicados en el SECOP de procesos selectivos difieren del expediente contractual a nivel interno de la entidad en Orfeo.</t>
  </si>
  <si>
    <t>R3-C1
El servidor público o contratista (profesional) del proceso GCON designado por la Secretaria General para adelantar el proceso de selección diligencia, revisa e incluye en el expediente del proceso en Orfeo el formato de referencia cruzada, el cual debe ser concordante con el proceso de selección que se adelante a través de la plataforma del Secop II
Como evidencia: Formato de referencia cruzada diligenciado de cada proceso Selectivo, publicado en el ORFEO.
En caso de verificar que no se encuentra cargado en el ORFEO deberá diligenciarlo e incluirlo en el expediente de ORFEO.</t>
  </si>
  <si>
    <t>Socializar al equipo de  GCON el formato de referencia cruzada,  diligenciamiento y publicación en ORFEO.</t>
  </si>
  <si>
    <t>Elaborar acto administrativo aclaratorio para la corrección de la información publicada en la plataforma SECOP.</t>
  </si>
  <si>
    <t>Actos administrativos aclaratorios</t>
  </si>
  <si>
    <t>perdida de credibilidad y confianza de las partes interesadas</t>
  </si>
  <si>
    <t>Segregación inadecuada de las funciones del personal de planta de la entidad.</t>
  </si>
  <si>
    <t>Posibilidad de afectación reputacional por perdida de credibilidad y confianza de las partes interesadas debido a la contratación de prestación de servicios profesionales y de apoyo a la gestión sin tener en cuenta la segregación de las funciones del personal de planta de la entidad.</t>
  </si>
  <si>
    <t>El servidor público o contratista (profesional) del proceso GCON designado por la Secretaria General para adelantar el proceso de contratación directa debe verificar  la existencia del certificado de inexistencia o insuficiencia de personal de planta, donde se identifique que:
I. No existe personal que pueda desarrollar la actividad para la cual se requiere contratar la prestación del servicio.
II.Existe personal en la planta, pero este no es suficiente.
III. El desarrollo de la actividad requiere un grado de especialización y un perfil diferente a los establecidos en el manual de funciones y competencias de la Unidad, lo que implica la inminente necesidad de contratación del servicio.
Como evidencia se entregaran formatos aleatorios de CERTIFICADO DE INEXISTENCIA O INSUFICIENCIA DE PERSONAL(GTHU-FM-031).
En caso de verificar que no se cuenta con el certificado, se debe solicitar al área generador de la necesidad la presentación de este.</t>
  </si>
  <si>
    <t>Realizar una socialización a las dependencias de la entidad, donde se resalte la importancia de diligenciar y solicitar la certificación de  INEXISTENCIA O INSUFICIENCIA DE PERSONAL(GTHU-FM-031) para la contratación de prestación de servicios (profesionales y apoyo a la gestión).</t>
  </si>
  <si>
    <t>Devolver al área correspondiente el proceso de contratación de prestación de servicios profesionales y apoyo a la gestión cuando no se aporte el certificado de INEXISTENCIA O INSUFICIENCIA DE PERSONAL(GTHU-FM-031)</t>
  </si>
  <si>
    <t>Radicado Orfeo del proceso de contratación</t>
  </si>
  <si>
    <t>Abogado asignado para adelantar el proceso de contratación de prestación  de servicios profesionales y de apoyo a la gestión.</t>
  </si>
  <si>
    <t>Posibilidad de afectación economica y reputacional por inclumplimientos normativos en la ejecución de un contrato o convenio debido a la falta de aplicación de las obligaciones y lineamientos descritos en el manual de interventoría y supervisión, por parte de los supervisores designado en la UMV.</t>
  </si>
  <si>
    <t>incumplimientos normativos en la supervisión de contratos o convenios</t>
  </si>
  <si>
    <t>Realizar seguimiento y modificación (cuando se requiera) a los contratos suscritos por la entidad en la etapa postcontractual.</t>
  </si>
  <si>
    <t>Inadecuada segregación de funciones para la contratación de prestación de servicios profesionales y de apoyo.</t>
  </si>
  <si>
    <t>Inaplicación de las obligaciones y lineamientos descritos en el manual de interventoría y supervisión.</t>
  </si>
  <si>
    <t>Desconocimiento del aplicativo ORFEO y del expediente creado para cada proceso por parte de los  supervisores de contratos y de apoyo a la supervisión, donde deben reposar todas las comunicaciones y documentos que se generen dentro del proceso, su ejecución y liquidación y el formato de referencia cruzada (FM), con la información publicada en el SECOP.</t>
  </si>
  <si>
    <t>Realizar una socialización a los colaboradores designados por las dependencias como punto de control, sobre la metodología para el seguimiento a la publicación de la información en Secop.</t>
  </si>
  <si>
    <t>Incremento de la TRM por encima de su comportamiento histórico o “normal” reportado o analizado por el Banco de la República; que impacte el valor de los ítems con posterioridad a la adjudicación del proceso</t>
  </si>
  <si>
    <t>Errores en la organización y custodia de de los documentos precontractuales de las diferentes modalidades de contratación.</t>
  </si>
  <si>
    <t>El profesional de GCON verifica que los puntos de control definidos por las dependencias realicen el seguimiento mensual al cargue de los documentos en SECOP. Como evidencia se cuenta con un listado con la relación de procesos, personas responsables y remisión de los seguimientos.
En el caso de que no se identifiquen seguimientos por las dependencias, se remitía correo electrónico informando la  situación.</t>
  </si>
  <si>
    <t xml:space="preserve">Acción de Contingencia </t>
  </si>
  <si>
    <t xml:space="preserve">Riesgo estratégico </t>
  </si>
  <si>
    <t>Reputaciones</t>
  </si>
  <si>
    <t>Posibilidad de afectación reputaciones por perdida de credibilidad y confianza de las partes interesadas, debido al diligenciamiento del formato Análisis de Riesgos Contractuales  fuera del lineamiento establecido por Colombia Compra Eficiente.</t>
  </si>
  <si>
    <t>Ejecución y Administración de procesos</t>
  </si>
  <si>
    <t>Diferencias en la estructuración de riesgos entre el grupo estructurador frente a la revisión realizada por  el abogado líder del proceso contractual.</t>
  </si>
  <si>
    <t>7858 Conservación de la Malla Vial Distrital y Ciclo infraestructura de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</si>
</sst>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0%"/>
    <numFmt numFmtId="165" formatCode="_-&quot;$&quot;\ * #,##0_-;\-&quot;$&quot;\ * #,##0_-;_-&quot;$&quot;\ * &quot;-&quot;??_-;_-@_-"/>
    <numFmt numFmtId="166" formatCode="&quot;$&quot;\ #,##0.00"/>
  </numFmts>
  <fonts count="94"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sz val="16"/>
      <name val="Arial"/>
      <family val="2"/>
    </font>
    <font>
      <sz val="12"/>
      <color theme="1"/>
      <name val="Arial"/>
      <family val="2"/>
    </font>
    <font>
      <b/>
      <sz val="10"/>
      <color theme="0"/>
      <name val="Arial Narrow"/>
      <family val="2"/>
    </font>
    <font>
      <sz val="8"/>
      <name val="Calibri"/>
      <family val="2"/>
      <scheme val="minor"/>
    </font>
    <font>
      <b/>
      <sz val="16"/>
      <color theme="5" tint="-0.249977111117893"/>
      <name val="Arial"/>
      <family val="2"/>
    </font>
    <font>
      <b/>
      <sz val="24"/>
      <color theme="1"/>
      <name val="Arial Narrow"/>
      <family val="2"/>
    </font>
    <font>
      <sz val="13"/>
      <name val="Arial"/>
      <family val="2"/>
    </font>
    <font>
      <sz val="12"/>
      <color rgb="FF000000"/>
      <name val="Arial"/>
      <family val="2"/>
    </font>
    <font>
      <sz val="11"/>
      <color rgb="FF000000"/>
      <name val="Arial"/>
      <family val="2"/>
    </font>
  </fonts>
  <fills count="3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3" tint="0.59999389629810485"/>
        <bgColor indexed="64"/>
      </patternFill>
    </fill>
  </fills>
  <borders count="118">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hair">
        <color theme="6" tint="-0.499984740745262"/>
      </left>
      <right/>
      <top/>
      <bottom style="hair">
        <color theme="6" tint="-0.499984740745262"/>
      </bottom>
      <diagonal/>
    </border>
    <border>
      <left/>
      <right/>
      <top/>
      <bottom style="hair">
        <color theme="6" tint="-0.499984740745262"/>
      </bottom>
      <diagonal/>
    </border>
    <border>
      <left/>
      <right style="hair">
        <color theme="6" tint="-0.499984740745262"/>
      </right>
      <top/>
      <bottom style="hair">
        <color theme="6"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theme="6" tint="-0.499984740745262"/>
      </left>
      <right/>
      <top/>
      <bottom/>
      <diagonal/>
    </border>
    <border>
      <left style="hair">
        <color theme="6" tint="-0.499984740745262"/>
      </left>
      <right/>
      <top style="medium">
        <color theme="6" tint="-0.499984740745262"/>
      </top>
      <bottom style="hair">
        <color theme="6" tint="-0.499984740745262"/>
      </bottom>
      <diagonal/>
    </border>
    <border>
      <left style="hair">
        <color theme="6" tint="-0.499984740745262"/>
      </left>
      <right/>
      <top style="hair">
        <color theme="6" tint="-0.499984740745262"/>
      </top>
      <bottom style="medium">
        <color theme="6" tint="-0.499984740745262"/>
      </bottom>
      <diagonal/>
    </border>
    <border>
      <left style="hair">
        <color theme="6" tint="-0.499984740745262"/>
      </left>
      <right/>
      <top style="hair">
        <color theme="6" tint="-0.499984740745262"/>
      </top>
      <bottom style="hair">
        <color theme="6" tint="-0.499984740745262"/>
      </bottom>
      <diagonal/>
    </border>
    <border>
      <left style="hair">
        <color theme="6" tint="-0.499984740745262"/>
      </left>
      <right style="hair">
        <color theme="6" tint="-0.499984740745262"/>
      </right>
      <top style="medium">
        <color indexed="64"/>
      </top>
      <bottom style="hair">
        <color theme="6" tint="-0.499984740745262"/>
      </bottom>
      <diagonal/>
    </border>
    <border>
      <left style="hair">
        <color theme="6" tint="-0.499984740745262"/>
      </left>
      <right style="hair">
        <color theme="6" tint="-0.499984740745262"/>
      </right>
      <top style="medium">
        <color indexed="64"/>
      </top>
      <bottom/>
      <diagonal/>
    </border>
  </borders>
  <cellStyleXfs count="7">
    <xf numFmtId="0" fontId="0" fillId="0" borderId="0"/>
    <xf numFmtId="9" fontId="12" fillId="0" borderId="0" applyFont="0" applyFill="0" applyBorder="0" applyAlignment="0" applyProtection="0"/>
    <xf numFmtId="0" fontId="42" fillId="0" borderId="0"/>
    <xf numFmtId="0" fontId="43" fillId="0" borderId="0"/>
    <xf numFmtId="0" fontId="4" fillId="0" borderId="0"/>
    <xf numFmtId="44" fontId="12" fillId="0" borderId="0" applyFont="0" applyFill="0" applyBorder="0" applyAlignment="0" applyProtection="0"/>
    <xf numFmtId="44" fontId="12" fillId="0" borderId="0" applyFont="0" applyFill="0" applyBorder="0" applyAlignment="0" applyProtection="0"/>
  </cellStyleXfs>
  <cellXfs count="568">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4" fillId="0" borderId="0" xfId="0" applyFont="1" applyAlignment="1">
      <alignment vertical="center"/>
    </xf>
    <xf numFmtId="0" fontId="25" fillId="0" borderId="0" xfId="0" applyFont="1"/>
    <xf numFmtId="0" fontId="23" fillId="0" borderId="0" xfId="0" applyFont="1"/>
    <xf numFmtId="0" fontId="0" fillId="0" borderId="0" xfId="0" pivotButton="1"/>
    <xf numFmtId="0" fontId="10" fillId="0" borderId="0" xfId="0" applyFont="1" applyAlignment="1">
      <alignment horizontal="justify" vertical="center" wrapText="1" readingOrder="1"/>
    </xf>
    <xf numFmtId="0" fontId="28" fillId="6" borderId="0" xfId="0" applyFont="1" applyFill="1" applyAlignment="1">
      <alignment horizontal="center" vertical="center" wrapText="1" readingOrder="1"/>
    </xf>
    <xf numFmtId="0" fontId="29" fillId="5" borderId="4" xfId="0" applyFont="1" applyFill="1" applyBorder="1" applyAlignment="1">
      <alignment horizontal="center" vertical="center" wrapText="1" readingOrder="1"/>
    </xf>
    <xf numFmtId="0" fontId="29" fillId="7" borderId="1" xfId="0" applyFont="1" applyFill="1" applyBorder="1" applyAlignment="1">
      <alignment horizontal="center" vertical="center" wrapText="1" readingOrder="1"/>
    </xf>
    <xf numFmtId="0" fontId="29" fillId="4" borderId="1" xfId="0" applyFont="1" applyFill="1" applyBorder="1" applyAlignment="1">
      <alignment horizontal="center" vertical="center" wrapText="1" readingOrder="1"/>
    </xf>
    <xf numFmtId="0" fontId="29" fillId="8" borderId="1" xfId="0" applyFont="1" applyFill="1" applyBorder="1" applyAlignment="1">
      <alignment horizontal="center" vertical="center" wrapText="1" readingOrder="1"/>
    </xf>
    <xf numFmtId="0" fontId="30" fillId="9" borderId="1" xfId="0" applyFont="1" applyFill="1" applyBorder="1" applyAlignment="1">
      <alignment horizontal="center" vertical="center" wrapText="1" readingOrder="1"/>
    </xf>
    <xf numFmtId="0" fontId="29" fillId="0" borderId="4" xfId="0" applyFont="1" applyBorder="1" applyAlignment="1">
      <alignment horizontal="center" vertical="center" wrapText="1" readingOrder="1"/>
    </xf>
    <xf numFmtId="0" fontId="29"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0" fillId="3" borderId="0" xfId="0" applyFill="1"/>
    <xf numFmtId="0" fontId="44" fillId="3" borderId="40" xfId="2" applyFont="1" applyFill="1" applyBorder="1"/>
    <xf numFmtId="0" fontId="44" fillId="3" borderId="41" xfId="2" applyFont="1" applyFill="1" applyBorder="1"/>
    <xf numFmtId="0" fontId="44" fillId="3" borderId="42" xfId="2" applyFont="1" applyFill="1" applyBorder="1"/>
    <xf numFmtId="0" fontId="14" fillId="3" borderId="0" xfId="0" applyFont="1" applyFill="1" applyAlignment="1">
      <alignment vertical="center"/>
    </xf>
    <xf numFmtId="0" fontId="4" fillId="3" borderId="0" xfId="0" applyFont="1" applyFill="1"/>
    <xf numFmtId="0" fontId="32" fillId="3" borderId="0" xfId="0" applyFont="1" applyFill="1"/>
    <xf numFmtId="0" fontId="33" fillId="3" borderId="23" xfId="0" applyFont="1" applyFill="1" applyBorder="1" applyAlignment="1">
      <alignment horizontal="center" vertical="center" wrapText="1" readingOrder="1"/>
    </xf>
    <xf numFmtId="0" fontId="34" fillId="3" borderId="23" xfId="0" applyFont="1" applyFill="1" applyBorder="1" applyAlignment="1">
      <alignment horizontal="justify" vertical="center" wrapText="1" readingOrder="1"/>
    </xf>
    <xf numFmtId="9" fontId="33" fillId="3" borderId="32" xfId="0" applyNumberFormat="1"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4" fillId="3" borderId="22" xfId="0" applyFont="1" applyFill="1" applyBorder="1" applyAlignment="1">
      <alignment horizontal="justify" vertical="center" wrapText="1" readingOrder="1"/>
    </xf>
    <xf numFmtId="9" fontId="33" fillId="3" borderId="27" xfId="0" applyNumberFormat="1"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xf numFmtId="0" fontId="34" fillId="3" borderId="29" xfId="0" applyFont="1" applyFill="1" applyBorder="1" applyAlignment="1">
      <alignment horizontal="justify" vertical="center" wrapText="1" readingOrder="1"/>
    </xf>
    <xf numFmtId="0" fontId="34" fillId="3" borderId="30" xfId="0" applyFont="1" applyFill="1" applyBorder="1" applyAlignment="1">
      <alignment horizontal="center" vertical="center" wrapText="1" readingOrder="1"/>
    </xf>
    <xf numFmtId="0" fontId="41" fillId="3" borderId="0" xfId="0" applyFont="1" applyFill="1"/>
    <xf numFmtId="0" fontId="33" fillId="15" borderId="34" xfId="0" applyFont="1" applyFill="1" applyBorder="1" applyAlignment="1">
      <alignment horizontal="center" vertical="center" wrapText="1" readingOrder="1"/>
    </xf>
    <xf numFmtId="0" fontId="33"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4" fillId="3" borderId="7" xfId="2" applyFont="1" applyFill="1" applyBorder="1"/>
    <xf numFmtId="0" fontId="49" fillId="3" borderId="0" xfId="0" applyFont="1" applyFill="1" applyAlignment="1">
      <alignment horizontal="left" vertical="center" wrapText="1"/>
    </xf>
    <xf numFmtId="0" fontId="50" fillId="3" borderId="0" xfId="0" applyFont="1" applyFill="1" applyAlignment="1">
      <alignment horizontal="left" vertical="top" wrapText="1"/>
    </xf>
    <xf numFmtId="0" fontId="44" fillId="3" borderId="0" xfId="2" applyFont="1" applyFill="1"/>
    <xf numFmtId="0" fontId="44" fillId="3" borderId="8" xfId="2" applyFont="1" applyFill="1" applyBorder="1"/>
    <xf numFmtId="0" fontId="44" fillId="3" borderId="9" xfId="2" applyFont="1" applyFill="1" applyBorder="1"/>
    <xf numFmtId="0" fontId="44" fillId="3" borderId="11" xfId="2" applyFont="1" applyFill="1" applyBorder="1"/>
    <xf numFmtId="0" fontId="44" fillId="3" borderId="10" xfId="2" applyFont="1" applyFill="1" applyBorder="1"/>
    <xf numFmtId="0" fontId="48" fillId="3" borderId="0" xfId="2" applyFont="1" applyFill="1" applyAlignment="1">
      <alignment horizontal="left" vertical="center" wrapText="1"/>
    </xf>
    <xf numFmtId="0" fontId="44" fillId="3" borderId="0" xfId="2" applyFont="1" applyFill="1" applyAlignment="1">
      <alignment horizontal="left" vertical="center" wrapText="1"/>
    </xf>
    <xf numFmtId="0" fontId="44" fillId="3" borderId="0" xfId="2" quotePrefix="1" applyFont="1" applyFill="1" applyAlignment="1">
      <alignment horizontal="left" vertical="center" wrapText="1"/>
    </xf>
    <xf numFmtId="0" fontId="46" fillId="3" borderId="7" xfId="2" quotePrefix="1" applyFont="1" applyFill="1" applyBorder="1" applyAlignment="1">
      <alignment horizontal="left" vertical="top" wrapText="1"/>
    </xf>
    <xf numFmtId="0" fontId="47" fillId="3" borderId="0" xfId="2" quotePrefix="1" applyFont="1" applyFill="1" applyAlignment="1">
      <alignment horizontal="left" vertical="top" wrapText="1"/>
    </xf>
    <xf numFmtId="0" fontId="47" fillId="3" borderId="8" xfId="2" quotePrefix="1" applyFont="1" applyFill="1" applyBorder="1" applyAlignment="1">
      <alignment horizontal="left" vertical="top" wrapText="1"/>
    </xf>
    <xf numFmtId="0" fontId="29" fillId="0" borderId="64" xfId="0" applyFont="1" applyBorder="1" applyAlignment="1">
      <alignment horizontal="justify" vertical="center" wrapText="1" readingOrder="1"/>
    </xf>
    <xf numFmtId="0" fontId="29" fillId="0" borderId="65" xfId="0" applyFont="1" applyBorder="1" applyAlignment="1">
      <alignment horizontal="justify" vertical="center" wrapText="1" readingOrder="1"/>
    </xf>
    <xf numFmtId="165" fontId="27"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4" fillId="3" borderId="0" xfId="0" applyFont="1" applyFill="1"/>
    <xf numFmtId="0" fontId="55" fillId="3" borderId="0" xfId="0" applyFont="1" applyFill="1" applyAlignment="1">
      <alignment horizontal="justify" vertical="center" wrapText="1" readingOrder="1"/>
    </xf>
    <xf numFmtId="0" fontId="54" fillId="0" borderId="0" xfId="0" applyFont="1"/>
    <xf numFmtId="0" fontId="56" fillId="3" borderId="0" xfId="0" applyFont="1" applyFill="1" applyAlignment="1">
      <alignment vertical="center"/>
    </xf>
    <xf numFmtId="44" fontId="0" fillId="3" borderId="0" xfId="5" applyFont="1" applyFill="1" applyAlignment="1">
      <alignment horizontal="left" vertical="center"/>
    </xf>
    <xf numFmtId="44" fontId="54" fillId="3" borderId="0" xfId="5" applyFont="1" applyFill="1" applyAlignment="1">
      <alignment horizontal="left" vertical="center"/>
    </xf>
    <xf numFmtId="44" fontId="0" fillId="0" borderId="0" xfId="5" applyFont="1" applyAlignment="1">
      <alignment horizontal="left" vertical="center"/>
    </xf>
    <xf numFmtId="44" fontId="26" fillId="0" borderId="0" xfId="5" applyFont="1" applyAlignment="1">
      <alignment horizontal="left" vertical="center"/>
    </xf>
    <xf numFmtId="0" fontId="0" fillId="0" borderId="0" xfId="0" applyAlignment="1">
      <alignment wrapText="1"/>
    </xf>
    <xf numFmtId="0" fontId="25" fillId="0" borderId="0" xfId="0" applyFont="1" applyAlignment="1">
      <alignment wrapText="1"/>
    </xf>
    <xf numFmtId="0" fontId="0" fillId="0" borderId="0" xfId="0" applyAlignment="1">
      <alignment vertical="center" wrapText="1"/>
    </xf>
    <xf numFmtId="0" fontId="57" fillId="0" borderId="0" xfId="0" applyFont="1"/>
    <xf numFmtId="0" fontId="58" fillId="0" borderId="0" xfId="0" applyFont="1"/>
    <xf numFmtId="0" fontId="59" fillId="0" borderId="0" xfId="0" applyFont="1"/>
    <xf numFmtId="0" fontId="60" fillId="0" borderId="0" xfId="0" applyFont="1" applyAlignment="1">
      <alignment wrapText="1"/>
    </xf>
    <xf numFmtId="0" fontId="59" fillId="0" borderId="0" xfId="0" applyFont="1" applyAlignment="1">
      <alignment wrapText="1"/>
    </xf>
    <xf numFmtId="0" fontId="57" fillId="0" borderId="8" xfId="0" applyFont="1" applyBorder="1"/>
    <xf numFmtId="0" fontId="62" fillId="0" borderId="8" xfId="0" applyFont="1" applyBorder="1"/>
    <xf numFmtId="0" fontId="63" fillId="19" borderId="69" xfId="0" applyFont="1" applyFill="1" applyBorder="1" applyAlignment="1">
      <alignment horizontal="center" vertical="center" wrapText="1"/>
    </xf>
    <xf numFmtId="0" fontId="64" fillId="19" borderId="10" xfId="0" applyFont="1" applyFill="1" applyBorder="1" applyAlignment="1">
      <alignment horizontal="center" vertical="center" wrapText="1"/>
    </xf>
    <xf numFmtId="0" fontId="63" fillId="19" borderId="33" xfId="0" applyFont="1" applyFill="1" applyBorder="1" applyAlignment="1">
      <alignment horizontal="center" vertical="center" wrapText="1"/>
    </xf>
    <xf numFmtId="0" fontId="62" fillId="0" borderId="0" xfId="0" applyFont="1"/>
    <xf numFmtId="0" fontId="63" fillId="19" borderId="69" xfId="0" applyFont="1" applyFill="1" applyBorder="1" applyAlignment="1">
      <alignment horizontal="center" vertical="center" textRotation="90" wrapText="1"/>
    </xf>
    <xf numFmtId="0" fontId="60" fillId="0" borderId="6" xfId="0" applyFont="1" applyBorder="1" applyAlignment="1">
      <alignment horizontal="justify" vertical="center" wrapText="1"/>
    </xf>
    <xf numFmtId="0" fontId="63" fillId="19" borderId="68" xfId="0" applyFont="1" applyFill="1" applyBorder="1" applyAlignment="1">
      <alignment horizontal="center" vertical="center" textRotation="90" wrapText="1"/>
    </xf>
    <xf numFmtId="0" fontId="60" fillId="0" borderId="68" xfId="0" applyFont="1" applyBorder="1" applyAlignment="1">
      <alignment horizontal="left" vertical="center" wrapText="1"/>
    </xf>
    <xf numFmtId="0" fontId="63" fillId="19" borderId="71" xfId="0" applyFont="1" applyFill="1" applyBorder="1" applyAlignment="1">
      <alignment horizontal="center" vertical="center" textRotation="90" wrapText="1"/>
    </xf>
    <xf numFmtId="0" fontId="60" fillId="0" borderId="69" xfId="0" applyFont="1" applyBorder="1" applyAlignment="1">
      <alignment horizontal="left" vertical="center" wrapText="1"/>
    </xf>
    <xf numFmtId="0" fontId="63" fillId="19" borderId="6" xfId="0" applyFont="1" applyFill="1" applyBorder="1" applyAlignment="1">
      <alignment horizontal="center" vertical="center" textRotation="90" wrapText="1"/>
    </xf>
    <xf numFmtId="0" fontId="67" fillId="0" borderId="68" xfId="0" applyFont="1" applyBorder="1" applyAlignment="1">
      <alignment horizontal="left" vertical="center" wrapText="1"/>
    </xf>
    <xf numFmtId="0" fontId="63" fillId="19" borderId="36" xfId="0" applyFont="1" applyFill="1" applyBorder="1" applyAlignment="1">
      <alignment horizontal="center" vertical="center" textRotation="90" wrapText="1"/>
    </xf>
    <xf numFmtId="0" fontId="68" fillId="0" borderId="8" xfId="0" applyFont="1" applyBorder="1"/>
    <xf numFmtId="0" fontId="69" fillId="20" borderId="6" xfId="0" applyFont="1" applyFill="1" applyBorder="1" applyAlignment="1">
      <alignment horizontal="center" vertical="center" textRotation="90" wrapText="1"/>
    </xf>
    <xf numFmtId="0" fontId="68" fillId="0" borderId="0" xfId="0" applyFont="1"/>
    <xf numFmtId="0" fontId="68" fillId="20" borderId="36" xfId="0" applyFont="1" applyFill="1" applyBorder="1"/>
    <xf numFmtId="0" fontId="70" fillId="20" borderId="69" xfId="0" applyFont="1" applyFill="1" applyBorder="1" applyAlignment="1">
      <alignment horizontal="center" vertical="center" wrapText="1"/>
    </xf>
    <xf numFmtId="0" fontId="69" fillId="20" borderId="69" xfId="0" applyFont="1" applyFill="1" applyBorder="1" applyAlignment="1">
      <alignment horizontal="center" vertical="center" wrapText="1"/>
    </xf>
    <xf numFmtId="0" fontId="64" fillId="0" borderId="0" xfId="0" applyFont="1" applyAlignment="1">
      <alignment horizontal="center" vertical="center"/>
    </xf>
    <xf numFmtId="0" fontId="63" fillId="0" borderId="0" xfId="0" applyFont="1" applyAlignment="1">
      <alignment horizontal="center" vertical="center"/>
    </xf>
    <xf numFmtId="0" fontId="60" fillId="0" borderId="0" xfId="0" applyFont="1"/>
    <xf numFmtId="0" fontId="71" fillId="0" borderId="0" xfId="0" applyFont="1" applyAlignment="1">
      <alignment vertical="center" wrapText="1"/>
    </xf>
    <xf numFmtId="0" fontId="71" fillId="0" borderId="73" xfId="0" applyFont="1" applyBorder="1" applyAlignment="1">
      <alignment horizontal="center" vertical="center" wrapText="1"/>
    </xf>
    <xf numFmtId="0" fontId="71" fillId="0" borderId="26" xfId="0" applyFont="1" applyBorder="1" applyAlignment="1">
      <alignment horizontal="center" vertical="center" wrapText="1"/>
    </xf>
    <xf numFmtId="0" fontId="76" fillId="0" borderId="77" xfId="0" applyFont="1" applyBorder="1" applyAlignment="1">
      <alignment horizontal="justify" vertical="center" wrapText="1"/>
    </xf>
    <xf numFmtId="0" fontId="76" fillId="0" borderId="79" xfId="0" applyFont="1" applyBorder="1" applyAlignment="1">
      <alignment horizontal="justify" vertical="center" wrapText="1"/>
    </xf>
    <xf numFmtId="0" fontId="75" fillId="16" borderId="77" xfId="0" applyFont="1" applyFill="1" applyBorder="1" applyAlignment="1">
      <alignment horizontal="center" vertical="center" wrapText="1"/>
    </xf>
    <xf numFmtId="0" fontId="75" fillId="16" borderId="79" xfId="0" applyFont="1" applyFill="1" applyBorder="1" applyAlignment="1">
      <alignment horizontal="center" vertical="center" wrapText="1"/>
    </xf>
    <xf numFmtId="0" fontId="75" fillId="16" borderId="81" xfId="0" applyFont="1" applyFill="1" applyBorder="1" applyAlignment="1">
      <alignment horizontal="center" vertical="center" wrapText="1"/>
    </xf>
    <xf numFmtId="0" fontId="73" fillId="16" borderId="29" xfId="0" applyFont="1" applyFill="1" applyBorder="1" applyAlignment="1">
      <alignment horizontal="center" vertical="center" wrapText="1"/>
    </xf>
    <xf numFmtId="0" fontId="73" fillId="16" borderId="30" xfId="0" applyFont="1" applyFill="1" applyBorder="1" applyAlignment="1">
      <alignment horizontal="center" vertical="center" wrapText="1"/>
    </xf>
    <xf numFmtId="0" fontId="75" fillId="19" borderId="69" xfId="0" applyFont="1" applyFill="1" applyBorder="1" applyAlignment="1">
      <alignment horizontal="center" vertical="center" wrapText="1"/>
    </xf>
    <xf numFmtId="0" fontId="75" fillId="19" borderId="36" xfId="0" applyFont="1" applyFill="1" applyBorder="1" applyAlignment="1">
      <alignment horizontal="center" vertical="center" wrapText="1"/>
    </xf>
    <xf numFmtId="0" fontId="76" fillId="0" borderId="10" xfId="0" applyFont="1" applyBorder="1" applyAlignment="1">
      <alignment horizontal="justify" vertical="center" wrapText="1"/>
    </xf>
    <xf numFmtId="0" fontId="60" fillId="0" borderId="5" xfId="0" applyFont="1" applyBorder="1" applyAlignment="1">
      <alignment horizontal="justify" vertical="center" wrapText="1"/>
    </xf>
    <xf numFmtId="0" fontId="60" fillId="0" borderId="5" xfId="0" applyFont="1" applyBorder="1" applyAlignment="1">
      <alignment horizontal="left" vertical="center" wrapText="1"/>
    </xf>
    <xf numFmtId="0" fontId="59" fillId="0" borderId="24" xfId="0" applyFont="1" applyBorder="1" applyAlignment="1">
      <alignment horizontal="left" vertical="center" wrapText="1"/>
    </xf>
    <xf numFmtId="0" fontId="59" fillId="0" borderId="5" xfId="0" applyFont="1" applyBorder="1" applyAlignment="1">
      <alignment horizontal="justify" vertical="center" wrapText="1"/>
    </xf>
    <xf numFmtId="0" fontId="62" fillId="0" borderId="85" xfId="0" applyFont="1" applyBorder="1" applyAlignment="1">
      <alignment horizontal="center" vertical="center"/>
    </xf>
    <xf numFmtId="0" fontId="62" fillId="0" borderId="84" xfId="0" applyFont="1" applyBorder="1" applyAlignment="1">
      <alignment horizontal="center" vertical="center"/>
    </xf>
    <xf numFmtId="0" fontId="68" fillId="0" borderId="86" xfId="0" applyFont="1" applyBorder="1" applyAlignment="1">
      <alignment horizontal="center" vertical="center"/>
    </xf>
    <xf numFmtId="0" fontId="78" fillId="24" borderId="89" xfId="0" applyFont="1" applyFill="1" applyBorder="1" applyAlignment="1">
      <alignment horizontal="left" vertical="center" wrapText="1" readingOrder="1"/>
    </xf>
    <xf numFmtId="0" fontId="78" fillId="25" borderId="89" xfId="0" applyFont="1" applyFill="1" applyBorder="1" applyAlignment="1">
      <alignment horizontal="left" vertical="center" wrapText="1" readingOrder="1"/>
    </xf>
    <xf numFmtId="0" fontId="84" fillId="0" borderId="84" xfId="0" applyFont="1" applyBorder="1" applyAlignment="1">
      <alignment vertical="center" wrapText="1"/>
    </xf>
    <xf numFmtId="0" fontId="83" fillId="0" borderId="84" xfId="0" applyFont="1" applyBorder="1" applyAlignment="1">
      <alignment vertical="center"/>
    </xf>
    <xf numFmtId="0" fontId="83" fillId="0" borderId="84" xfId="0" applyFont="1" applyBorder="1" applyAlignment="1">
      <alignment vertical="center" wrapText="1"/>
    </xf>
    <xf numFmtId="0" fontId="83" fillId="26" borderId="0" xfId="0" applyFont="1" applyFill="1" applyAlignment="1">
      <alignment horizontal="center" vertical="center"/>
    </xf>
    <xf numFmtId="0" fontId="75" fillId="26" borderId="69" xfId="0" applyFont="1" applyFill="1" applyBorder="1" applyAlignment="1">
      <alignment horizontal="center" vertical="center" wrapText="1"/>
    </xf>
    <xf numFmtId="0" fontId="75" fillId="26" borderId="36" xfId="0" applyFont="1" applyFill="1" applyBorder="1" applyAlignment="1">
      <alignment horizontal="center" vertical="center" wrapText="1"/>
    </xf>
    <xf numFmtId="0" fontId="0" fillId="3" borderId="0" xfId="0" applyFill="1" applyAlignment="1">
      <alignment vertical="top"/>
    </xf>
    <xf numFmtId="44" fontId="0" fillId="3" borderId="0" xfId="5" applyFont="1" applyFill="1" applyAlignment="1">
      <alignment horizontal="left" vertical="top"/>
    </xf>
    <xf numFmtId="0" fontId="0" fillId="0" borderId="0" xfId="0" applyAlignment="1">
      <alignment vertical="top"/>
    </xf>
    <xf numFmtId="44" fontId="53" fillId="3" borderId="0" xfId="5" applyFont="1" applyFill="1" applyAlignment="1">
      <alignment vertical="top"/>
    </xf>
    <xf numFmtId="0" fontId="80" fillId="0" borderId="90" xfId="0" applyFont="1" applyBorder="1" applyAlignment="1" applyProtection="1">
      <alignment horizontal="center" vertical="center" wrapText="1"/>
      <protection locked="0"/>
    </xf>
    <xf numFmtId="0" fontId="80" fillId="0" borderId="90" xfId="0" applyFont="1" applyBorder="1" applyAlignment="1" applyProtection="1">
      <alignment horizontal="justify" vertical="center" wrapText="1"/>
      <protection locked="0"/>
    </xf>
    <xf numFmtId="0" fontId="80" fillId="0" borderId="90" xfId="0" applyFont="1" applyBorder="1" applyAlignment="1" applyProtection="1">
      <alignment horizontal="justify" vertical="center"/>
      <protection locked="0"/>
    </xf>
    <xf numFmtId="0" fontId="80" fillId="0" borderId="90" xfId="0" applyFont="1" applyBorder="1" applyAlignment="1" applyProtection="1">
      <alignment horizontal="center" vertical="center"/>
      <protection hidden="1"/>
    </xf>
    <xf numFmtId="0" fontId="80" fillId="0" borderId="90" xfId="0" applyFont="1" applyBorder="1" applyAlignment="1" applyProtection="1">
      <alignment horizontal="center" vertical="center" textRotation="90"/>
      <protection locked="0"/>
    </xf>
    <xf numFmtId="9" fontId="80" fillId="0" borderId="90" xfId="0" applyNumberFormat="1" applyFont="1" applyBorder="1" applyAlignment="1" applyProtection="1">
      <alignment horizontal="center" vertical="center"/>
      <protection hidden="1"/>
    </xf>
    <xf numFmtId="164" fontId="80" fillId="0" borderId="90" xfId="1" applyNumberFormat="1" applyFont="1" applyFill="1" applyBorder="1" applyAlignment="1">
      <alignment horizontal="center" vertical="center"/>
    </xf>
    <xf numFmtId="0" fontId="81" fillId="0" borderId="90" xfId="0" applyFont="1" applyBorder="1" applyAlignment="1" applyProtection="1">
      <alignment horizontal="center" vertical="center" textRotation="90" wrapText="1"/>
      <protection hidden="1"/>
    </xf>
    <xf numFmtId="0" fontId="81" fillId="0" borderId="90" xfId="0" applyFont="1" applyBorder="1" applyAlignment="1" applyProtection="1">
      <alignment horizontal="center" vertical="center" textRotation="90"/>
      <protection hidden="1"/>
    </xf>
    <xf numFmtId="0" fontId="80" fillId="0" borderId="90" xfId="0" applyFont="1" applyBorder="1" applyAlignment="1" applyProtection="1">
      <alignment horizontal="center" vertical="center" textRotation="90" wrapText="1"/>
      <protection locked="0"/>
    </xf>
    <xf numFmtId="0" fontId="80" fillId="0" borderId="90" xfId="0" applyFont="1" applyBorder="1" applyAlignment="1" applyProtection="1">
      <alignment horizontal="center" vertical="center"/>
      <protection locked="0"/>
    </xf>
    <xf numFmtId="14" fontId="80" fillId="0" borderId="90" xfId="0" applyNumberFormat="1" applyFont="1" applyBorder="1" applyAlignment="1" applyProtection="1">
      <alignment horizontal="center" vertical="center"/>
      <protection locked="0"/>
    </xf>
    <xf numFmtId="0" fontId="80" fillId="0" borderId="0" xfId="0" applyFont="1"/>
    <xf numFmtId="0" fontId="80" fillId="0" borderId="90" xfId="0" applyFont="1" applyBorder="1" applyAlignment="1" applyProtection="1">
      <alignment horizontal="justify" vertical="top" wrapText="1"/>
      <protection locked="0"/>
    </xf>
    <xf numFmtId="0" fontId="85" fillId="3" borderId="0" xfId="0" applyFont="1" applyFill="1"/>
    <xf numFmtId="0" fontId="85" fillId="0" borderId="0" xfId="0" applyFont="1"/>
    <xf numFmtId="0" fontId="80" fillId="3" borderId="0" xfId="0" applyFont="1" applyFill="1" applyAlignment="1">
      <alignment horizontal="center" vertical="center"/>
    </xf>
    <xf numFmtId="0" fontId="80" fillId="3" borderId="0" xfId="0" applyFont="1" applyFill="1" applyAlignment="1">
      <alignment horizontal="left" vertical="center"/>
    </xf>
    <xf numFmtId="0" fontId="80" fillId="3" borderId="0" xfId="0" applyFont="1" applyFill="1"/>
    <xf numFmtId="0" fontId="80" fillId="3" borderId="0" xfId="0" applyFont="1" applyFill="1" applyAlignment="1">
      <alignment horizontal="center"/>
    </xf>
    <xf numFmtId="0" fontId="81" fillId="0" borderId="0" xfId="0" applyFont="1" applyAlignment="1">
      <alignment horizontal="left" vertical="center"/>
    </xf>
    <xf numFmtId="0" fontId="80" fillId="0" borderId="0" xfId="0" applyFont="1" applyAlignment="1" applyProtection="1">
      <alignment horizontal="left" vertical="center" wrapText="1"/>
      <protection locked="0"/>
    </xf>
    <xf numFmtId="0" fontId="81" fillId="0" borderId="0" xfId="0" applyFont="1"/>
    <xf numFmtId="0" fontId="80" fillId="0" borderId="0" xfId="0" applyFont="1" applyAlignment="1">
      <alignment horizontal="left" wrapText="1"/>
    </xf>
    <xf numFmtId="0" fontId="81" fillId="16" borderId="90" xfId="0" applyFont="1" applyFill="1" applyBorder="1" applyAlignment="1">
      <alignment horizontal="center" vertical="center" textRotation="90"/>
    </xf>
    <xf numFmtId="0" fontId="81" fillId="3" borderId="0" xfId="0" applyFont="1" applyFill="1" applyAlignment="1">
      <alignment horizontal="center" vertical="center"/>
    </xf>
    <xf numFmtId="0" fontId="81" fillId="0" borderId="0" xfId="0" applyFont="1" applyAlignment="1">
      <alignment horizontal="center" vertical="center"/>
    </xf>
    <xf numFmtId="0" fontId="81" fillId="2" borderId="0" xfId="0" applyFont="1" applyFill="1" applyAlignment="1">
      <alignment horizontal="center" vertical="center"/>
    </xf>
    <xf numFmtId="0" fontId="80" fillId="0" borderId="90" xfId="0" applyFont="1" applyBorder="1" applyAlignment="1">
      <alignment horizontal="center" vertical="center"/>
    </xf>
    <xf numFmtId="0" fontId="80" fillId="0" borderId="0" xfId="0" applyFont="1" applyAlignment="1">
      <alignment vertical="center"/>
    </xf>
    <xf numFmtId="0" fontId="80" fillId="0" borderId="3" xfId="0" applyFont="1" applyBorder="1" applyAlignment="1">
      <alignment horizontal="center" vertical="center"/>
    </xf>
    <xf numFmtId="0" fontId="80" fillId="0" borderId="0" xfId="0" applyFont="1" applyAlignment="1">
      <alignment wrapText="1"/>
    </xf>
    <xf numFmtId="0" fontId="80" fillId="0" borderId="0" xfId="0" applyFont="1" applyAlignment="1">
      <alignment horizontal="center" vertical="center"/>
    </xf>
    <xf numFmtId="0" fontId="80" fillId="0" borderId="0" xfId="0" applyFont="1" applyAlignment="1">
      <alignment horizontal="center"/>
    </xf>
    <xf numFmtId="166" fontId="29" fillId="0" borderId="64" xfId="0" applyNumberFormat="1" applyFont="1" applyBorder="1" applyAlignment="1">
      <alignment horizontal="center" vertical="center" wrapText="1" readingOrder="1"/>
    </xf>
    <xf numFmtId="0" fontId="80" fillId="0" borderId="91" xfId="0" applyFont="1" applyBorder="1" applyAlignment="1" applyProtection="1">
      <alignment horizontal="center" vertical="center" wrapText="1"/>
      <protection locked="0"/>
    </xf>
    <xf numFmtId="0" fontId="80" fillId="0" borderId="99" xfId="0" applyFont="1" applyBorder="1" applyAlignment="1" applyProtection="1">
      <alignment horizontal="center" vertical="center" wrapText="1"/>
      <protection locked="0"/>
    </xf>
    <xf numFmtId="0" fontId="80" fillId="0" borderId="92" xfId="0" applyFont="1" applyBorder="1" applyAlignment="1" applyProtection="1">
      <alignment horizontal="center" vertical="center" wrapText="1"/>
      <protection locked="0"/>
    </xf>
    <xf numFmtId="0" fontId="81" fillId="16" borderId="92" xfId="0" applyFont="1" applyFill="1" applyBorder="1" applyAlignment="1">
      <alignment vertical="center"/>
    </xf>
    <xf numFmtId="0" fontId="0" fillId="21" borderId="7" xfId="0" applyFill="1" applyBorder="1"/>
    <xf numFmtId="0" fontId="0" fillId="21" borderId="0" xfId="0" applyFill="1"/>
    <xf numFmtId="0" fontId="0" fillId="0" borderId="8" xfId="0" applyBorder="1"/>
    <xf numFmtId="0" fontId="0" fillId="8" borderId="7" xfId="0" applyFill="1" applyBorder="1"/>
    <xf numFmtId="0" fontId="0" fillId="8" borderId="0" xfId="0" applyFill="1"/>
    <xf numFmtId="0" fontId="0" fillId="27" borderId="7" xfId="0" applyFill="1" applyBorder="1"/>
    <xf numFmtId="0" fontId="0" fillId="27" borderId="0" xfId="0" applyFill="1"/>
    <xf numFmtId="0" fontId="0" fillId="27" borderId="9" xfId="0" applyFill="1" applyBorder="1"/>
    <xf numFmtId="0" fontId="0" fillId="27" borderId="11" xfId="0" applyFill="1" applyBorder="1"/>
    <xf numFmtId="0" fontId="0" fillId="0" borderId="11" xfId="0" applyBorder="1"/>
    <xf numFmtId="0" fontId="0" fillId="0" borderId="10" xfId="0" applyBorder="1"/>
    <xf numFmtId="0" fontId="83" fillId="0" borderId="24" xfId="0" applyFont="1" applyBorder="1"/>
    <xf numFmtId="0" fontId="83" fillId="0" borderId="25" xfId="0" applyFont="1" applyBorder="1"/>
    <xf numFmtId="0" fontId="0" fillId="0" borderId="25" xfId="0" applyBorder="1"/>
    <xf numFmtId="0" fontId="0" fillId="0" borderId="36" xfId="0" applyBorder="1"/>
    <xf numFmtId="0" fontId="86" fillId="0" borderId="90" xfId="0" applyFont="1" applyBorder="1" applyAlignment="1" applyProtection="1">
      <alignment horizontal="justify" vertical="center" wrapText="1"/>
      <protection locked="0"/>
    </xf>
    <xf numFmtId="0" fontId="87" fillId="28" borderId="109" xfId="0" applyFont="1" applyFill="1" applyBorder="1" applyAlignment="1" applyProtection="1">
      <alignment horizontal="center" vertical="center" wrapText="1"/>
      <protection hidden="1"/>
    </xf>
    <xf numFmtId="0" fontId="87" fillId="28" borderId="110" xfId="0" applyFont="1" applyFill="1" applyBorder="1" applyAlignment="1" applyProtection="1">
      <alignment horizontal="center" vertical="center" wrapText="1"/>
      <protection hidden="1"/>
    </xf>
    <xf numFmtId="0" fontId="87" fillId="28" borderId="111" xfId="0" applyFont="1" applyFill="1" applyBorder="1" applyAlignment="1" applyProtection="1">
      <alignment horizontal="center" vertical="center" wrapText="1"/>
      <protection hidden="1"/>
    </xf>
    <xf numFmtId="0" fontId="0" fillId="3" borderId="0" xfId="0" applyFill="1" applyAlignment="1">
      <alignment horizontal="center" vertical="center"/>
    </xf>
    <xf numFmtId="14" fontId="0" fillId="3" borderId="0" xfId="0" applyNumberFormat="1" applyFill="1" applyAlignment="1">
      <alignment horizontal="center" vertical="center"/>
    </xf>
    <xf numFmtId="0" fontId="0" fillId="3" borderId="0" xfId="0" applyFill="1" applyAlignment="1">
      <alignment horizontal="center" vertical="center" wrapText="1"/>
    </xf>
    <xf numFmtId="0" fontId="71" fillId="0" borderId="0" xfId="0" applyFont="1" applyAlignment="1">
      <alignment vertical="center"/>
    </xf>
    <xf numFmtId="0" fontId="83" fillId="0" borderId="70" xfId="0" applyFont="1" applyBorder="1" applyAlignment="1">
      <alignment vertical="center"/>
    </xf>
    <xf numFmtId="0" fontId="83" fillId="3" borderId="0" xfId="0" applyFont="1" applyFill="1"/>
    <xf numFmtId="0" fontId="81" fillId="21" borderId="92" xfId="0" applyFont="1" applyFill="1" applyBorder="1" applyAlignment="1">
      <alignment horizontal="center" vertical="center" wrapText="1"/>
    </xf>
    <xf numFmtId="0" fontId="81" fillId="21" borderId="91" xfId="0" applyFont="1" applyFill="1" applyBorder="1" applyAlignment="1">
      <alignment horizontal="center" vertical="center" wrapText="1"/>
    </xf>
    <xf numFmtId="0" fontId="79" fillId="0" borderId="0" xfId="0" applyFont="1" applyAlignment="1">
      <alignment vertical="center"/>
    </xf>
    <xf numFmtId="0" fontId="89" fillId="0" borderId="0" xfId="0" applyFont="1" applyAlignment="1">
      <alignment vertical="center"/>
    </xf>
    <xf numFmtId="0" fontId="80" fillId="3" borderId="0" xfId="0" applyFont="1" applyFill="1" applyAlignment="1">
      <alignment wrapText="1"/>
    </xf>
    <xf numFmtId="0" fontId="80" fillId="0" borderId="0" xfId="0" applyFont="1" applyAlignment="1" applyProtection="1">
      <alignment vertical="center"/>
      <protection locked="0"/>
    </xf>
    <xf numFmtId="0" fontId="80" fillId="3" borderId="0" xfId="0" applyFont="1" applyFill="1" applyAlignment="1" applyProtection="1">
      <alignment vertical="center" wrapText="1"/>
      <protection locked="0"/>
    </xf>
    <xf numFmtId="0" fontId="81" fillId="3" borderId="0" xfId="0" applyFont="1" applyFill="1"/>
    <xf numFmtId="0" fontId="80" fillId="23" borderId="0" xfId="0" applyFont="1" applyFill="1" applyAlignment="1">
      <alignment horizontal="center" vertical="center"/>
    </xf>
    <xf numFmtId="0" fontId="80" fillId="23" borderId="0" xfId="0" applyFont="1" applyFill="1"/>
    <xf numFmtId="0" fontId="80" fillId="23" borderId="0" xfId="0" applyFont="1" applyFill="1" applyAlignment="1">
      <alignment horizontal="center"/>
    </xf>
    <xf numFmtId="0" fontId="80" fillId="23" borderId="0" xfId="0" applyFont="1" applyFill="1" applyAlignment="1">
      <alignment wrapText="1"/>
    </xf>
    <xf numFmtId="0" fontId="93" fillId="0" borderId="74" xfId="0" applyFont="1" applyBorder="1" applyAlignment="1">
      <alignment horizontal="center" vertical="center" wrapText="1"/>
    </xf>
    <xf numFmtId="0" fontId="93" fillId="0" borderId="75" xfId="0" applyFont="1" applyBorder="1" applyAlignment="1">
      <alignment horizontal="center" vertical="center" wrapText="1"/>
    </xf>
    <xf numFmtId="0" fontId="93" fillId="0" borderId="22" xfId="0" applyFont="1" applyBorder="1" applyAlignment="1">
      <alignment horizontal="center" vertical="center" wrapText="1"/>
    </xf>
    <xf numFmtId="0" fontId="93" fillId="0" borderId="27" xfId="0" applyFont="1" applyBorder="1" applyAlignment="1">
      <alignment horizontal="center" vertical="center" wrapText="1"/>
    </xf>
    <xf numFmtId="0" fontId="80" fillId="0" borderId="116" xfId="0" applyFont="1" applyBorder="1" applyAlignment="1" applyProtection="1">
      <alignment horizontal="justify" vertical="center" wrapText="1"/>
      <protection locked="0"/>
    </xf>
    <xf numFmtId="0" fontId="80" fillId="0" borderId="116" xfId="0" applyFont="1" applyBorder="1" applyAlignment="1" applyProtection="1">
      <alignment horizontal="justify" vertical="top" wrapText="1"/>
      <protection locked="0"/>
    </xf>
    <xf numFmtId="0" fontId="92" fillId="0" borderId="90" xfId="0" applyFont="1" applyBorder="1" applyAlignment="1" applyProtection="1">
      <alignment horizontal="center" vertical="center" wrapText="1"/>
      <protection locked="0"/>
    </xf>
    <xf numFmtId="14" fontId="80" fillId="0" borderId="90" xfId="0" applyNumberFormat="1" applyFont="1" applyBorder="1" applyAlignment="1" applyProtection="1">
      <alignment horizontal="center" vertical="center" wrapText="1"/>
      <protection locked="0"/>
    </xf>
    <xf numFmtId="0" fontId="45" fillId="23" borderId="37" xfId="2" applyFont="1" applyFill="1" applyBorder="1" applyAlignment="1">
      <alignment horizontal="center" vertical="center" wrapText="1"/>
    </xf>
    <xf numFmtId="0" fontId="45" fillId="23" borderId="38" xfId="2" applyFont="1" applyFill="1" applyBorder="1" applyAlignment="1">
      <alignment horizontal="center" vertical="center" wrapText="1"/>
    </xf>
    <xf numFmtId="0" fontId="45" fillId="23" borderId="39" xfId="2" applyFont="1" applyFill="1" applyBorder="1" applyAlignment="1">
      <alignment horizontal="center" vertical="center" wrapText="1"/>
    </xf>
    <xf numFmtId="0" fontId="44" fillId="0" borderId="7" xfId="2" quotePrefix="1" applyFont="1" applyBorder="1" applyAlignment="1">
      <alignment horizontal="left" vertical="center" wrapText="1"/>
    </xf>
    <xf numFmtId="0" fontId="44" fillId="0" borderId="0" xfId="2" quotePrefix="1" applyFont="1" applyAlignment="1">
      <alignment horizontal="left" vertical="center" wrapText="1"/>
    </xf>
    <xf numFmtId="0" fontId="44" fillId="0" borderId="8" xfId="2" quotePrefix="1" applyFont="1" applyBorder="1" applyAlignment="1">
      <alignment horizontal="left" vertical="center" wrapText="1"/>
    </xf>
    <xf numFmtId="0" fontId="44" fillId="0" borderId="57" xfId="2" quotePrefix="1" applyFont="1" applyBorder="1" applyAlignment="1">
      <alignment horizontal="left" vertical="center" wrapText="1"/>
    </xf>
    <xf numFmtId="0" fontId="44" fillId="0" borderId="58" xfId="2" quotePrefix="1" applyFont="1" applyBorder="1" applyAlignment="1">
      <alignment horizontal="left" vertical="center" wrapText="1"/>
    </xf>
    <xf numFmtId="0" fontId="44" fillId="0" borderId="59" xfId="2" quotePrefix="1" applyFont="1" applyBorder="1" applyAlignment="1">
      <alignment horizontal="left" vertical="center" wrapText="1"/>
    </xf>
    <xf numFmtId="0" fontId="46" fillId="3" borderId="40" xfId="2" quotePrefix="1" applyFont="1" applyFill="1" applyBorder="1" applyAlignment="1">
      <alignment horizontal="left" vertical="top" wrapText="1"/>
    </xf>
    <xf numFmtId="0" fontId="47" fillId="3" borderId="41" xfId="2" quotePrefix="1" applyFont="1" applyFill="1" applyBorder="1" applyAlignment="1">
      <alignment horizontal="left" vertical="top" wrapText="1"/>
    </xf>
    <xf numFmtId="0" fontId="47" fillId="3" borderId="42" xfId="2" quotePrefix="1" applyFont="1" applyFill="1" applyBorder="1" applyAlignment="1">
      <alignment horizontal="left" vertical="top" wrapText="1"/>
    </xf>
    <xf numFmtId="0" fontId="44" fillId="0" borderId="7" xfId="2" quotePrefix="1" applyFont="1" applyBorder="1" applyAlignment="1">
      <alignment horizontal="left" vertical="top" wrapText="1"/>
    </xf>
    <xf numFmtId="0" fontId="44" fillId="0" borderId="0" xfId="2" quotePrefix="1" applyFont="1" applyAlignment="1">
      <alignment horizontal="left" vertical="top" wrapText="1"/>
    </xf>
    <xf numFmtId="0" fontId="44" fillId="0" borderId="8" xfId="2" quotePrefix="1" applyFont="1" applyBorder="1" applyAlignment="1">
      <alignment horizontal="left" vertical="top" wrapText="1"/>
    </xf>
    <xf numFmtId="0" fontId="49" fillId="14" borderId="43" xfId="3" applyFont="1" applyFill="1" applyBorder="1" applyAlignment="1">
      <alignment horizontal="center" vertical="center" wrapText="1"/>
    </xf>
    <xf numFmtId="0" fontId="49" fillId="14" borderId="44" xfId="3" applyFont="1" applyFill="1" applyBorder="1" applyAlignment="1">
      <alignment horizontal="center" vertical="center" wrapText="1"/>
    </xf>
    <xf numFmtId="0" fontId="49" fillId="14" borderId="45" xfId="2" applyFont="1" applyFill="1" applyBorder="1" applyAlignment="1">
      <alignment horizontal="center" vertical="center"/>
    </xf>
    <xf numFmtId="0" fontId="49"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49" fillId="3" borderId="47" xfId="3" applyFont="1" applyFill="1" applyBorder="1" applyAlignment="1">
      <alignment horizontal="left" vertical="top" wrapText="1" readingOrder="1"/>
    </xf>
    <xf numFmtId="0" fontId="49" fillId="3" borderId="48" xfId="3" applyFont="1" applyFill="1" applyBorder="1" applyAlignment="1">
      <alignment horizontal="left" vertical="top" wrapText="1" readingOrder="1"/>
    </xf>
    <xf numFmtId="0" fontId="50" fillId="3" borderId="49" xfId="2" applyFont="1" applyFill="1" applyBorder="1" applyAlignment="1">
      <alignment horizontal="justify" vertical="center" wrapText="1"/>
    </xf>
    <xf numFmtId="0" fontId="50" fillId="3" borderId="50" xfId="2" applyFont="1" applyFill="1" applyBorder="1" applyAlignment="1">
      <alignment horizontal="justify" vertical="center" wrapText="1"/>
    </xf>
    <xf numFmtId="0" fontId="49" fillId="3" borderId="51" xfId="0" applyFont="1" applyFill="1" applyBorder="1" applyAlignment="1">
      <alignment horizontal="left" vertical="center" wrapText="1"/>
    </xf>
    <xf numFmtId="0" fontId="49" fillId="3" borderId="52" xfId="0" applyFont="1" applyFill="1" applyBorder="1" applyAlignment="1">
      <alignment horizontal="left" vertical="center" wrapText="1"/>
    </xf>
    <xf numFmtId="0" fontId="50" fillId="3" borderId="53" xfId="2" applyFont="1" applyFill="1" applyBorder="1" applyAlignment="1">
      <alignment horizontal="justify" vertical="center" wrapText="1"/>
    </xf>
    <xf numFmtId="0" fontId="50" fillId="3" borderId="54" xfId="2" applyFont="1" applyFill="1" applyBorder="1" applyAlignment="1">
      <alignment horizontal="justify" vertical="center" wrapText="1"/>
    </xf>
    <xf numFmtId="0" fontId="44" fillId="3" borderId="7" xfId="2" applyFont="1" applyFill="1" applyBorder="1" applyAlignment="1">
      <alignment horizontal="left" vertical="top" wrapText="1"/>
    </xf>
    <xf numFmtId="0" fontId="44" fillId="3" borderId="0" xfId="2" applyFont="1" applyFill="1" applyAlignment="1">
      <alignment horizontal="left" vertical="top" wrapText="1"/>
    </xf>
    <xf numFmtId="0" fontId="44" fillId="3" borderId="8" xfId="2" applyFont="1" applyFill="1" applyBorder="1" applyAlignment="1">
      <alignment horizontal="left" vertical="top" wrapText="1"/>
    </xf>
    <xf numFmtId="0" fontId="49" fillId="3" borderId="60" xfId="0" applyFont="1" applyFill="1" applyBorder="1" applyAlignment="1">
      <alignment horizontal="left" vertical="center" wrapText="1"/>
    </xf>
    <xf numFmtId="0" fontId="49" fillId="3" borderId="61" xfId="0" applyFont="1" applyFill="1" applyBorder="1" applyAlignment="1">
      <alignment horizontal="left" vertical="center" wrapText="1"/>
    </xf>
    <xf numFmtId="0" fontId="49" fillId="3" borderId="62" xfId="0" applyFont="1" applyFill="1" applyBorder="1" applyAlignment="1">
      <alignment horizontal="left" vertical="center" wrapText="1"/>
    </xf>
    <xf numFmtId="0" fontId="49" fillId="3" borderId="63" xfId="0" applyFont="1" applyFill="1" applyBorder="1" applyAlignment="1">
      <alignment horizontal="left" vertical="center" wrapText="1"/>
    </xf>
    <xf numFmtId="0" fontId="50" fillId="3" borderId="55" xfId="0" applyFont="1" applyFill="1" applyBorder="1" applyAlignment="1">
      <alignment horizontal="justify" vertical="center" wrapText="1"/>
    </xf>
    <xf numFmtId="0" fontId="50" fillId="3" borderId="56" xfId="0" applyFont="1" applyFill="1" applyBorder="1" applyAlignment="1">
      <alignment horizontal="justify" vertical="center" wrapText="1"/>
    </xf>
    <xf numFmtId="0" fontId="61" fillId="17" borderId="66" xfId="0" applyFont="1" applyFill="1" applyBorder="1" applyAlignment="1">
      <alignment horizontal="center" vertical="center" wrapText="1"/>
    </xf>
    <xf numFmtId="0" fontId="61" fillId="17" borderId="67" xfId="0" applyFont="1" applyFill="1" applyBorder="1" applyAlignment="1">
      <alignment horizontal="center" vertical="center" wrapText="1"/>
    </xf>
    <xf numFmtId="0" fontId="61" fillId="18" borderId="68" xfId="0" applyFont="1" applyFill="1" applyBorder="1" applyAlignment="1">
      <alignment horizontal="center" vertical="center" textRotation="90"/>
    </xf>
    <xf numFmtId="0" fontId="61" fillId="18" borderId="70" xfId="0" applyFont="1" applyFill="1" applyBorder="1" applyAlignment="1">
      <alignment horizontal="center" vertical="center" textRotation="90"/>
    </xf>
    <xf numFmtId="0" fontId="61" fillId="18" borderId="72" xfId="0" applyFont="1" applyFill="1" applyBorder="1" applyAlignment="1">
      <alignment horizontal="center" vertical="center" textRotation="90"/>
    </xf>
    <xf numFmtId="0" fontId="77" fillId="22" borderId="87" xfId="0" applyFont="1" applyFill="1" applyBorder="1" applyAlignment="1">
      <alignment horizontal="center" vertical="center"/>
    </xf>
    <xf numFmtId="0" fontId="77" fillId="22" borderId="88" xfId="0" applyFont="1" applyFill="1" applyBorder="1" applyAlignment="1">
      <alignment horizontal="center" vertical="center"/>
    </xf>
    <xf numFmtId="0" fontId="75" fillId="0" borderId="71" xfId="0" applyFont="1" applyBorder="1" applyAlignment="1">
      <alignment horizontal="center" vertical="center" wrapText="1"/>
    </xf>
    <xf numFmtId="0" fontId="75" fillId="0" borderId="70" xfId="0" applyFont="1" applyBorder="1" applyAlignment="1">
      <alignment horizontal="center" vertical="center" wrapText="1"/>
    </xf>
    <xf numFmtId="0" fontId="75" fillId="0" borderId="83" xfId="0" applyFont="1" applyBorder="1" applyAlignment="1">
      <alignment horizontal="center" vertical="center" wrapText="1"/>
    </xf>
    <xf numFmtId="0" fontId="75" fillId="0" borderId="68" xfId="0" applyFont="1" applyBorder="1" applyAlignment="1">
      <alignment horizontal="center" vertical="center" wrapText="1"/>
    </xf>
    <xf numFmtId="0" fontId="81" fillId="16" borderId="90" xfId="0" applyFont="1" applyFill="1" applyBorder="1" applyAlignment="1">
      <alignment horizontal="center" vertical="center" wrapText="1"/>
    </xf>
    <xf numFmtId="9" fontId="80" fillId="0" borderId="90" xfId="0" applyNumberFormat="1" applyFont="1" applyBorder="1" applyAlignment="1" applyProtection="1">
      <alignment horizontal="center" vertical="center" wrapText="1"/>
      <protection locked="0"/>
    </xf>
    <xf numFmtId="0" fontId="81" fillId="21" borderId="112" xfId="0" applyFont="1" applyFill="1" applyBorder="1" applyAlignment="1">
      <alignment horizontal="center" vertical="center" wrapText="1"/>
    </xf>
    <xf numFmtId="0" fontId="81" fillId="21" borderId="93" xfId="0" applyFont="1" applyFill="1" applyBorder="1" applyAlignment="1">
      <alignment horizontal="center" vertical="center" wrapText="1"/>
    </xf>
    <xf numFmtId="0" fontId="81" fillId="16" borderId="106" xfId="0" applyFont="1" applyFill="1" applyBorder="1" applyAlignment="1">
      <alignment horizontal="center" vertical="center"/>
    </xf>
    <xf numFmtId="0" fontId="81" fillId="16" borderId="107" xfId="0" applyFont="1" applyFill="1" applyBorder="1" applyAlignment="1">
      <alignment horizontal="center" vertical="center"/>
    </xf>
    <xf numFmtId="0" fontId="81" fillId="16" borderId="108" xfId="0" applyFont="1" applyFill="1" applyBorder="1" applyAlignment="1">
      <alignment horizontal="center" vertical="center"/>
    </xf>
    <xf numFmtId="0" fontId="80" fillId="0" borderId="91" xfId="0" applyFont="1" applyBorder="1" applyAlignment="1" applyProtection="1">
      <alignment horizontal="center" vertical="center" wrapText="1"/>
      <protection locked="0"/>
    </xf>
    <xf numFmtId="0" fontId="80" fillId="0" borderId="99" xfId="0" applyFont="1" applyBorder="1" applyAlignment="1" applyProtection="1">
      <alignment horizontal="center" vertical="center" wrapText="1"/>
      <protection locked="0"/>
    </xf>
    <xf numFmtId="0" fontId="80" fillId="0" borderId="92" xfId="0" applyFont="1" applyBorder="1" applyAlignment="1" applyProtection="1">
      <alignment horizontal="center" vertical="center" wrapText="1"/>
      <protection locked="0"/>
    </xf>
    <xf numFmtId="0" fontId="81" fillId="0" borderId="90" xfId="0" applyFont="1" applyBorder="1" applyAlignment="1" applyProtection="1">
      <alignment horizontal="center" vertical="center"/>
      <protection hidden="1"/>
    </xf>
    <xf numFmtId="9" fontId="80" fillId="0" borderId="90" xfId="0" applyNumberFormat="1" applyFont="1" applyBorder="1" applyAlignment="1" applyProtection="1">
      <alignment horizontal="center" vertical="center" wrapText="1"/>
      <protection hidden="1"/>
    </xf>
    <xf numFmtId="0" fontId="81" fillId="0" borderId="90" xfId="0" applyFont="1" applyBorder="1" applyAlignment="1" applyProtection="1">
      <alignment horizontal="center" vertical="center" wrapText="1"/>
      <protection hidden="1"/>
    </xf>
    <xf numFmtId="0" fontId="81" fillId="16" borderId="90" xfId="0" applyFont="1" applyFill="1" applyBorder="1" applyAlignment="1">
      <alignment horizontal="center" vertical="center" textRotation="90" wrapText="1"/>
    </xf>
    <xf numFmtId="0" fontId="81" fillId="16" borderId="92" xfId="0" applyFont="1" applyFill="1" applyBorder="1" applyAlignment="1">
      <alignment horizontal="center" vertical="center"/>
    </xf>
    <xf numFmtId="0" fontId="80" fillId="0" borderId="90" xfId="0" applyFont="1" applyBorder="1" applyAlignment="1" applyProtection="1">
      <alignment horizontal="center" vertical="center"/>
      <protection locked="0"/>
    </xf>
    <xf numFmtId="0" fontId="81" fillId="29" borderId="106" xfId="0" applyFont="1" applyFill="1" applyBorder="1" applyAlignment="1">
      <alignment horizontal="center" vertical="center"/>
    </xf>
    <xf numFmtId="0" fontId="81" fillId="29" borderId="107" xfId="0" applyFont="1" applyFill="1" applyBorder="1" applyAlignment="1">
      <alignment horizontal="center" vertical="center"/>
    </xf>
    <xf numFmtId="0" fontId="81" fillId="29" borderId="108" xfId="0" applyFont="1" applyFill="1" applyBorder="1" applyAlignment="1">
      <alignment horizontal="center" vertical="center"/>
    </xf>
    <xf numFmtId="0" fontId="80" fillId="0" borderId="91" xfId="0" applyFont="1" applyBorder="1" applyAlignment="1" applyProtection="1">
      <alignment horizontal="center" vertical="top" wrapText="1"/>
      <protection locked="0"/>
    </xf>
    <xf numFmtId="0" fontId="80" fillId="0" borderId="99" xfId="0" applyFont="1" applyBorder="1" applyAlignment="1" applyProtection="1">
      <alignment horizontal="center" vertical="top" wrapText="1"/>
      <protection locked="0"/>
    </xf>
    <xf numFmtId="0" fontId="80" fillId="0" borderId="92" xfId="0" applyFont="1" applyBorder="1" applyAlignment="1" applyProtection="1">
      <alignment horizontal="center" vertical="top" wrapText="1"/>
      <protection locked="0"/>
    </xf>
    <xf numFmtId="0" fontId="81" fillId="16" borderId="106" xfId="0" applyFont="1" applyFill="1" applyBorder="1" applyAlignment="1">
      <alignment horizontal="center" vertical="center" wrapText="1"/>
    </xf>
    <xf numFmtId="0" fontId="81" fillId="16" borderId="107" xfId="0" applyFont="1" applyFill="1" applyBorder="1" applyAlignment="1">
      <alignment horizontal="center" vertical="center" wrapText="1"/>
    </xf>
    <xf numFmtId="0" fontId="81" fillId="16" borderId="108" xfId="0" applyFont="1" applyFill="1" applyBorder="1" applyAlignment="1">
      <alignment horizontal="center" vertical="center" wrapText="1"/>
    </xf>
    <xf numFmtId="0" fontId="81" fillId="16" borderId="90" xfId="0" applyFont="1" applyFill="1" applyBorder="1" applyAlignment="1">
      <alignment horizontal="center" vertical="center"/>
    </xf>
    <xf numFmtId="0" fontId="80" fillId="0" borderId="90" xfId="0" applyFont="1" applyBorder="1" applyAlignment="1" applyProtection="1">
      <alignment horizontal="center" vertical="center" wrapText="1"/>
      <protection locked="0"/>
    </xf>
    <xf numFmtId="0" fontId="80" fillId="0" borderId="117" xfId="0" applyFont="1" applyBorder="1" applyAlignment="1" applyProtection="1">
      <alignment horizontal="center" vertical="center" wrapText="1"/>
      <protection locked="0"/>
    </xf>
    <xf numFmtId="0" fontId="81" fillId="0" borderId="90" xfId="0" applyFont="1" applyBorder="1" applyAlignment="1">
      <alignment horizontal="center" vertical="center"/>
    </xf>
    <xf numFmtId="0" fontId="81" fillId="27" borderId="90" xfId="0" applyFont="1" applyFill="1" applyBorder="1" applyAlignment="1">
      <alignment horizontal="center" vertical="center" textRotation="90"/>
    </xf>
    <xf numFmtId="0" fontId="81" fillId="27" borderId="90" xfId="0" applyFont="1" applyFill="1" applyBorder="1" applyAlignment="1">
      <alignment horizontal="center" vertical="center"/>
    </xf>
    <xf numFmtId="0" fontId="81" fillId="27" borderId="90" xfId="0" applyFont="1" applyFill="1" applyBorder="1" applyAlignment="1">
      <alignment horizontal="center" vertical="center" wrapText="1"/>
    </xf>
    <xf numFmtId="0" fontId="81" fillId="29" borderId="91" xfId="0" applyFont="1" applyFill="1" applyBorder="1" applyAlignment="1">
      <alignment horizontal="center" vertical="center" wrapText="1"/>
    </xf>
    <xf numFmtId="0" fontId="81" fillId="29" borderId="92" xfId="0" applyFont="1" applyFill="1" applyBorder="1" applyAlignment="1">
      <alignment horizontal="center" vertical="center" wrapText="1"/>
    </xf>
    <xf numFmtId="0" fontId="80" fillId="0" borderId="90" xfId="0" applyFont="1" applyBorder="1" applyAlignment="1" applyProtection="1">
      <alignment horizontal="left" vertical="center" wrapText="1"/>
      <protection locked="0"/>
    </xf>
    <xf numFmtId="0" fontId="80" fillId="0" borderId="2" xfId="0" applyFont="1" applyBorder="1" applyAlignment="1">
      <alignment horizontal="left" vertical="center" wrapText="1"/>
    </xf>
    <xf numFmtId="0" fontId="80" fillId="0" borderId="21" xfId="0" applyFont="1" applyBorder="1" applyAlignment="1">
      <alignment horizontal="left" vertical="center" wrapText="1"/>
    </xf>
    <xf numFmtId="0" fontId="80" fillId="3" borderId="0" xfId="0" applyFont="1" applyFill="1" applyAlignment="1">
      <alignment horizontal="left" wrapText="1"/>
    </xf>
    <xf numFmtId="0" fontId="79" fillId="0" borderId="0" xfId="0" applyFont="1" applyAlignment="1">
      <alignment horizontal="center" vertical="center"/>
    </xf>
    <xf numFmtId="0" fontId="79" fillId="0" borderId="0" xfId="0" applyFont="1" applyAlignment="1">
      <alignment horizontal="left" vertical="center"/>
    </xf>
    <xf numFmtId="0" fontId="81" fillId="21" borderId="100" xfId="0" applyFont="1" applyFill="1" applyBorder="1" applyAlignment="1">
      <alignment horizontal="left" vertical="center"/>
    </xf>
    <xf numFmtId="0" fontId="81" fillId="21" borderId="101" xfId="0" applyFont="1" applyFill="1" applyBorder="1" applyAlignment="1">
      <alignment horizontal="left" vertical="center"/>
    </xf>
    <xf numFmtId="0" fontId="81" fillId="21" borderId="102" xfId="0" applyFont="1" applyFill="1" applyBorder="1" applyAlignment="1">
      <alignment horizontal="left" vertical="center"/>
    </xf>
    <xf numFmtId="0" fontId="81" fillId="21" borderId="103" xfId="0" applyFont="1" applyFill="1" applyBorder="1" applyAlignment="1">
      <alignment horizontal="left" vertical="center"/>
    </xf>
    <xf numFmtId="0" fontId="81" fillId="21" borderId="104" xfId="0" applyFont="1" applyFill="1" applyBorder="1" applyAlignment="1">
      <alignment horizontal="left" vertical="center"/>
    </xf>
    <xf numFmtId="0" fontId="81" fillId="21" borderId="105" xfId="0" applyFont="1" applyFill="1" applyBorder="1" applyAlignment="1">
      <alignment horizontal="left" vertical="center"/>
    </xf>
    <xf numFmtId="0" fontId="81" fillId="3" borderId="0" xfId="0" applyFont="1" applyFill="1" applyAlignment="1">
      <alignment horizontal="left" vertical="center"/>
    </xf>
    <xf numFmtId="0" fontId="91" fillId="0" borderId="24" xfId="0" applyFont="1" applyBorder="1" applyAlignment="1" applyProtection="1">
      <alignment horizontal="center" vertical="center"/>
      <protection locked="0"/>
    </xf>
    <xf numFmtId="0" fontId="91" fillId="0" borderId="25" xfId="0" applyFont="1" applyBorder="1" applyAlignment="1" applyProtection="1">
      <alignment horizontal="center" vertical="center"/>
      <protection locked="0"/>
    </xf>
    <xf numFmtId="0" fontId="91" fillId="0" borderId="36" xfId="0" applyFont="1" applyBorder="1" applyAlignment="1" applyProtection="1">
      <alignment horizontal="center" vertical="center"/>
      <protection locked="0"/>
    </xf>
    <xf numFmtId="0" fontId="80" fillId="3" borderId="24" xfId="0" applyFont="1" applyFill="1" applyBorder="1" applyAlignment="1" applyProtection="1">
      <alignment horizontal="center" vertical="center" wrapText="1"/>
      <protection locked="0"/>
    </xf>
    <xf numFmtId="0" fontId="80" fillId="3" borderId="25" xfId="0" applyFont="1" applyFill="1" applyBorder="1" applyAlignment="1" applyProtection="1">
      <alignment horizontal="center" vertical="center" wrapText="1"/>
      <protection locked="0"/>
    </xf>
    <xf numFmtId="0" fontId="80" fillId="3" borderId="36" xfId="0" applyFont="1" applyFill="1" applyBorder="1" applyAlignment="1" applyProtection="1">
      <alignment horizontal="center" vertical="center" wrapText="1"/>
      <protection locked="0"/>
    </xf>
    <xf numFmtId="0" fontId="81" fillId="27" borderId="106" xfId="0" applyFont="1" applyFill="1" applyBorder="1" applyAlignment="1">
      <alignment horizontal="center" vertical="center"/>
    </xf>
    <xf numFmtId="0" fontId="81" fillId="27" borderId="107" xfId="0" applyFont="1" applyFill="1" applyBorder="1" applyAlignment="1">
      <alignment horizontal="center" vertical="center"/>
    </xf>
    <xf numFmtId="0" fontId="81" fillId="27" borderId="108" xfId="0" applyFont="1" applyFill="1" applyBorder="1" applyAlignment="1">
      <alignment horizontal="center" vertical="center"/>
    </xf>
    <xf numFmtId="0" fontId="79" fillId="0" borderId="5" xfId="0" applyFont="1" applyBorder="1" applyAlignment="1">
      <alignment horizontal="center" vertical="center"/>
    </xf>
    <xf numFmtId="0" fontId="79" fillId="0" borderId="12" xfId="0" applyFont="1" applyBorder="1" applyAlignment="1">
      <alignment horizontal="center" vertical="center"/>
    </xf>
    <xf numFmtId="0" fontId="79" fillId="0" borderId="6" xfId="0" applyFont="1" applyBorder="1" applyAlignment="1">
      <alignment horizontal="center" vertical="center"/>
    </xf>
    <xf numFmtId="0" fontId="79" fillId="0" borderId="9" xfId="0" applyFont="1" applyBorder="1" applyAlignment="1">
      <alignment horizontal="center" vertical="center"/>
    </xf>
    <xf numFmtId="0" fontId="79" fillId="0" borderId="11" xfId="0" applyFont="1" applyBorder="1" applyAlignment="1">
      <alignment horizontal="center" vertical="center"/>
    </xf>
    <xf numFmtId="0" fontId="79" fillId="0" borderId="10" xfId="0" applyFont="1" applyBorder="1" applyAlignment="1">
      <alignment horizontal="center" vertical="center"/>
    </xf>
    <xf numFmtId="0" fontId="79" fillId="0" borderId="24" xfId="0" applyFont="1" applyBorder="1" applyAlignment="1">
      <alignment horizontal="left" vertical="center"/>
    </xf>
    <xf numFmtId="0" fontId="79" fillId="0" borderId="25" xfId="0" applyFont="1" applyBorder="1" applyAlignment="1">
      <alignment horizontal="left" vertical="center"/>
    </xf>
    <xf numFmtId="0" fontId="79" fillId="0" borderId="36" xfId="0" applyFont="1" applyBorder="1" applyAlignment="1">
      <alignment horizontal="left" vertical="center"/>
    </xf>
    <xf numFmtId="0" fontId="85" fillId="0" borderId="94" xfId="0" applyFont="1" applyBorder="1" applyAlignment="1">
      <alignment horizontal="center" vertical="center"/>
    </xf>
    <xf numFmtId="0" fontId="85" fillId="0" borderId="95" xfId="0" applyFont="1" applyBorder="1" applyAlignment="1">
      <alignment horizontal="center" vertical="center"/>
    </xf>
    <xf numFmtId="0" fontId="85" fillId="0" borderId="113" xfId="0" applyFont="1" applyBorder="1" applyAlignment="1">
      <alignment horizontal="center" vertical="center"/>
    </xf>
    <xf numFmtId="0" fontId="85" fillId="0" borderId="96" xfId="0" applyFont="1" applyBorder="1" applyAlignment="1">
      <alignment horizontal="center" vertical="center"/>
    </xf>
    <xf numFmtId="0" fontId="85" fillId="0" borderId="90" xfId="0" applyFont="1" applyBorder="1" applyAlignment="1">
      <alignment horizontal="center" vertical="center"/>
    </xf>
    <xf numFmtId="0" fontId="85" fillId="0" borderId="115" xfId="0" applyFont="1" applyBorder="1" applyAlignment="1">
      <alignment horizontal="center" vertical="center"/>
    </xf>
    <xf numFmtId="0" fontId="85" fillId="0" borderId="97" xfId="0" applyFont="1" applyBorder="1" applyAlignment="1">
      <alignment horizontal="center" vertical="center"/>
    </xf>
    <xf numFmtId="0" fontId="85" fillId="0" borderId="98" xfId="0" applyFont="1" applyBorder="1" applyAlignment="1">
      <alignment horizontal="center" vertical="center"/>
    </xf>
    <xf numFmtId="0" fontId="85" fillId="0" borderId="114" xfId="0" applyFont="1" applyBorder="1" applyAlignment="1">
      <alignment horizontal="center" vertical="center"/>
    </xf>
    <xf numFmtId="0" fontId="22" fillId="26" borderId="0" xfId="0" applyFont="1" applyFill="1" applyAlignment="1">
      <alignment horizontal="center" vertical="center" wrapText="1"/>
    </xf>
    <xf numFmtId="0" fontId="18" fillId="5" borderId="7"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38" fillId="0" borderId="5" xfId="0" applyFont="1" applyBorder="1" applyAlignment="1">
      <alignment horizontal="center" vertical="center" wrapText="1"/>
    </xf>
    <xf numFmtId="0" fontId="38" fillId="0" borderId="12"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0" xfId="0" applyFont="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8" fillId="0" borderId="11" xfId="0" applyFont="1" applyBorder="1" applyAlignment="1">
      <alignment horizontal="center" vertical="center"/>
    </xf>
    <xf numFmtId="0" fontId="38" fillId="0" borderId="10" xfId="0" applyFont="1" applyBorder="1" applyAlignment="1">
      <alignment horizontal="center" vertical="center"/>
    </xf>
    <xf numFmtId="0" fontId="38" fillId="0" borderId="12" xfId="0" applyFont="1" applyBorder="1" applyAlignment="1">
      <alignment horizontal="center" vertical="center" wrapText="1"/>
    </xf>
    <xf numFmtId="0" fontId="37" fillId="11" borderId="13" xfId="0" applyFont="1" applyFill="1" applyBorder="1" applyAlignment="1">
      <alignment horizontal="center" vertical="center" wrapText="1" readingOrder="1"/>
    </xf>
    <xf numFmtId="0" fontId="37" fillId="11" borderId="14" xfId="0" applyFont="1" applyFill="1" applyBorder="1" applyAlignment="1">
      <alignment horizontal="center" vertical="center" wrapText="1" readingOrder="1"/>
    </xf>
    <xf numFmtId="0" fontId="37" fillId="11" borderId="15" xfId="0" applyFont="1" applyFill="1" applyBorder="1" applyAlignment="1">
      <alignment horizontal="center" vertical="center" wrapText="1" readingOrder="1"/>
    </xf>
    <xf numFmtId="0" fontId="37" fillId="11" borderId="16" xfId="0" applyFont="1" applyFill="1" applyBorder="1" applyAlignment="1">
      <alignment horizontal="center" vertical="center" wrapText="1" readingOrder="1"/>
    </xf>
    <xf numFmtId="0" fontId="37" fillId="11" borderId="0" xfId="0" applyFont="1" applyFill="1" applyAlignment="1">
      <alignment horizontal="center" vertical="center" wrapText="1" readingOrder="1"/>
    </xf>
    <xf numFmtId="0" fontId="37" fillId="11" borderId="17" xfId="0" applyFont="1" applyFill="1" applyBorder="1" applyAlignment="1">
      <alignment horizontal="center" vertical="center" wrapText="1" readingOrder="1"/>
    </xf>
    <xf numFmtId="0" fontId="37" fillId="11" borderId="18" xfId="0" applyFont="1" applyFill="1" applyBorder="1" applyAlignment="1">
      <alignment horizontal="center" vertical="center" wrapText="1" readingOrder="1"/>
    </xf>
    <xf numFmtId="0" fontId="37" fillId="11" borderId="19" xfId="0" applyFont="1" applyFill="1" applyBorder="1" applyAlignment="1">
      <alignment horizontal="center" vertical="center" wrapText="1" readingOrder="1"/>
    </xf>
    <xf numFmtId="0" fontId="37" fillId="11" borderId="20" xfId="0" applyFont="1" applyFill="1" applyBorder="1" applyAlignment="1">
      <alignment horizontal="center" vertical="center" wrapText="1" readingOrder="1"/>
    </xf>
    <xf numFmtId="0" fontId="38" fillId="0" borderId="7" xfId="0" applyFont="1" applyBorder="1" applyAlignment="1">
      <alignment horizontal="center" vertical="center" wrapText="1"/>
    </xf>
    <xf numFmtId="0" fontId="37" fillId="12" borderId="13" xfId="0" applyFont="1" applyFill="1" applyBorder="1" applyAlignment="1">
      <alignment horizontal="center" vertical="center" wrapText="1" readingOrder="1"/>
    </xf>
    <xf numFmtId="0" fontId="37" fillId="12" borderId="14" xfId="0" applyFont="1" applyFill="1" applyBorder="1" applyAlignment="1">
      <alignment horizontal="center" vertical="center" wrapText="1" readingOrder="1"/>
    </xf>
    <xf numFmtId="0" fontId="37" fillId="12" borderId="15" xfId="0" applyFont="1" applyFill="1" applyBorder="1" applyAlignment="1">
      <alignment horizontal="center" vertical="center" wrapText="1" readingOrder="1"/>
    </xf>
    <xf numFmtId="0" fontId="37" fillId="12" borderId="16" xfId="0" applyFont="1" applyFill="1" applyBorder="1" applyAlignment="1">
      <alignment horizontal="center" vertical="center" wrapText="1" readingOrder="1"/>
    </xf>
    <xf numFmtId="0" fontId="37" fillId="12" borderId="0" xfId="0" applyFont="1" applyFill="1" applyAlignment="1">
      <alignment horizontal="center" vertical="center" wrapText="1" readingOrder="1"/>
    </xf>
    <xf numFmtId="0" fontId="37" fillId="12" borderId="17" xfId="0" applyFont="1" applyFill="1" applyBorder="1" applyAlignment="1">
      <alignment horizontal="center" vertical="center" wrapText="1" readingOrder="1"/>
    </xf>
    <xf numFmtId="0" fontId="37" fillId="12" borderId="18" xfId="0" applyFont="1" applyFill="1" applyBorder="1" applyAlignment="1">
      <alignment horizontal="center" vertical="center" wrapText="1" readingOrder="1"/>
    </xf>
    <xf numFmtId="0" fontId="37" fillId="12" borderId="19" xfId="0" applyFont="1" applyFill="1" applyBorder="1" applyAlignment="1">
      <alignment horizontal="center" vertical="center" wrapText="1" readingOrder="1"/>
    </xf>
    <xf numFmtId="0" fontId="37" fillId="12" borderId="20" xfId="0" applyFont="1" applyFill="1" applyBorder="1" applyAlignment="1">
      <alignment horizontal="center" vertical="center" wrapText="1" readingOrder="1"/>
    </xf>
    <xf numFmtId="0" fontId="90" fillId="26" borderId="0" xfId="0" applyFont="1" applyFill="1" applyAlignment="1">
      <alignment horizontal="center" vertical="center" wrapText="1"/>
    </xf>
    <xf numFmtId="0" fontId="21" fillId="26" borderId="0" xfId="0" applyFont="1" applyFill="1" applyAlignment="1">
      <alignment horizontal="center" vertical="center" wrapText="1"/>
    </xf>
    <xf numFmtId="0" fontId="37" fillId="5" borderId="13" xfId="0" applyFont="1" applyFill="1" applyBorder="1" applyAlignment="1">
      <alignment horizontal="center" vertical="center" wrapText="1" readingOrder="1"/>
    </xf>
    <xf numFmtId="0" fontId="37" fillId="5" borderId="14" xfId="0" applyFont="1" applyFill="1" applyBorder="1" applyAlignment="1">
      <alignment horizontal="center" vertical="center" wrapText="1" readingOrder="1"/>
    </xf>
    <xf numFmtId="0" fontId="37" fillId="5" borderId="15" xfId="0" applyFont="1" applyFill="1" applyBorder="1" applyAlignment="1">
      <alignment horizontal="center" vertical="center" wrapText="1" readingOrder="1"/>
    </xf>
    <xf numFmtId="0" fontId="37" fillId="5" borderId="16" xfId="0" applyFont="1" applyFill="1" applyBorder="1" applyAlignment="1">
      <alignment horizontal="center" vertical="center" wrapText="1" readingOrder="1"/>
    </xf>
    <xf numFmtId="0" fontId="37" fillId="5" borderId="0" xfId="0" applyFont="1" applyFill="1" applyAlignment="1">
      <alignment horizontal="center" vertical="center" wrapText="1" readingOrder="1"/>
    </xf>
    <xf numFmtId="0" fontId="37" fillId="5" borderId="17" xfId="0" applyFont="1" applyFill="1" applyBorder="1" applyAlignment="1">
      <alignment horizontal="center" vertical="center" wrapText="1" readingOrder="1"/>
    </xf>
    <xf numFmtId="0" fontId="37" fillId="5" borderId="18" xfId="0" applyFont="1" applyFill="1" applyBorder="1" applyAlignment="1">
      <alignment horizontal="center" vertical="center" wrapText="1" readingOrder="1"/>
    </xf>
    <xf numFmtId="0" fontId="37" fillId="5" borderId="19" xfId="0" applyFont="1" applyFill="1" applyBorder="1" applyAlignment="1">
      <alignment horizontal="center" vertical="center" wrapText="1" readingOrder="1"/>
    </xf>
    <xf numFmtId="0" fontId="37" fillId="5" borderId="20" xfId="0" applyFont="1" applyFill="1" applyBorder="1" applyAlignment="1">
      <alignment horizontal="center" vertical="center" wrapText="1" readingOrder="1"/>
    </xf>
    <xf numFmtId="0" fontId="37" fillId="13" borderId="13" xfId="0" applyFont="1" applyFill="1" applyBorder="1" applyAlignment="1">
      <alignment horizontal="center" vertical="center" wrapText="1" readingOrder="1"/>
    </xf>
    <xf numFmtId="0" fontId="37" fillId="13" borderId="14" xfId="0" applyFont="1" applyFill="1" applyBorder="1" applyAlignment="1">
      <alignment horizontal="center" vertical="center" wrapText="1" readingOrder="1"/>
    </xf>
    <xf numFmtId="0" fontId="37" fillId="13" borderId="15" xfId="0" applyFont="1" applyFill="1" applyBorder="1" applyAlignment="1">
      <alignment horizontal="center" vertical="center" wrapText="1" readingOrder="1"/>
    </xf>
    <xf numFmtId="0" fontId="37" fillId="13" borderId="16" xfId="0" applyFont="1" applyFill="1" applyBorder="1" applyAlignment="1">
      <alignment horizontal="center" vertical="center" wrapText="1" readingOrder="1"/>
    </xf>
    <xf numFmtId="0" fontId="37" fillId="13" borderId="0" xfId="0" applyFont="1" applyFill="1" applyAlignment="1">
      <alignment horizontal="center" vertical="center" wrapText="1" readingOrder="1"/>
    </xf>
    <xf numFmtId="0" fontId="37" fillId="13" borderId="17" xfId="0" applyFont="1" applyFill="1" applyBorder="1" applyAlignment="1">
      <alignment horizontal="center" vertical="center" wrapText="1" readingOrder="1"/>
    </xf>
    <xf numFmtId="0" fontId="37" fillId="13" borderId="18" xfId="0" applyFont="1" applyFill="1" applyBorder="1" applyAlignment="1">
      <alignment horizontal="center" vertical="center" wrapText="1" readingOrder="1"/>
    </xf>
    <xf numFmtId="0" fontId="37" fillId="13" borderId="19" xfId="0" applyFont="1" applyFill="1" applyBorder="1" applyAlignment="1">
      <alignment horizontal="center" vertical="center" wrapText="1" readingOrder="1"/>
    </xf>
    <xf numFmtId="0" fontId="37" fillId="13" borderId="20" xfId="0" applyFont="1" applyFill="1" applyBorder="1" applyAlignment="1">
      <alignment horizontal="center" vertical="center" wrapText="1" readingOrder="1"/>
    </xf>
    <xf numFmtId="0" fontId="80" fillId="0" borderId="90" xfId="0" applyFont="1" applyBorder="1" applyAlignment="1" applyProtection="1">
      <alignment horizontal="justify" vertical="center" wrapText="1"/>
      <protection locked="0"/>
    </xf>
    <xf numFmtId="0" fontId="80" fillId="0" borderId="91" xfId="0" applyFont="1" applyBorder="1" applyAlignment="1" applyProtection="1">
      <alignment horizontal="justify" vertical="center" wrapText="1"/>
      <protection locked="0"/>
    </xf>
    <xf numFmtId="0" fontId="80" fillId="0" borderId="99" xfId="0" applyFont="1" applyBorder="1" applyAlignment="1" applyProtection="1">
      <alignment horizontal="justify" vertical="center" wrapText="1"/>
      <protection locked="0"/>
    </xf>
    <xf numFmtId="0" fontId="80" fillId="0" borderId="92" xfId="0" applyFont="1" applyBorder="1" applyAlignment="1" applyProtection="1">
      <alignment horizontal="justify" vertical="center" wrapText="1"/>
      <protection locked="0"/>
    </xf>
    <xf numFmtId="0" fontId="71" fillId="0" borderId="22" xfId="0" applyFont="1" applyBorder="1" applyAlignment="1">
      <alignment horizontal="left" vertical="center" wrapText="1"/>
    </xf>
    <xf numFmtId="0" fontId="72" fillId="16" borderId="24" xfId="0" applyFont="1" applyFill="1" applyBorder="1" applyAlignment="1">
      <alignment horizontal="center" vertical="center" wrapText="1"/>
    </xf>
    <xf numFmtId="0" fontId="72" fillId="16" borderId="25" xfId="0" applyFont="1" applyFill="1" applyBorder="1" applyAlignment="1">
      <alignment horizontal="center" vertical="center" wrapText="1"/>
    </xf>
    <xf numFmtId="0" fontId="72" fillId="16" borderId="36" xfId="0" applyFont="1" applyFill="1" applyBorder="1" applyAlignment="1">
      <alignment horizontal="center" vertical="center" wrapText="1"/>
    </xf>
    <xf numFmtId="0" fontId="73" fillId="16" borderId="73" xfId="0" applyFont="1" applyFill="1" applyBorder="1" applyAlignment="1">
      <alignment horizontal="center" vertical="center" wrapText="1"/>
    </xf>
    <xf numFmtId="0" fontId="73" fillId="16" borderId="28" xfId="0" applyFont="1" applyFill="1" applyBorder="1" applyAlignment="1">
      <alignment horizontal="center" vertical="center" wrapText="1"/>
    </xf>
    <xf numFmtId="0" fontId="73" fillId="16" borderId="74" xfId="0" applyFont="1" applyFill="1" applyBorder="1" applyAlignment="1">
      <alignment horizontal="center" vertical="center" wrapText="1"/>
    </xf>
    <xf numFmtId="0" fontId="73" fillId="16" borderId="29" xfId="0" applyFont="1" applyFill="1" applyBorder="1" applyAlignment="1">
      <alignment horizontal="center" vertical="center" wrapText="1"/>
    </xf>
    <xf numFmtId="0" fontId="73" fillId="16" borderId="75" xfId="0" applyFont="1" applyFill="1" applyBorder="1" applyAlignment="1">
      <alignment horizontal="center" vertical="center" wrapText="1"/>
    </xf>
    <xf numFmtId="0" fontId="71" fillId="0" borderId="74" xfId="0" applyFont="1" applyBorder="1" applyAlignment="1">
      <alignment horizontal="left" vertical="center" wrapText="1"/>
    </xf>
    <xf numFmtId="0" fontId="74" fillId="21" borderId="34" xfId="0" applyFont="1" applyFill="1" applyBorder="1" applyAlignment="1">
      <alignment horizontal="center" vertical="center" wrapText="1"/>
    </xf>
    <xf numFmtId="0" fontId="74" fillId="21" borderId="35" xfId="0" applyFont="1" applyFill="1" applyBorder="1" applyAlignment="1">
      <alignment horizontal="center" vertical="center" wrapText="1"/>
    </xf>
    <xf numFmtId="0" fontId="71" fillId="0" borderId="0" xfId="0" applyFont="1" applyAlignment="1">
      <alignment horizontal="left" vertical="center" wrapText="1"/>
    </xf>
    <xf numFmtId="0" fontId="71" fillId="0" borderId="0" xfId="0" applyFont="1" applyAlignment="1">
      <alignment horizontal="center" vertical="center" wrapText="1"/>
    </xf>
    <xf numFmtId="0" fontId="71" fillId="0" borderId="76" xfId="0" applyFont="1" applyBorder="1" applyAlignment="1">
      <alignment horizontal="left" vertical="center" wrapText="1"/>
    </xf>
    <xf numFmtId="0" fontId="74" fillId="21" borderId="33" xfId="0" applyFont="1" applyFill="1" applyBorder="1" applyAlignment="1">
      <alignment horizontal="center" vertical="center" wrapText="1"/>
    </xf>
    <xf numFmtId="0" fontId="81" fillId="17" borderId="91" xfId="0" applyFont="1" applyFill="1" applyBorder="1" applyAlignment="1">
      <alignment horizontal="center" vertical="center" wrapText="1"/>
    </xf>
    <xf numFmtId="0" fontId="81" fillId="17" borderId="92" xfId="0" applyFont="1" applyFill="1" applyBorder="1" applyAlignment="1">
      <alignment horizontal="center" vertical="center" wrapText="1"/>
    </xf>
    <xf numFmtId="0" fontId="81" fillId="17" borderId="90" xfId="0" applyFont="1" applyFill="1" applyBorder="1" applyAlignment="1">
      <alignment horizontal="center" vertical="center" wrapText="1"/>
    </xf>
    <xf numFmtId="0" fontId="81" fillId="21" borderId="106" xfId="0" applyFont="1" applyFill="1" applyBorder="1" applyAlignment="1">
      <alignment horizontal="center" vertical="center" wrapText="1"/>
    </xf>
    <xf numFmtId="0" fontId="81" fillId="21" borderId="108" xfId="0" applyFont="1" applyFill="1" applyBorder="1" applyAlignment="1">
      <alignment horizontal="center" vertical="center" wrapText="1"/>
    </xf>
    <xf numFmtId="0" fontId="21" fillId="0" borderId="0" xfId="0" applyFont="1" applyAlignment="1">
      <alignment horizontal="center" vertical="center"/>
    </xf>
    <xf numFmtId="0" fontId="40" fillId="0" borderId="0" xfId="0" applyFont="1" applyAlignment="1">
      <alignment horizontal="center" vertical="center"/>
    </xf>
    <xf numFmtId="0" fontId="75" fillId="16" borderId="82" xfId="0" applyFont="1" applyFill="1" applyBorder="1" applyAlignment="1">
      <alignment horizontal="center" vertical="center" wrapText="1"/>
    </xf>
    <xf numFmtId="0" fontId="75" fillId="16" borderId="80" xfId="0" applyFont="1" applyFill="1" applyBorder="1" applyAlignment="1">
      <alignment horizontal="center" vertical="center" wrapText="1"/>
    </xf>
    <xf numFmtId="0" fontId="75" fillId="16" borderId="78" xfId="0" applyFont="1" applyFill="1" applyBorder="1" applyAlignment="1">
      <alignment horizontal="center" vertical="center" wrapText="1"/>
    </xf>
    <xf numFmtId="0" fontId="76" fillId="0" borderId="82" xfId="0" applyFont="1" applyBorder="1" applyAlignment="1">
      <alignment horizontal="justify" vertical="center" wrapText="1"/>
    </xf>
    <xf numFmtId="0" fontId="76" fillId="0" borderId="80" xfId="0" applyFont="1" applyBorder="1" applyAlignment="1">
      <alignment horizontal="justify" vertical="center" wrapText="1"/>
    </xf>
    <xf numFmtId="0" fontId="76" fillId="0" borderId="78" xfId="0" applyFont="1" applyBorder="1" applyAlignment="1">
      <alignment horizontal="justify" vertical="center" wrapText="1"/>
    </xf>
    <xf numFmtId="0" fontId="36" fillId="15" borderId="24" xfId="0" applyFont="1" applyFill="1" applyBorder="1" applyAlignment="1">
      <alignment horizontal="center" vertical="center" wrapText="1" readingOrder="1"/>
    </xf>
    <xf numFmtId="0" fontId="36" fillId="15" borderId="25" xfId="0" applyFont="1" applyFill="1" applyBorder="1" applyAlignment="1">
      <alignment horizontal="center" vertical="center" wrapText="1" readingOrder="1"/>
    </xf>
    <xf numFmtId="0" fontId="36" fillId="15" borderId="36" xfId="0" applyFont="1" applyFill="1" applyBorder="1" applyAlignment="1">
      <alignment horizontal="center" vertical="center" wrapText="1" readingOrder="1"/>
    </xf>
    <xf numFmtId="0" fontId="31" fillId="3" borderId="0" xfId="0" applyFont="1" applyFill="1" applyAlignment="1">
      <alignment horizontal="justify" vertical="center" wrapText="1"/>
    </xf>
    <xf numFmtId="0" fontId="33" fillId="15" borderId="33" xfId="0" applyFont="1" applyFill="1" applyBorder="1" applyAlignment="1">
      <alignment horizontal="center" vertical="center" wrapText="1" readingOrder="1"/>
    </xf>
    <xf numFmtId="0" fontId="33" fillId="15" borderId="34" xfId="0" applyFont="1" applyFill="1" applyBorder="1" applyAlignment="1">
      <alignment horizontal="center" vertical="center" wrapText="1" readingOrder="1"/>
    </xf>
    <xf numFmtId="0" fontId="33" fillId="3" borderId="31" xfId="0" applyFont="1" applyFill="1" applyBorder="1" applyAlignment="1">
      <alignment horizontal="center" vertical="center" wrapText="1" readingOrder="1"/>
    </xf>
    <xf numFmtId="0" fontId="33" fillId="3" borderId="26" xfId="0" applyFont="1" applyFill="1" applyBorder="1" applyAlignment="1">
      <alignment horizontal="center" vertical="center" wrapText="1" readingOrder="1"/>
    </xf>
    <xf numFmtId="0" fontId="33" fillId="3" borderId="23" xfId="0"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3" fillId="3" borderId="28"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cellXfs>
  <cellStyles count="7">
    <cellStyle name="Moneda" xfId="5" builtinId="4"/>
    <cellStyle name="Moneda 2" xfId="6" xr:uid="{00000000-0005-0000-0000-000001000000}"/>
    <cellStyle name="Normal" xfId="0" builtinId="0"/>
    <cellStyle name="Normal - Style1 2" xfId="2" xr:uid="{00000000-0005-0000-0000-000003000000}"/>
    <cellStyle name="Normal 2" xfId="4" xr:uid="{00000000-0005-0000-0000-000004000000}"/>
    <cellStyle name="Normal 2 2" xfId="3" xr:uid="{00000000-0005-0000-0000-000005000000}"/>
    <cellStyle name="Porcentaje" xfId="1" builtinId="5"/>
  </cellStyles>
  <dxfs count="701">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0</xdr:row>
      <xdr:rowOff>68036</xdr:rowOff>
    </xdr:from>
    <xdr:ext cx="1403803" cy="1123950"/>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929" y="68036"/>
          <a:ext cx="1403803" cy="11239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CC31457F-ECBC-4BF6-A295-D24C77BD34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4B130650-B5A7-4455-A04D-93F040AFD7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angela.cifuentes/Downloads/DESI-FM-018-V9_Formato_Mapa_de_Riesgos_de_Proces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aermv-my.sharepoint.com/personal/nelson_ovalle_umv_gov_co/Documents/Contrato%20410%20de%202022/Pago%2011/1.%20implementaci&#243;n%20MIPG/Mapas%20de%20riesgos/9_GCON_MR_2022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DOFA "/>
      <sheetName val="Revisión DOFA"/>
      <sheetName val="Mapa riesgos"/>
      <sheetName val="Matriz Calor Inherente"/>
      <sheetName val="Matriz Calor Residual"/>
      <sheetName val="Tabla probabilidad"/>
      <sheetName val="Tabla Impacto"/>
      <sheetName val="Impacto Corrupción "/>
      <sheetName val="Tipo de riesgos"/>
      <sheetName val="Amenazas"/>
      <sheetName val="Ejemplos de riesgos"/>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3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TablaDinámica1" cacheId="1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3" dataDxfId="2">
  <autoFilter ref="B210:C220"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0.bin"/><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16"/>
  <sheetViews>
    <sheetView topLeftCell="A39" zoomScale="110" zoomScaleNormal="110" workbookViewId="0">
      <selection activeCell="B52" sqref="B52"/>
    </sheetView>
  </sheetViews>
  <sheetFormatPr baseColWidth="10" defaultColWidth="11.42578125" defaultRowHeight="15" x14ac:dyDescent="0.2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264" t="s">
        <v>0</v>
      </c>
      <c r="C2" s="265"/>
      <c r="D2" s="265"/>
      <c r="E2" s="265"/>
      <c r="F2" s="265"/>
      <c r="G2" s="265"/>
      <c r="H2" s="266"/>
    </row>
    <row r="3" spans="2:8" x14ac:dyDescent="0.25">
      <c r="B3" s="67"/>
      <c r="C3" s="68"/>
      <c r="D3" s="68"/>
      <c r="E3" s="68"/>
      <c r="F3" s="68"/>
      <c r="G3" s="68"/>
      <c r="H3" s="69"/>
    </row>
    <row r="4" spans="2:8" ht="63" customHeight="1" x14ac:dyDescent="0.25">
      <c r="B4" s="267" t="s">
        <v>1</v>
      </c>
      <c r="C4" s="268"/>
      <c r="D4" s="268"/>
      <c r="E4" s="268"/>
      <c r="F4" s="268"/>
      <c r="G4" s="268"/>
      <c r="H4" s="269"/>
    </row>
    <row r="5" spans="2:8" ht="63" customHeight="1" x14ac:dyDescent="0.25">
      <c r="B5" s="270"/>
      <c r="C5" s="271"/>
      <c r="D5" s="271"/>
      <c r="E5" s="271"/>
      <c r="F5" s="271"/>
      <c r="G5" s="271"/>
      <c r="H5" s="272"/>
    </row>
    <row r="6" spans="2:8" ht="16.5" x14ac:dyDescent="0.25">
      <c r="B6" s="273" t="s">
        <v>2</v>
      </c>
      <c r="C6" s="274"/>
      <c r="D6" s="274"/>
      <c r="E6" s="274"/>
      <c r="F6" s="274"/>
      <c r="G6" s="274"/>
      <c r="H6" s="275"/>
    </row>
    <row r="7" spans="2:8" ht="95.25" customHeight="1" x14ac:dyDescent="0.25">
      <c r="B7" s="283" t="s">
        <v>3</v>
      </c>
      <c r="C7" s="284"/>
      <c r="D7" s="284"/>
      <c r="E7" s="284"/>
      <c r="F7" s="284"/>
      <c r="G7" s="284"/>
      <c r="H7" s="285"/>
    </row>
    <row r="8" spans="2:8" ht="16.5" x14ac:dyDescent="0.25">
      <c r="B8" s="101"/>
      <c r="C8" s="102"/>
      <c r="D8" s="102"/>
      <c r="E8" s="102"/>
      <c r="F8" s="102"/>
      <c r="G8" s="102"/>
      <c r="H8" s="103"/>
    </row>
    <row r="9" spans="2:8" ht="16.5" customHeight="1" x14ac:dyDescent="0.25">
      <c r="B9" s="276" t="s">
        <v>4</v>
      </c>
      <c r="C9" s="277"/>
      <c r="D9" s="277"/>
      <c r="E9" s="277"/>
      <c r="F9" s="277"/>
      <c r="G9" s="277"/>
      <c r="H9" s="278"/>
    </row>
    <row r="10" spans="2:8" ht="44.25" customHeight="1" x14ac:dyDescent="0.25">
      <c r="B10" s="276"/>
      <c r="C10" s="277"/>
      <c r="D10" s="277"/>
      <c r="E10" s="277"/>
      <c r="F10" s="277"/>
      <c r="G10" s="277"/>
      <c r="H10" s="278"/>
    </row>
    <row r="11" spans="2:8" ht="15.75" thickBot="1" x14ac:dyDescent="0.3">
      <c r="B11" s="90"/>
      <c r="C11" s="93"/>
      <c r="D11" s="98"/>
      <c r="E11" s="99"/>
      <c r="F11" s="99"/>
      <c r="G11" s="100"/>
      <c r="H11" s="94"/>
    </row>
    <row r="12" spans="2:8" ht="15.75" thickTop="1" x14ac:dyDescent="0.25">
      <c r="B12" s="90"/>
      <c r="C12" s="279" t="s">
        <v>5</v>
      </c>
      <c r="D12" s="280"/>
      <c r="E12" s="281" t="s">
        <v>6</v>
      </c>
      <c r="F12" s="282"/>
      <c r="G12" s="93"/>
      <c r="H12" s="94"/>
    </row>
    <row r="13" spans="2:8" ht="35.25" customHeight="1" x14ac:dyDescent="0.25">
      <c r="B13" s="90"/>
      <c r="C13" s="286" t="s">
        <v>7</v>
      </c>
      <c r="D13" s="287"/>
      <c r="E13" s="288" t="s">
        <v>8</v>
      </c>
      <c r="F13" s="289"/>
      <c r="G13" s="93"/>
      <c r="H13" s="94"/>
    </row>
    <row r="14" spans="2:8" ht="17.25" customHeight="1" x14ac:dyDescent="0.25">
      <c r="B14" s="90"/>
      <c r="C14" s="286" t="s">
        <v>9</v>
      </c>
      <c r="D14" s="287"/>
      <c r="E14" s="288" t="s">
        <v>10</v>
      </c>
      <c r="F14" s="289"/>
      <c r="G14" s="93"/>
      <c r="H14" s="94"/>
    </row>
    <row r="15" spans="2:8" ht="19.5" customHeight="1" x14ac:dyDescent="0.25">
      <c r="B15" s="90"/>
      <c r="C15" s="286" t="s">
        <v>11</v>
      </c>
      <c r="D15" s="287"/>
      <c r="E15" s="288" t="s">
        <v>12</v>
      </c>
      <c r="F15" s="289"/>
      <c r="G15" s="93"/>
      <c r="H15" s="94"/>
    </row>
    <row r="16" spans="2:8" ht="69.75" customHeight="1" x14ac:dyDescent="0.25">
      <c r="B16" s="90"/>
      <c r="C16" s="286" t="s">
        <v>13</v>
      </c>
      <c r="D16" s="287"/>
      <c r="E16" s="288" t="s">
        <v>14</v>
      </c>
      <c r="F16" s="289"/>
      <c r="G16" s="93"/>
      <c r="H16" s="94"/>
    </row>
    <row r="17" spans="2:8" ht="34.5" customHeight="1" x14ac:dyDescent="0.25">
      <c r="B17" s="90"/>
      <c r="C17" s="290" t="s">
        <v>15</v>
      </c>
      <c r="D17" s="291"/>
      <c r="E17" s="292" t="s">
        <v>16</v>
      </c>
      <c r="F17" s="293"/>
      <c r="G17" s="93"/>
      <c r="H17" s="94"/>
    </row>
    <row r="18" spans="2:8" ht="27.75" customHeight="1" x14ac:dyDescent="0.25">
      <c r="B18" s="90"/>
      <c r="C18" s="290" t="s">
        <v>17</v>
      </c>
      <c r="D18" s="291"/>
      <c r="E18" s="292" t="s">
        <v>18</v>
      </c>
      <c r="F18" s="293"/>
      <c r="G18" s="93"/>
      <c r="H18" s="94"/>
    </row>
    <row r="19" spans="2:8" ht="28.5" customHeight="1" x14ac:dyDescent="0.25">
      <c r="B19" s="90"/>
      <c r="C19" s="290" t="s">
        <v>19</v>
      </c>
      <c r="D19" s="291"/>
      <c r="E19" s="292" t="s">
        <v>20</v>
      </c>
      <c r="F19" s="293"/>
      <c r="G19" s="93"/>
      <c r="H19" s="94"/>
    </row>
    <row r="20" spans="2:8" ht="72.75" customHeight="1" x14ac:dyDescent="0.25">
      <c r="B20" s="90"/>
      <c r="C20" s="290" t="s">
        <v>21</v>
      </c>
      <c r="D20" s="291"/>
      <c r="E20" s="292" t="s">
        <v>22</v>
      </c>
      <c r="F20" s="293"/>
      <c r="G20" s="93"/>
      <c r="H20" s="94"/>
    </row>
    <row r="21" spans="2:8" ht="64.5" customHeight="1" x14ac:dyDescent="0.25">
      <c r="B21" s="90"/>
      <c r="C21" s="290" t="s">
        <v>23</v>
      </c>
      <c r="D21" s="291"/>
      <c r="E21" s="292" t="s">
        <v>24</v>
      </c>
      <c r="F21" s="293"/>
      <c r="G21" s="93"/>
      <c r="H21" s="94"/>
    </row>
    <row r="22" spans="2:8" ht="71.25" customHeight="1" x14ac:dyDescent="0.25">
      <c r="B22" s="90"/>
      <c r="C22" s="290" t="s">
        <v>25</v>
      </c>
      <c r="D22" s="291"/>
      <c r="E22" s="292" t="s">
        <v>26</v>
      </c>
      <c r="F22" s="293"/>
      <c r="G22" s="93"/>
      <c r="H22" s="94"/>
    </row>
    <row r="23" spans="2:8" ht="55.5" customHeight="1" x14ac:dyDescent="0.25">
      <c r="B23" s="90"/>
      <c r="C23" s="297" t="s">
        <v>27</v>
      </c>
      <c r="D23" s="298"/>
      <c r="E23" s="292" t="s">
        <v>28</v>
      </c>
      <c r="F23" s="293"/>
      <c r="G23" s="93"/>
      <c r="H23" s="94"/>
    </row>
    <row r="24" spans="2:8" ht="42" customHeight="1" x14ac:dyDescent="0.25">
      <c r="B24" s="90"/>
      <c r="C24" s="297" t="s">
        <v>29</v>
      </c>
      <c r="D24" s="298"/>
      <c r="E24" s="292" t="s">
        <v>30</v>
      </c>
      <c r="F24" s="293"/>
      <c r="G24" s="93"/>
      <c r="H24" s="94"/>
    </row>
    <row r="25" spans="2:8" ht="59.25" customHeight="1" x14ac:dyDescent="0.25">
      <c r="B25" s="90"/>
      <c r="C25" s="297" t="s">
        <v>31</v>
      </c>
      <c r="D25" s="298"/>
      <c r="E25" s="292" t="s">
        <v>32</v>
      </c>
      <c r="F25" s="293"/>
      <c r="G25" s="93"/>
      <c r="H25" s="94"/>
    </row>
    <row r="26" spans="2:8" ht="23.25" customHeight="1" x14ac:dyDescent="0.25">
      <c r="B26" s="90"/>
      <c r="C26" s="297" t="s">
        <v>33</v>
      </c>
      <c r="D26" s="298"/>
      <c r="E26" s="292" t="s">
        <v>34</v>
      </c>
      <c r="F26" s="293"/>
      <c r="G26" s="93"/>
      <c r="H26" s="94"/>
    </row>
    <row r="27" spans="2:8" ht="30.75" customHeight="1" x14ac:dyDescent="0.25">
      <c r="B27" s="90"/>
      <c r="C27" s="297" t="s">
        <v>35</v>
      </c>
      <c r="D27" s="298"/>
      <c r="E27" s="292" t="s">
        <v>36</v>
      </c>
      <c r="F27" s="293"/>
      <c r="G27" s="93"/>
      <c r="H27" s="94"/>
    </row>
    <row r="28" spans="2:8" ht="35.25" customHeight="1" x14ac:dyDescent="0.25">
      <c r="B28" s="90"/>
      <c r="C28" s="297" t="s">
        <v>37</v>
      </c>
      <c r="D28" s="298"/>
      <c r="E28" s="292" t="s">
        <v>38</v>
      </c>
      <c r="F28" s="293"/>
      <c r="G28" s="93"/>
      <c r="H28" s="94"/>
    </row>
    <row r="29" spans="2:8" ht="33" customHeight="1" x14ac:dyDescent="0.25">
      <c r="B29" s="90"/>
      <c r="C29" s="297" t="s">
        <v>37</v>
      </c>
      <c r="D29" s="298"/>
      <c r="E29" s="292" t="s">
        <v>38</v>
      </c>
      <c r="F29" s="293"/>
      <c r="G29" s="93"/>
      <c r="H29" s="94"/>
    </row>
    <row r="30" spans="2:8" ht="30" customHeight="1" x14ac:dyDescent="0.25">
      <c r="B30" s="90"/>
      <c r="C30" s="297" t="s">
        <v>39</v>
      </c>
      <c r="D30" s="298"/>
      <c r="E30" s="292" t="s">
        <v>40</v>
      </c>
      <c r="F30" s="293"/>
      <c r="G30" s="93"/>
      <c r="H30" s="94"/>
    </row>
    <row r="31" spans="2:8" ht="35.25" customHeight="1" x14ac:dyDescent="0.25">
      <c r="B31" s="90"/>
      <c r="C31" s="297" t="s">
        <v>41</v>
      </c>
      <c r="D31" s="298"/>
      <c r="E31" s="292" t="s">
        <v>42</v>
      </c>
      <c r="F31" s="293"/>
      <c r="G31" s="93"/>
      <c r="H31" s="94"/>
    </row>
    <row r="32" spans="2:8" ht="31.5" customHeight="1" x14ac:dyDescent="0.25">
      <c r="B32" s="90"/>
      <c r="C32" s="297" t="s">
        <v>43</v>
      </c>
      <c r="D32" s="298"/>
      <c r="E32" s="292" t="s">
        <v>44</v>
      </c>
      <c r="F32" s="293"/>
      <c r="G32" s="93"/>
      <c r="H32" s="94"/>
    </row>
    <row r="33" spans="2:8" ht="35.25" customHeight="1" x14ac:dyDescent="0.25">
      <c r="B33" s="90"/>
      <c r="C33" s="297" t="s">
        <v>45</v>
      </c>
      <c r="D33" s="298"/>
      <c r="E33" s="292" t="s">
        <v>46</v>
      </c>
      <c r="F33" s="293"/>
      <c r="G33" s="93"/>
      <c r="H33" s="94"/>
    </row>
    <row r="34" spans="2:8" ht="59.25" customHeight="1" x14ac:dyDescent="0.25">
      <c r="B34" s="90"/>
      <c r="C34" s="297" t="s">
        <v>47</v>
      </c>
      <c r="D34" s="298"/>
      <c r="E34" s="292" t="s">
        <v>48</v>
      </c>
      <c r="F34" s="293"/>
      <c r="G34" s="93"/>
      <c r="H34" s="94"/>
    </row>
    <row r="35" spans="2:8" ht="29.25" customHeight="1" x14ac:dyDescent="0.25">
      <c r="B35" s="90"/>
      <c r="C35" s="297" t="s">
        <v>49</v>
      </c>
      <c r="D35" s="298"/>
      <c r="E35" s="292" t="s">
        <v>50</v>
      </c>
      <c r="F35" s="293"/>
      <c r="G35" s="93"/>
      <c r="H35" s="94"/>
    </row>
    <row r="36" spans="2:8" ht="82.5" customHeight="1" x14ac:dyDescent="0.25">
      <c r="B36" s="90"/>
      <c r="C36" s="297" t="s">
        <v>51</v>
      </c>
      <c r="D36" s="298"/>
      <c r="E36" s="292" t="s">
        <v>52</v>
      </c>
      <c r="F36" s="293"/>
      <c r="G36" s="93"/>
      <c r="H36" s="94"/>
    </row>
    <row r="37" spans="2:8" ht="46.5" customHeight="1" x14ac:dyDescent="0.25">
      <c r="B37" s="90"/>
      <c r="C37" s="297" t="s">
        <v>53</v>
      </c>
      <c r="D37" s="298"/>
      <c r="E37" s="292" t="s">
        <v>54</v>
      </c>
      <c r="F37" s="293"/>
      <c r="G37" s="93"/>
      <c r="H37" s="94"/>
    </row>
    <row r="38" spans="2:8" ht="6.75" customHeight="1" thickBot="1" x14ac:dyDescent="0.3">
      <c r="B38" s="90"/>
      <c r="C38" s="299"/>
      <c r="D38" s="300"/>
      <c r="E38" s="301"/>
      <c r="F38" s="302"/>
      <c r="G38" s="93"/>
      <c r="H38" s="94"/>
    </row>
    <row r="39" spans="2:8" ht="15.75" thickTop="1" x14ac:dyDescent="0.25">
      <c r="B39" s="90"/>
      <c r="C39" s="91"/>
      <c r="D39" s="91"/>
      <c r="E39" s="92"/>
      <c r="F39" s="92"/>
      <c r="G39" s="93"/>
      <c r="H39" s="94"/>
    </row>
    <row r="40" spans="2:8" ht="21" customHeight="1" x14ac:dyDescent="0.25">
      <c r="B40" s="294" t="s">
        <v>55</v>
      </c>
      <c r="C40" s="295"/>
      <c r="D40" s="295"/>
      <c r="E40" s="295"/>
      <c r="F40" s="295"/>
      <c r="G40" s="295"/>
      <c r="H40" s="296"/>
    </row>
    <row r="41" spans="2:8" ht="20.25" customHeight="1" x14ac:dyDescent="0.25">
      <c r="B41" s="294" t="s">
        <v>56</v>
      </c>
      <c r="C41" s="295"/>
      <c r="D41" s="295"/>
      <c r="E41" s="295"/>
      <c r="F41" s="295"/>
      <c r="G41" s="295"/>
      <c r="H41" s="296"/>
    </row>
    <row r="42" spans="2:8" ht="20.25" customHeight="1" x14ac:dyDescent="0.25">
      <c r="B42" s="294" t="s">
        <v>57</v>
      </c>
      <c r="C42" s="295"/>
      <c r="D42" s="295"/>
      <c r="E42" s="295"/>
      <c r="F42" s="295"/>
      <c r="G42" s="295"/>
      <c r="H42" s="296"/>
    </row>
    <row r="43" spans="2:8" ht="20.25" customHeight="1" x14ac:dyDescent="0.25">
      <c r="B43" s="294" t="s">
        <v>58</v>
      </c>
      <c r="C43" s="295"/>
      <c r="D43" s="295"/>
      <c r="E43" s="295"/>
      <c r="F43" s="295"/>
      <c r="G43" s="295"/>
      <c r="H43" s="296"/>
    </row>
    <row r="44" spans="2:8" x14ac:dyDescent="0.25">
      <c r="B44" s="294" t="s">
        <v>59</v>
      </c>
      <c r="C44" s="295"/>
      <c r="D44" s="295"/>
      <c r="E44" s="295"/>
      <c r="F44" s="295"/>
      <c r="G44" s="295"/>
      <c r="H44" s="296"/>
    </row>
    <row r="45" spans="2:8" ht="15.75" thickBot="1" x14ac:dyDescent="0.3">
      <c r="B45" s="95"/>
      <c r="C45" s="96"/>
      <c r="D45" s="96"/>
      <c r="E45" s="96"/>
      <c r="F45" s="96"/>
      <c r="G45" s="96"/>
      <c r="H45" s="97"/>
    </row>
    <row r="47" spans="2:8" x14ac:dyDescent="0.25">
      <c r="B47" s="243" t="s">
        <v>60</v>
      </c>
    </row>
    <row r="48" spans="2:8" x14ac:dyDescent="0.25">
      <c r="B48" s="66" t="s">
        <v>61</v>
      </c>
    </row>
    <row r="49" spans="2:6" ht="25.5" x14ac:dyDescent="0.25">
      <c r="B49" s="235" t="s">
        <v>62</v>
      </c>
      <c r="C49" s="235" t="s">
        <v>63</v>
      </c>
      <c r="D49" s="235" t="s">
        <v>64</v>
      </c>
      <c r="E49" s="236" t="s">
        <v>65</v>
      </c>
      <c r="F49" s="237" t="s">
        <v>66</v>
      </c>
    </row>
    <row r="50" spans="2:6" x14ac:dyDescent="0.25">
      <c r="B50" s="238" t="s">
        <v>67</v>
      </c>
      <c r="C50" s="238" t="s">
        <v>68</v>
      </c>
      <c r="D50" s="239">
        <v>44957</v>
      </c>
      <c r="E50" s="238" t="s">
        <v>68</v>
      </c>
      <c r="F50" s="238" t="s">
        <v>68</v>
      </c>
    </row>
    <row r="51" spans="2:6" ht="30" x14ac:dyDescent="0.25">
      <c r="B51" s="238" t="s">
        <v>69</v>
      </c>
      <c r="C51" s="238" t="s">
        <v>70</v>
      </c>
      <c r="D51" s="239">
        <v>45016</v>
      </c>
      <c r="E51" s="238" t="s">
        <v>71</v>
      </c>
      <c r="F51" s="240" t="s">
        <v>72</v>
      </c>
    </row>
    <row r="300" spans="3:3" ht="31.5" x14ac:dyDescent="0.25">
      <c r="C300" s="168" t="s">
        <v>73</v>
      </c>
    </row>
    <row r="301" spans="3:3" ht="47.25" x14ac:dyDescent="0.25">
      <c r="C301" s="168" t="s">
        <v>74</v>
      </c>
    </row>
    <row r="302" spans="3:3" ht="31.5" x14ac:dyDescent="0.25">
      <c r="C302" s="169" t="s">
        <v>75</v>
      </c>
    </row>
    <row r="303" spans="3:3" ht="31.5" x14ac:dyDescent="0.25">
      <c r="C303" s="168" t="s">
        <v>76</v>
      </c>
    </row>
    <row r="304" spans="3:3" ht="47.25" x14ac:dyDescent="0.25">
      <c r="C304" s="168" t="s">
        <v>77</v>
      </c>
    </row>
    <row r="305" spans="3:3" ht="31.5" x14ac:dyDescent="0.25">
      <c r="C305" s="168" t="s">
        <v>78</v>
      </c>
    </row>
    <row r="306" spans="3:3" ht="47.25" x14ac:dyDescent="0.25">
      <c r="C306" s="169" t="s">
        <v>79</v>
      </c>
    </row>
    <row r="307" spans="3:3" ht="31.5" x14ac:dyDescent="0.25">
      <c r="C307" s="168" t="s">
        <v>80</v>
      </c>
    </row>
    <row r="308" spans="3:3" ht="15.75" x14ac:dyDescent="0.25">
      <c r="C308" s="168" t="s">
        <v>81</v>
      </c>
    </row>
    <row r="309" spans="3:3" ht="15.75" x14ac:dyDescent="0.25">
      <c r="C309" s="168" t="s">
        <v>82</v>
      </c>
    </row>
    <row r="310" spans="3:3" ht="31.5" x14ac:dyDescent="0.25">
      <c r="C310" s="168" t="s">
        <v>83</v>
      </c>
    </row>
    <row r="311" spans="3:3" ht="31.5" x14ac:dyDescent="0.25">
      <c r="C311" s="168" t="s">
        <v>84</v>
      </c>
    </row>
    <row r="312" spans="3:3" ht="15.75" x14ac:dyDescent="0.25">
      <c r="C312" s="168" t="s">
        <v>85</v>
      </c>
    </row>
    <row r="313" spans="3:3" ht="15.75" x14ac:dyDescent="0.25">
      <c r="C313" s="168" t="s">
        <v>86</v>
      </c>
    </row>
    <row r="314" spans="3:3" ht="15.75" x14ac:dyDescent="0.25">
      <c r="C314" s="168" t="s">
        <v>87</v>
      </c>
    </row>
    <row r="315" spans="3:3" ht="31.5" x14ac:dyDescent="0.25">
      <c r="C315" s="168" t="s">
        <v>88</v>
      </c>
    </row>
    <row r="316" spans="3:3" ht="31.5" x14ac:dyDescent="0.25">
      <c r="C316" s="168" t="s">
        <v>89</v>
      </c>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honeticPr fontId="88"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55"/>
  <sheetViews>
    <sheetView zoomScale="90" zoomScaleNormal="90" workbookViewId="0">
      <selection activeCell="B7" sqref="B7"/>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548" t="s">
        <v>313</v>
      </c>
      <c r="C1" s="548"/>
      <c r="D1" s="548"/>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314</v>
      </c>
      <c r="D3" s="4" t="s">
        <v>264</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315</v>
      </c>
      <c r="C4" s="6" t="s">
        <v>316</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317</v>
      </c>
      <c r="C5" s="9" t="s">
        <v>318</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319</v>
      </c>
      <c r="C6" s="9" t="s">
        <v>320</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321</v>
      </c>
      <c r="C7" s="9" t="s">
        <v>322</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323</v>
      </c>
      <c r="C8" s="9" t="s">
        <v>324</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U233"/>
  <sheetViews>
    <sheetView zoomScale="50" zoomScaleNormal="50" workbookViewId="0">
      <selection activeCell="F218" sqref="F218:F222"/>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78" customFormat="1" ht="45.75" customHeight="1" x14ac:dyDescent="0.25">
      <c r="A2" s="176"/>
      <c r="B2" s="549" t="s">
        <v>325</v>
      </c>
      <c r="C2" s="549"/>
      <c r="D2" s="549"/>
      <c r="E2" s="549"/>
      <c r="F2" s="177"/>
      <c r="G2" s="176"/>
      <c r="H2" s="176"/>
      <c r="I2" s="176"/>
      <c r="J2" s="176"/>
      <c r="K2" s="176"/>
      <c r="L2" s="176"/>
      <c r="M2" s="176"/>
      <c r="N2" s="176"/>
      <c r="O2" s="176"/>
      <c r="P2" s="176"/>
      <c r="Q2" s="176"/>
      <c r="R2" s="176"/>
      <c r="S2" s="176"/>
      <c r="T2" s="176"/>
      <c r="U2" s="176"/>
    </row>
    <row r="3" spans="1:21" s="178" customFormat="1" ht="18.75" customHeight="1" x14ac:dyDescent="0.25">
      <c r="A3" s="176"/>
      <c r="B3" s="179"/>
      <c r="C3" s="176"/>
      <c r="D3" s="176"/>
      <c r="E3" s="176"/>
      <c r="F3" s="177"/>
      <c r="G3" s="176"/>
      <c r="H3" s="176"/>
      <c r="I3" s="176"/>
      <c r="J3" s="176"/>
      <c r="K3" s="176"/>
      <c r="L3" s="176"/>
      <c r="M3" s="176"/>
      <c r="N3" s="176"/>
      <c r="O3" s="176"/>
      <c r="P3" s="176"/>
      <c r="Q3" s="176"/>
      <c r="R3" s="176"/>
      <c r="S3" s="176"/>
      <c r="T3" s="176"/>
      <c r="U3" s="176"/>
    </row>
    <row r="4" spans="1:21" ht="67.5" customHeight="1" x14ac:dyDescent="0.25">
      <c r="A4" s="66"/>
      <c r="B4" s="106"/>
      <c r="C4" s="21" t="s">
        <v>326</v>
      </c>
      <c r="D4" s="21" t="s">
        <v>327</v>
      </c>
      <c r="E4" s="21" t="s">
        <v>328</v>
      </c>
      <c r="F4" s="112"/>
      <c r="G4" s="66"/>
      <c r="H4" s="66"/>
      <c r="I4" s="66"/>
      <c r="J4" s="66"/>
      <c r="K4" s="66"/>
      <c r="L4" s="66"/>
      <c r="M4" s="66"/>
      <c r="N4" s="66"/>
      <c r="O4" s="66"/>
      <c r="P4" s="66"/>
      <c r="Q4" s="66"/>
      <c r="R4" s="66"/>
      <c r="S4" s="66"/>
      <c r="T4" s="66"/>
      <c r="U4" s="66"/>
    </row>
    <row r="5" spans="1:21" ht="67.5" customHeight="1" x14ac:dyDescent="0.25">
      <c r="A5" s="86" t="s">
        <v>329</v>
      </c>
      <c r="B5" s="22" t="s">
        <v>330</v>
      </c>
      <c r="C5" s="27" t="s">
        <v>331</v>
      </c>
      <c r="D5" s="104" t="s">
        <v>332</v>
      </c>
      <c r="E5" s="214">
        <f>908526*130</f>
        <v>118108380</v>
      </c>
      <c r="F5" s="66"/>
      <c r="G5" s="66"/>
      <c r="H5" s="66"/>
      <c r="I5" s="66"/>
      <c r="J5" s="66"/>
      <c r="K5" s="66"/>
      <c r="L5" s="66"/>
      <c r="M5" s="66"/>
      <c r="N5" s="66"/>
      <c r="O5" s="66"/>
      <c r="P5" s="66"/>
      <c r="Q5" s="66"/>
      <c r="R5" s="66"/>
      <c r="S5" s="66"/>
      <c r="T5" s="66"/>
      <c r="U5" s="66"/>
    </row>
    <row r="6" spans="1:21" ht="129" customHeight="1" x14ac:dyDescent="0.25">
      <c r="A6" s="86" t="s">
        <v>333</v>
      </c>
      <c r="B6" s="23" t="s">
        <v>334</v>
      </c>
      <c r="C6" s="28" t="s">
        <v>335</v>
      </c>
      <c r="D6" s="105" t="s">
        <v>336</v>
      </c>
      <c r="E6" s="214">
        <f>908526*650</f>
        <v>590541900</v>
      </c>
      <c r="F6" s="66"/>
      <c r="G6" s="66"/>
      <c r="H6" s="66"/>
      <c r="I6" s="66"/>
      <c r="J6" s="66"/>
      <c r="K6" s="66"/>
      <c r="L6" s="66"/>
      <c r="M6" s="66"/>
      <c r="N6" s="66"/>
      <c r="O6" s="66"/>
      <c r="P6" s="66"/>
      <c r="Q6" s="66"/>
      <c r="R6" s="66"/>
      <c r="S6" s="66"/>
      <c r="T6" s="66"/>
      <c r="U6" s="66"/>
    </row>
    <row r="7" spans="1:21" ht="101.25" x14ac:dyDescent="0.25">
      <c r="A7" s="86" t="s">
        <v>270</v>
      </c>
      <c r="B7" s="24" t="s">
        <v>337</v>
      </c>
      <c r="C7" s="28" t="s">
        <v>338</v>
      </c>
      <c r="D7" s="105" t="s">
        <v>339</v>
      </c>
      <c r="E7" s="214">
        <f>908526*1300</f>
        <v>1181083800</v>
      </c>
      <c r="F7" s="66"/>
      <c r="G7" s="66"/>
      <c r="H7" s="66"/>
      <c r="I7" s="66"/>
      <c r="J7" s="66"/>
      <c r="K7" s="66"/>
      <c r="L7" s="66"/>
      <c r="M7" s="66"/>
      <c r="N7" s="66"/>
      <c r="O7" s="66"/>
      <c r="P7" s="66"/>
      <c r="Q7" s="66"/>
      <c r="R7" s="66"/>
      <c r="S7" s="66"/>
      <c r="T7" s="66"/>
      <c r="U7" s="66"/>
    </row>
    <row r="8" spans="1:21" ht="135" x14ac:dyDescent="0.25">
      <c r="A8" s="86" t="s">
        <v>340</v>
      </c>
      <c r="B8" s="25" t="s">
        <v>341</v>
      </c>
      <c r="C8" s="28" t="s">
        <v>342</v>
      </c>
      <c r="D8" s="105" t="s">
        <v>343</v>
      </c>
      <c r="E8" s="214">
        <f>908526*6500</f>
        <v>5905419000</v>
      </c>
      <c r="F8" s="66"/>
      <c r="G8" s="66"/>
      <c r="H8" s="66"/>
      <c r="I8" s="66"/>
      <c r="J8" s="66"/>
      <c r="K8" s="66"/>
      <c r="L8" s="66"/>
      <c r="M8" s="66"/>
      <c r="N8" s="66"/>
      <c r="O8" s="66"/>
      <c r="P8" s="66"/>
      <c r="Q8" s="66"/>
      <c r="R8" s="66"/>
      <c r="S8" s="66"/>
      <c r="T8" s="66"/>
      <c r="U8" s="66"/>
    </row>
    <row r="9" spans="1:21" ht="101.25" x14ac:dyDescent="0.25">
      <c r="A9" s="86" t="s">
        <v>344</v>
      </c>
      <c r="B9" s="26" t="s">
        <v>345</v>
      </c>
      <c r="C9" s="28" t="s">
        <v>346</v>
      </c>
      <c r="D9" s="105" t="s">
        <v>347</v>
      </c>
      <c r="E9" s="214"/>
      <c r="F9" s="107"/>
      <c r="G9" s="107"/>
      <c r="H9" s="66"/>
      <c r="I9" s="66"/>
      <c r="J9" s="66"/>
      <c r="K9" s="66"/>
      <c r="L9" s="66"/>
      <c r="M9" s="66"/>
      <c r="N9" s="66"/>
      <c r="O9" s="66"/>
      <c r="P9" s="66"/>
      <c r="Q9" s="66"/>
      <c r="R9" s="66"/>
      <c r="S9" s="66"/>
      <c r="T9" s="66"/>
      <c r="U9" s="66"/>
    </row>
    <row r="10" spans="1:21" s="110" customFormat="1" ht="20.25" hidden="1" x14ac:dyDescent="0.25">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x14ac:dyDescent="0.25">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25">
      <c r="A12" s="108"/>
      <c r="B12" s="108" t="s">
        <v>348</v>
      </c>
      <c r="C12" s="108" t="s">
        <v>349</v>
      </c>
      <c r="D12" s="108" t="s">
        <v>350</v>
      </c>
      <c r="E12" s="108"/>
      <c r="F12" s="108"/>
      <c r="G12" s="108"/>
      <c r="H12" s="108"/>
      <c r="I12" s="108"/>
      <c r="J12" s="108"/>
      <c r="K12" s="108"/>
      <c r="L12" s="108"/>
      <c r="M12" s="108"/>
      <c r="N12" s="108"/>
      <c r="O12" s="108"/>
      <c r="P12" s="108"/>
      <c r="Q12" s="108"/>
      <c r="R12" s="108"/>
      <c r="S12" s="108"/>
      <c r="T12" s="108"/>
      <c r="U12" s="108"/>
    </row>
    <row r="13" spans="1:21" s="110" customFormat="1" hidden="1" x14ac:dyDescent="0.25">
      <c r="A13" s="108"/>
      <c r="B13" s="108" t="s">
        <v>351</v>
      </c>
      <c r="C13" s="108" t="s">
        <v>352</v>
      </c>
      <c r="D13" s="108" t="s">
        <v>353</v>
      </c>
      <c r="E13" s="108"/>
      <c r="F13" s="108"/>
      <c r="G13" s="108"/>
      <c r="H13" s="108"/>
      <c r="I13" s="108"/>
      <c r="J13" s="108"/>
      <c r="K13" s="108"/>
      <c r="L13" s="108"/>
      <c r="M13" s="108"/>
      <c r="N13" s="108"/>
      <c r="O13" s="108"/>
      <c r="P13" s="108"/>
      <c r="Q13" s="108"/>
      <c r="R13" s="108"/>
      <c r="S13" s="108"/>
      <c r="T13" s="108"/>
      <c r="U13" s="108"/>
    </row>
    <row r="14" spans="1:21" s="110" customFormat="1" hidden="1" x14ac:dyDescent="0.25">
      <c r="A14" s="108"/>
      <c r="B14" s="108"/>
      <c r="C14" s="108" t="s">
        <v>354</v>
      </c>
      <c r="D14" s="108" t="s">
        <v>253</v>
      </c>
      <c r="E14" s="108"/>
      <c r="F14" s="108"/>
      <c r="G14" s="108"/>
      <c r="H14" s="108"/>
      <c r="I14" s="108"/>
      <c r="J14" s="108"/>
      <c r="K14" s="108"/>
      <c r="L14" s="108"/>
      <c r="M14" s="108"/>
      <c r="N14" s="108"/>
      <c r="O14" s="108"/>
      <c r="P14" s="108"/>
      <c r="Q14" s="108"/>
      <c r="R14" s="108"/>
      <c r="S14" s="108"/>
      <c r="T14" s="108"/>
      <c r="U14" s="108"/>
    </row>
    <row r="15" spans="1:21" s="110" customFormat="1" hidden="1" x14ac:dyDescent="0.25">
      <c r="A15" s="108"/>
      <c r="B15" s="108"/>
      <c r="C15" s="108" t="s">
        <v>355</v>
      </c>
      <c r="D15" s="108" t="s">
        <v>356</v>
      </c>
      <c r="E15" s="108"/>
      <c r="F15" s="108"/>
      <c r="G15" s="108"/>
      <c r="H15" s="108"/>
      <c r="I15" s="108"/>
      <c r="J15" s="108"/>
      <c r="K15" s="108"/>
      <c r="L15" s="108"/>
      <c r="M15" s="108"/>
      <c r="N15" s="108"/>
      <c r="O15" s="108"/>
      <c r="P15" s="108"/>
      <c r="Q15" s="108"/>
      <c r="R15" s="108"/>
      <c r="S15" s="108"/>
      <c r="T15" s="108"/>
      <c r="U15" s="108"/>
    </row>
    <row r="16" spans="1:21" s="110" customFormat="1" hidden="1" x14ac:dyDescent="0.25">
      <c r="A16" s="108"/>
      <c r="B16" s="108"/>
      <c r="C16" s="108" t="s">
        <v>357</v>
      </c>
      <c r="D16" s="108" t="s">
        <v>358</v>
      </c>
      <c r="E16" s="108"/>
      <c r="F16" s="108"/>
      <c r="G16" s="108"/>
      <c r="H16" s="108"/>
      <c r="I16" s="108"/>
      <c r="J16" s="108"/>
      <c r="K16" s="108"/>
      <c r="L16" s="108"/>
      <c r="M16" s="108"/>
      <c r="N16" s="108"/>
      <c r="O16" s="108"/>
      <c r="P16" s="108"/>
      <c r="Q16" s="108"/>
      <c r="R16" s="108"/>
      <c r="S16" s="108"/>
      <c r="T16" s="108"/>
      <c r="U16" s="108"/>
    </row>
    <row r="17" spans="1:15" s="110" customFormat="1" hidden="1" x14ac:dyDescent="0.25">
      <c r="A17" s="108"/>
      <c r="B17" s="108"/>
      <c r="C17" s="108"/>
      <c r="D17" s="108"/>
      <c r="E17" s="108"/>
      <c r="F17" s="108"/>
      <c r="G17" s="108"/>
      <c r="H17" s="108"/>
      <c r="I17" s="108"/>
      <c r="J17" s="108"/>
      <c r="K17" s="108"/>
      <c r="L17" s="108"/>
      <c r="M17" s="108"/>
      <c r="N17" s="108"/>
      <c r="O17" s="108"/>
    </row>
    <row r="18" spans="1:15" s="110" customFormat="1" x14ac:dyDescent="0.25">
      <c r="A18" s="108"/>
      <c r="B18" s="108"/>
      <c r="C18" s="108"/>
      <c r="D18" s="108"/>
      <c r="E18" s="108"/>
      <c r="F18" s="108"/>
      <c r="G18" s="108"/>
      <c r="H18" s="108"/>
      <c r="I18" s="108"/>
      <c r="J18" s="108"/>
      <c r="K18" s="108"/>
      <c r="L18" s="108"/>
      <c r="M18" s="108"/>
      <c r="N18" s="108"/>
      <c r="O18" s="108"/>
    </row>
    <row r="19" spans="1:15" s="110" customFormat="1" x14ac:dyDescent="0.25">
      <c r="A19" s="108"/>
      <c r="B19" s="108"/>
      <c r="C19" s="108"/>
      <c r="D19" s="108"/>
      <c r="E19" s="108"/>
      <c r="F19" s="108"/>
      <c r="G19" s="108"/>
      <c r="H19" s="108"/>
      <c r="I19" s="108"/>
      <c r="J19" s="108"/>
      <c r="K19" s="108"/>
      <c r="L19" s="108"/>
      <c r="M19" s="108"/>
      <c r="N19" s="108"/>
      <c r="O19" s="108"/>
    </row>
    <row r="20" spans="1:15" s="110" customFormat="1" x14ac:dyDescent="0.25">
      <c r="A20" s="108"/>
      <c r="B20" s="108"/>
      <c r="C20" s="108"/>
      <c r="D20" s="108"/>
      <c r="E20" s="108"/>
      <c r="F20" s="108"/>
      <c r="G20" s="108"/>
      <c r="H20" s="108"/>
      <c r="I20" s="108"/>
      <c r="J20" s="108"/>
      <c r="K20" s="108"/>
      <c r="L20" s="108"/>
      <c r="M20" s="108"/>
      <c r="N20" s="108"/>
      <c r="O20" s="108"/>
    </row>
    <row r="21" spans="1:15" s="110" customFormat="1" x14ac:dyDescent="0.25">
      <c r="A21" s="108"/>
      <c r="B21" s="108"/>
      <c r="C21" s="108"/>
      <c r="D21" s="108"/>
      <c r="E21" s="108"/>
      <c r="F21" s="113"/>
      <c r="G21" s="108"/>
      <c r="H21" s="108"/>
      <c r="I21" s="108"/>
      <c r="J21" s="108"/>
      <c r="K21" s="108"/>
      <c r="L21" s="108"/>
      <c r="M21" s="108"/>
      <c r="N21" s="108"/>
      <c r="O21" s="108"/>
    </row>
    <row r="22" spans="1:15" s="110" customFormat="1" x14ac:dyDescent="0.25">
      <c r="A22" s="108"/>
      <c r="B22" s="108"/>
      <c r="C22" s="108"/>
      <c r="D22" s="108"/>
      <c r="E22" s="108"/>
      <c r="F22" s="113"/>
      <c r="G22" s="108"/>
      <c r="H22" s="108"/>
      <c r="I22" s="108"/>
      <c r="J22" s="108"/>
      <c r="K22" s="108"/>
      <c r="L22" s="108"/>
      <c r="M22" s="108"/>
      <c r="N22" s="108"/>
      <c r="O22" s="108"/>
    </row>
    <row r="23" spans="1:15" s="110" customFormat="1" ht="20.25" x14ac:dyDescent="0.25">
      <c r="A23" s="108"/>
      <c r="B23" s="108"/>
      <c r="C23" s="109"/>
      <c r="D23" s="109"/>
      <c r="E23" s="108"/>
      <c r="F23" s="113"/>
      <c r="G23" s="108"/>
      <c r="H23" s="108"/>
      <c r="I23" s="108"/>
      <c r="J23" s="108"/>
      <c r="K23" s="108"/>
      <c r="L23" s="108"/>
      <c r="M23" s="108"/>
      <c r="N23" s="108"/>
      <c r="O23" s="108"/>
    </row>
    <row r="24" spans="1:15" s="110" customFormat="1" ht="20.25" x14ac:dyDescent="0.25">
      <c r="A24" s="108"/>
      <c r="B24" s="108"/>
      <c r="C24" s="109"/>
      <c r="D24" s="109"/>
      <c r="E24" s="108"/>
      <c r="F24" s="113"/>
      <c r="G24" s="108"/>
      <c r="H24" s="108"/>
      <c r="I24" s="108"/>
      <c r="J24" s="108"/>
      <c r="K24" s="108"/>
      <c r="L24" s="108"/>
      <c r="M24" s="108"/>
      <c r="N24" s="108"/>
      <c r="O24" s="108"/>
    </row>
    <row r="25" spans="1:15" s="110" customFormat="1" ht="20.25" x14ac:dyDescent="0.25">
      <c r="A25" s="108"/>
      <c r="B25" s="108"/>
      <c r="C25" s="109"/>
      <c r="D25" s="109"/>
      <c r="E25" s="108"/>
      <c r="F25" s="113"/>
      <c r="G25" s="108"/>
      <c r="H25" s="108"/>
      <c r="I25" s="108"/>
      <c r="J25" s="108"/>
      <c r="K25" s="108"/>
      <c r="L25" s="108"/>
      <c r="M25" s="108"/>
      <c r="N25" s="108"/>
      <c r="O25" s="108"/>
    </row>
    <row r="26" spans="1:15" s="110" customFormat="1" ht="20.25" x14ac:dyDescent="0.25">
      <c r="A26" s="108"/>
      <c r="B26" s="108"/>
      <c r="C26" s="109"/>
      <c r="D26" s="109"/>
      <c r="E26" s="108"/>
      <c r="F26" s="113"/>
      <c r="G26" s="108"/>
      <c r="H26" s="108"/>
      <c r="I26" s="108"/>
      <c r="J26" s="108"/>
      <c r="K26" s="108"/>
      <c r="L26" s="108"/>
      <c r="M26" s="108"/>
      <c r="N26" s="108"/>
      <c r="O26" s="108"/>
    </row>
    <row r="27" spans="1:15" s="110" customFormat="1" ht="20.25" x14ac:dyDescent="0.25">
      <c r="A27" s="108"/>
      <c r="B27" s="108"/>
      <c r="C27" s="109"/>
      <c r="D27" s="109"/>
      <c r="E27" s="108"/>
      <c r="F27" s="113"/>
      <c r="G27" s="108"/>
      <c r="H27" s="108"/>
      <c r="I27" s="108"/>
      <c r="J27" s="108"/>
      <c r="K27" s="108"/>
      <c r="L27" s="108"/>
      <c r="M27" s="108"/>
      <c r="N27" s="108"/>
      <c r="O27" s="108"/>
    </row>
    <row r="28" spans="1:15" s="110" customFormat="1" ht="20.25" x14ac:dyDescent="0.25">
      <c r="A28" s="108"/>
      <c r="B28" s="108"/>
      <c r="C28" s="109"/>
      <c r="D28" s="109"/>
      <c r="E28" s="108"/>
      <c r="F28" s="113"/>
      <c r="G28" s="108"/>
      <c r="H28" s="108"/>
      <c r="I28" s="108"/>
      <c r="J28" s="108"/>
      <c r="K28" s="108"/>
      <c r="L28" s="108"/>
      <c r="M28" s="108"/>
      <c r="N28" s="108"/>
      <c r="O28" s="108"/>
    </row>
    <row r="29" spans="1:15" s="110" customFormat="1" ht="20.25" x14ac:dyDescent="0.25">
      <c r="A29" s="108"/>
      <c r="B29" s="108"/>
      <c r="C29" s="109"/>
      <c r="D29" s="109"/>
      <c r="E29" s="108"/>
      <c r="F29" s="113"/>
      <c r="G29" s="108"/>
      <c r="H29" s="108"/>
      <c r="I29" s="108"/>
      <c r="J29" s="108"/>
      <c r="K29" s="108"/>
      <c r="L29" s="108"/>
      <c r="M29" s="108"/>
      <c r="N29" s="108"/>
      <c r="O29" s="108"/>
    </row>
    <row r="30" spans="1:15" s="110" customFormat="1" ht="20.25" x14ac:dyDescent="0.25">
      <c r="A30" s="108"/>
      <c r="B30" s="108"/>
      <c r="C30" s="109"/>
      <c r="D30" s="109"/>
      <c r="E30" s="108"/>
      <c r="F30" s="113"/>
      <c r="G30" s="108"/>
      <c r="H30" s="108"/>
      <c r="I30" s="108"/>
      <c r="J30" s="108"/>
      <c r="K30" s="108"/>
      <c r="L30" s="108"/>
      <c r="M30" s="108"/>
      <c r="N30" s="108"/>
      <c r="O30" s="108"/>
    </row>
    <row r="31" spans="1:15" s="110" customFormat="1" ht="20.25" x14ac:dyDescent="0.25">
      <c r="A31" s="108"/>
      <c r="B31" s="108"/>
      <c r="C31" s="109"/>
      <c r="D31" s="109"/>
      <c r="E31" s="108"/>
      <c r="F31" s="113"/>
      <c r="G31" s="108"/>
      <c r="H31" s="108"/>
      <c r="I31" s="108"/>
      <c r="J31" s="108"/>
      <c r="K31" s="108"/>
      <c r="L31" s="108"/>
      <c r="M31" s="108"/>
      <c r="N31" s="108"/>
      <c r="O31" s="108"/>
    </row>
    <row r="32" spans="1:15" s="110" customFormat="1" ht="20.25" x14ac:dyDescent="0.25">
      <c r="A32" s="108"/>
      <c r="B32" s="108"/>
      <c r="C32" s="109"/>
      <c r="D32" s="109"/>
      <c r="E32" s="108"/>
      <c r="F32" s="113"/>
      <c r="G32" s="108"/>
      <c r="H32" s="108"/>
      <c r="I32" s="108"/>
      <c r="J32" s="108"/>
      <c r="K32" s="108"/>
      <c r="L32" s="108"/>
      <c r="M32" s="108"/>
      <c r="N32" s="108"/>
      <c r="O32" s="108"/>
    </row>
    <row r="33" spans="1:15" s="110" customFormat="1" ht="20.25" x14ac:dyDescent="0.25">
      <c r="A33" s="108"/>
      <c r="B33" s="108"/>
      <c r="C33" s="109"/>
      <c r="D33" s="109"/>
      <c r="E33" s="108"/>
      <c r="F33" s="113"/>
      <c r="G33" s="108"/>
      <c r="H33" s="108"/>
      <c r="I33" s="108"/>
      <c r="J33" s="108"/>
      <c r="K33" s="108"/>
      <c r="L33" s="108"/>
      <c r="M33" s="108"/>
      <c r="N33" s="108"/>
      <c r="O33" s="108"/>
    </row>
    <row r="34" spans="1:15" s="110" customFormat="1" ht="20.25" x14ac:dyDescent="0.25">
      <c r="A34" s="108"/>
      <c r="B34" s="108"/>
      <c r="C34" s="109"/>
      <c r="D34" s="109"/>
      <c r="E34" s="108"/>
      <c r="F34" s="113"/>
      <c r="G34" s="108"/>
      <c r="H34" s="108"/>
      <c r="I34" s="108"/>
      <c r="J34" s="108"/>
      <c r="K34" s="108"/>
      <c r="L34" s="108"/>
      <c r="M34" s="108"/>
      <c r="N34" s="108"/>
      <c r="O34" s="108"/>
    </row>
    <row r="35" spans="1:15" s="110" customFormat="1" ht="20.25" x14ac:dyDescent="0.25">
      <c r="A35" s="108"/>
      <c r="B35" s="108"/>
      <c r="C35" s="109"/>
      <c r="D35" s="109"/>
      <c r="E35" s="108"/>
      <c r="F35" s="113"/>
      <c r="G35" s="108"/>
      <c r="H35" s="108"/>
      <c r="I35" s="108"/>
      <c r="J35" s="108"/>
      <c r="K35" s="108"/>
      <c r="L35" s="108"/>
      <c r="M35" s="108"/>
      <c r="N35" s="108"/>
      <c r="O35" s="108"/>
    </row>
    <row r="36" spans="1:15" s="110" customFormat="1" ht="20.25" x14ac:dyDescent="0.25">
      <c r="A36" s="108"/>
      <c r="B36" s="108"/>
      <c r="C36" s="109"/>
      <c r="D36" s="109"/>
      <c r="E36" s="108"/>
      <c r="F36" s="113"/>
      <c r="G36" s="108"/>
      <c r="H36" s="108"/>
      <c r="I36" s="108"/>
      <c r="J36" s="108"/>
      <c r="K36" s="108"/>
      <c r="L36" s="108"/>
      <c r="M36" s="108"/>
      <c r="N36" s="108"/>
      <c r="O36" s="108"/>
    </row>
    <row r="37" spans="1:15" s="110" customFormat="1" ht="20.25" x14ac:dyDescent="0.25">
      <c r="A37" s="108"/>
      <c r="B37" s="108"/>
      <c r="C37" s="109"/>
      <c r="D37" s="109"/>
      <c r="E37" s="108"/>
      <c r="F37" s="113"/>
      <c r="G37" s="108"/>
      <c r="H37" s="108"/>
      <c r="I37" s="108"/>
      <c r="J37" s="108"/>
      <c r="K37" s="108"/>
      <c r="L37" s="108"/>
      <c r="M37" s="108"/>
      <c r="N37" s="108"/>
      <c r="O37" s="108"/>
    </row>
    <row r="38" spans="1:15" s="110" customFormat="1" ht="20.25" x14ac:dyDescent="0.25">
      <c r="A38" s="108"/>
      <c r="B38" s="108"/>
      <c r="C38" s="109"/>
      <c r="D38" s="109"/>
      <c r="E38" s="108"/>
      <c r="F38" s="113"/>
      <c r="G38" s="108"/>
      <c r="H38" s="108"/>
      <c r="I38" s="108"/>
      <c r="J38" s="108"/>
      <c r="K38" s="108"/>
      <c r="L38" s="108"/>
      <c r="M38" s="108"/>
      <c r="N38" s="108"/>
      <c r="O38" s="108"/>
    </row>
    <row r="39" spans="1:15" s="110" customFormat="1" ht="20.25" x14ac:dyDescent="0.25">
      <c r="A39" s="108"/>
      <c r="B39" s="108"/>
      <c r="C39" s="109"/>
      <c r="D39" s="109"/>
      <c r="E39" s="108"/>
      <c r="F39" s="113"/>
      <c r="G39" s="108"/>
      <c r="H39" s="108"/>
      <c r="I39" s="108"/>
      <c r="J39" s="108"/>
      <c r="K39" s="108"/>
      <c r="L39" s="108"/>
      <c r="M39" s="108"/>
      <c r="N39" s="108"/>
      <c r="O39" s="108"/>
    </row>
    <row r="40" spans="1:15" s="110" customFormat="1" ht="20.25" x14ac:dyDescent="0.25">
      <c r="A40" s="108"/>
      <c r="B40" s="108"/>
      <c r="C40" s="109"/>
      <c r="D40" s="109"/>
      <c r="E40" s="108"/>
      <c r="F40" s="113"/>
      <c r="G40" s="108"/>
      <c r="H40" s="108"/>
      <c r="I40" s="108"/>
      <c r="J40" s="108"/>
      <c r="K40" s="108"/>
      <c r="L40" s="108"/>
      <c r="M40" s="108"/>
      <c r="N40" s="108"/>
      <c r="O40" s="108"/>
    </row>
    <row r="41" spans="1:15" s="110" customFormat="1" ht="20.25" x14ac:dyDescent="0.25">
      <c r="A41" s="108"/>
      <c r="B41" s="108"/>
      <c r="C41" s="109"/>
      <c r="D41" s="109"/>
      <c r="E41" s="108"/>
      <c r="F41" s="113"/>
      <c r="G41" s="108"/>
      <c r="H41" s="108"/>
      <c r="I41" s="108"/>
      <c r="J41" s="108"/>
      <c r="K41" s="108"/>
      <c r="L41" s="108"/>
      <c r="M41" s="108"/>
      <c r="N41" s="108"/>
      <c r="O41" s="108"/>
    </row>
    <row r="42" spans="1:15" s="110" customFormat="1" ht="20.25" x14ac:dyDescent="0.25">
      <c r="A42" s="108"/>
      <c r="B42" s="108"/>
      <c r="C42" s="109"/>
      <c r="D42" s="109"/>
      <c r="E42" s="108"/>
      <c r="F42" s="113"/>
      <c r="G42" s="108"/>
      <c r="H42" s="108"/>
      <c r="I42" s="108"/>
      <c r="J42" s="108"/>
      <c r="K42" s="108"/>
      <c r="L42" s="108"/>
      <c r="M42" s="108"/>
      <c r="N42" s="108"/>
      <c r="O42" s="108"/>
    </row>
    <row r="43" spans="1:15" s="110" customFormat="1" ht="20.25" x14ac:dyDescent="0.25">
      <c r="A43" s="108"/>
      <c r="B43" s="108"/>
      <c r="C43" s="109"/>
      <c r="D43" s="109"/>
      <c r="E43" s="108"/>
      <c r="F43" s="113"/>
      <c r="G43" s="108"/>
      <c r="H43" s="108"/>
      <c r="I43" s="108"/>
      <c r="J43" s="108"/>
      <c r="K43" s="108"/>
      <c r="L43" s="108"/>
      <c r="M43" s="108"/>
      <c r="N43" s="108"/>
      <c r="O43" s="108"/>
    </row>
    <row r="44" spans="1:15" s="110" customFormat="1" ht="20.25" x14ac:dyDescent="0.25">
      <c r="A44" s="108"/>
      <c r="B44" s="108"/>
      <c r="C44" s="109"/>
      <c r="D44" s="109"/>
      <c r="E44" s="108"/>
      <c r="F44" s="113"/>
      <c r="G44" s="108"/>
      <c r="H44" s="108"/>
      <c r="I44" s="108"/>
      <c r="J44" s="108"/>
      <c r="K44" s="108"/>
      <c r="L44" s="108"/>
      <c r="M44" s="108"/>
      <c r="N44" s="108"/>
      <c r="O44" s="108"/>
    </row>
    <row r="45" spans="1:15" s="110" customFormat="1" ht="20.25" x14ac:dyDescent="0.25">
      <c r="A45" s="108"/>
      <c r="B45" s="108"/>
      <c r="C45" s="109"/>
      <c r="D45" s="109"/>
      <c r="E45" s="108"/>
      <c r="F45" s="113"/>
      <c r="G45" s="108"/>
      <c r="H45" s="108"/>
      <c r="I45" s="108"/>
      <c r="J45" s="108"/>
      <c r="K45" s="108"/>
      <c r="L45" s="108"/>
      <c r="M45" s="108"/>
      <c r="N45" s="108"/>
      <c r="O45" s="108"/>
    </row>
    <row r="46" spans="1:15" s="110" customFormat="1" ht="20.25" x14ac:dyDescent="0.25">
      <c r="A46" s="108"/>
      <c r="B46" s="108"/>
      <c r="C46" s="109"/>
      <c r="D46" s="109"/>
      <c r="E46" s="108"/>
      <c r="F46" s="113"/>
      <c r="G46" s="108"/>
      <c r="H46" s="108"/>
      <c r="I46" s="108"/>
      <c r="J46" s="108"/>
      <c r="K46" s="108"/>
      <c r="L46" s="108"/>
      <c r="M46" s="108"/>
      <c r="N46" s="108"/>
      <c r="O46" s="108"/>
    </row>
    <row r="47" spans="1:15" ht="20.25" x14ac:dyDescent="0.25">
      <c r="A47" s="86"/>
      <c r="B47" s="86"/>
      <c r="C47" s="87"/>
      <c r="D47" s="87"/>
      <c r="E47" s="66"/>
      <c r="F47" s="112"/>
      <c r="G47" s="66"/>
      <c r="H47" s="66"/>
      <c r="I47" s="66"/>
      <c r="J47" s="66"/>
      <c r="K47" s="66"/>
      <c r="L47" s="66"/>
      <c r="M47" s="66"/>
      <c r="N47" s="66"/>
      <c r="O47" s="66"/>
    </row>
    <row r="48" spans="1:15" ht="20.25" x14ac:dyDescent="0.25">
      <c r="A48" s="86"/>
      <c r="B48" s="86"/>
      <c r="C48" s="87"/>
      <c r="D48" s="87"/>
      <c r="E48" s="66"/>
      <c r="F48" s="112"/>
      <c r="G48" s="66"/>
      <c r="H48" s="66"/>
      <c r="I48" s="66"/>
      <c r="J48" s="66"/>
      <c r="K48" s="66"/>
      <c r="L48" s="66"/>
      <c r="M48" s="66"/>
      <c r="N48" s="66"/>
      <c r="O48" s="66"/>
    </row>
    <row r="49" spans="1:15" ht="20.25" x14ac:dyDescent="0.25">
      <c r="A49" s="86"/>
      <c r="B49" s="86"/>
      <c r="C49" s="87"/>
      <c r="D49" s="87"/>
      <c r="E49" s="66"/>
      <c r="F49" s="112"/>
      <c r="G49" s="66"/>
      <c r="H49" s="66"/>
      <c r="I49" s="66"/>
      <c r="J49" s="66"/>
      <c r="K49" s="66"/>
      <c r="L49" s="66"/>
      <c r="M49" s="66"/>
      <c r="N49" s="66"/>
      <c r="O49" s="66"/>
    </row>
    <row r="50" spans="1:15" ht="20.25" x14ac:dyDescent="0.25">
      <c r="A50" s="86"/>
      <c r="B50" s="86"/>
      <c r="C50" s="87"/>
      <c r="D50" s="87"/>
      <c r="E50" s="66"/>
      <c r="F50" s="112"/>
      <c r="G50" s="66"/>
      <c r="H50" s="66"/>
      <c r="I50" s="66"/>
      <c r="J50" s="66"/>
      <c r="K50" s="66"/>
      <c r="L50" s="66"/>
      <c r="M50" s="66"/>
      <c r="N50" s="66"/>
      <c r="O50" s="66"/>
    </row>
    <row r="51" spans="1:15" ht="20.25" x14ac:dyDescent="0.25">
      <c r="A51" s="86"/>
      <c r="B51" s="86"/>
      <c r="C51" s="87"/>
      <c r="D51" s="87"/>
      <c r="E51" s="66"/>
      <c r="F51" s="112"/>
      <c r="G51" s="66"/>
      <c r="H51" s="66"/>
      <c r="I51" s="66"/>
      <c r="J51" s="66"/>
      <c r="K51" s="66"/>
      <c r="L51" s="66"/>
      <c r="M51" s="66"/>
      <c r="N51" s="66"/>
      <c r="O51" s="66"/>
    </row>
    <row r="52" spans="1:15" ht="20.25" x14ac:dyDescent="0.25">
      <c r="A52" s="86"/>
      <c r="B52" s="86"/>
      <c r="C52" s="87"/>
      <c r="D52" s="87"/>
      <c r="E52" s="66"/>
      <c r="F52" s="112"/>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114" t="s">
        <v>270</v>
      </c>
    </row>
    <row r="209" spans="1:8" x14ac:dyDescent="0.25">
      <c r="A209" s="66"/>
      <c r="B209" s="15"/>
      <c r="C209" s="15"/>
      <c r="D209" s="15"/>
      <c r="F209" s="114" t="s">
        <v>340</v>
      </c>
    </row>
    <row r="210" spans="1:8" ht="20.25" x14ac:dyDescent="0.25">
      <c r="A210" s="66"/>
      <c r="B210" s="16" t="s">
        <v>359</v>
      </c>
      <c r="C210" s="16" t="s">
        <v>360</v>
      </c>
      <c r="D210" s="19" t="s">
        <v>359</v>
      </c>
      <c r="E210" s="19" t="s">
        <v>360</v>
      </c>
      <c r="F210" s="114" t="s">
        <v>361</v>
      </c>
    </row>
    <row r="211" spans="1:8" ht="21" x14ac:dyDescent="0.35">
      <c r="A211" s="66"/>
      <c r="B211" s="17" t="s">
        <v>362</v>
      </c>
      <c r="C211" s="117" t="s">
        <v>363</v>
      </c>
      <c r="D211" s="116" t="s">
        <v>362</v>
      </c>
      <c r="F211" s="114" t="str">
        <f>IF(NOT(ISBLANK(D211)),D211,IF(NOT(ISBLANK(E211)),"     "&amp;E211,FALSE))</f>
        <v>Afectación Económica o presupuestal</v>
      </c>
      <c r="G211" t="s">
        <v>362</v>
      </c>
      <c r="H211" t="str">
        <f>IF(NOT(ISERROR(MATCH(G211,_xlfn.ANCHORARRAY(B222),0))),F224&amp;"Por favor no seleccionar los criterios de impacto",G211)</f>
        <v>❌Por favor no seleccionar los criterios de impacto</v>
      </c>
    </row>
    <row r="212" spans="1:8" ht="21" x14ac:dyDescent="0.35">
      <c r="A212" s="66"/>
      <c r="B212" s="17" t="s">
        <v>362</v>
      </c>
      <c r="C212" s="117" t="s">
        <v>335</v>
      </c>
      <c r="E212" t="s">
        <v>363</v>
      </c>
      <c r="F212" s="114" t="str">
        <f t="shared" ref="F212:F222" si="0">IF(NOT(ISBLANK(D212)),D212,IF(NOT(ISBLANK(E212)),"     "&amp;E212,FALSE))</f>
        <v xml:space="preserve">     Afectación menor a 130 SMLMV .</v>
      </c>
    </row>
    <row r="213" spans="1:8" ht="21" x14ac:dyDescent="0.35">
      <c r="A213" s="66"/>
      <c r="B213" s="17" t="s">
        <v>362</v>
      </c>
      <c r="C213" s="117" t="s">
        <v>338</v>
      </c>
      <c r="E213" t="s">
        <v>335</v>
      </c>
      <c r="F213" s="114" t="str">
        <f t="shared" si="0"/>
        <v xml:space="preserve">     Entre 130 y 650 SMLMV </v>
      </c>
    </row>
    <row r="214" spans="1:8" ht="21" x14ac:dyDescent="0.35">
      <c r="A214" s="66"/>
      <c r="B214" s="17" t="s">
        <v>362</v>
      </c>
      <c r="C214" s="117" t="s">
        <v>342</v>
      </c>
      <c r="E214" t="s">
        <v>338</v>
      </c>
      <c r="F214" s="114" t="str">
        <f t="shared" si="0"/>
        <v xml:space="preserve">     Entre 650 y 1300 SMLMV </v>
      </c>
    </row>
    <row r="215" spans="1:8" ht="21" x14ac:dyDescent="0.35">
      <c r="A215" s="66"/>
      <c r="B215" s="17" t="s">
        <v>362</v>
      </c>
      <c r="C215" s="117" t="s">
        <v>346</v>
      </c>
      <c r="E215" t="s">
        <v>342</v>
      </c>
      <c r="F215" s="114" t="str">
        <f t="shared" si="0"/>
        <v xml:space="preserve">     Entre 1300 y 6500 SMLMV </v>
      </c>
    </row>
    <row r="216" spans="1:8" ht="21" x14ac:dyDescent="0.35">
      <c r="A216" s="66"/>
      <c r="B216" s="17" t="s">
        <v>327</v>
      </c>
      <c r="C216" s="117" t="s">
        <v>332</v>
      </c>
      <c r="E216" t="s">
        <v>346</v>
      </c>
      <c r="F216" s="114" t="str">
        <f t="shared" si="0"/>
        <v xml:space="preserve">     Mayor a 6500 SMLMV </v>
      </c>
    </row>
    <row r="217" spans="1:8" ht="63" x14ac:dyDescent="0.35">
      <c r="A217" s="66"/>
      <c r="B217" s="17" t="s">
        <v>327</v>
      </c>
      <c r="C217" s="117" t="s">
        <v>336</v>
      </c>
      <c r="D217" s="116" t="s">
        <v>327</v>
      </c>
      <c r="F217" s="114" t="str">
        <f t="shared" si="0"/>
        <v>Pérdida Reputacional</v>
      </c>
    </row>
    <row r="218" spans="1:8" ht="42" x14ac:dyDescent="0.35">
      <c r="A218" s="66"/>
      <c r="B218" s="17" t="s">
        <v>327</v>
      </c>
      <c r="C218" s="117" t="s">
        <v>339</v>
      </c>
      <c r="D218" s="116"/>
      <c r="E218" s="118" t="s">
        <v>332</v>
      </c>
      <c r="F218" s="114" t="str">
        <f t="shared" si="0"/>
        <v xml:space="preserve">     El riesgo afecta la imagen de alguna área de la organización</v>
      </c>
    </row>
    <row r="219" spans="1:8" ht="63" x14ac:dyDescent="0.35">
      <c r="A219" s="66"/>
      <c r="B219" s="17" t="s">
        <v>327</v>
      </c>
      <c r="C219" s="117" t="s">
        <v>364</v>
      </c>
      <c r="D219" s="116"/>
      <c r="E219" s="118" t="s">
        <v>336</v>
      </c>
      <c r="F219" s="114" t="str">
        <f t="shared" si="0"/>
        <v xml:space="preserve">     El riesgo afecta la imagen de la entidad internamente, de conocimiento general, nivel interno, de junta dircetiva y accionistas y/o de provedores</v>
      </c>
    </row>
    <row r="220" spans="1:8" ht="45" x14ac:dyDescent="0.35">
      <c r="A220" s="66"/>
      <c r="B220" s="17" t="s">
        <v>327</v>
      </c>
      <c r="C220" s="117" t="s">
        <v>347</v>
      </c>
      <c r="D220" s="116"/>
      <c r="E220" s="118" t="s">
        <v>339</v>
      </c>
      <c r="F220" s="114" t="str">
        <f t="shared" si="0"/>
        <v xml:space="preserve">     El riesgo afecta la imagen de la entidad con algunos usuarios de relevancia frente al logro de los objetivos</v>
      </c>
    </row>
    <row r="221" spans="1:8" ht="45" x14ac:dyDescent="0.25">
      <c r="A221" s="66"/>
      <c r="B221" s="18"/>
      <c r="C221" s="18"/>
      <c r="D221" s="116"/>
      <c r="E221" s="118" t="s">
        <v>364</v>
      </c>
      <c r="F221" s="114" t="str">
        <f t="shared" si="0"/>
        <v xml:space="preserve">     El riesgo afecta la imagen de de la entidad con efecto publicitario sostenido a nivel de sector administrativo, nivel departamental o municipal</v>
      </c>
    </row>
    <row r="222" spans="1:8" ht="58.5" customHeight="1" x14ac:dyDescent="0.25">
      <c r="A222" s="66"/>
      <c r="B222" s="18" t="str" cm="1">
        <f t="array" ref="B222:B224">_xlfn.UNIQUE(Tabla1[[#All],[Criterios]])</f>
        <v>Criterios</v>
      </c>
      <c r="C222" s="18"/>
      <c r="D222" s="116"/>
      <c r="E222" s="118" t="s">
        <v>347</v>
      </c>
      <c r="F222" s="114" t="str">
        <f t="shared" si="0"/>
        <v xml:space="preserve">     El riesgo afecta la imagen de la entidad a nivel nacional, con efecto publicitarios sostenible a nivel país</v>
      </c>
    </row>
    <row r="223" spans="1:8" x14ac:dyDescent="0.25">
      <c r="A223" s="66"/>
      <c r="B223" s="18" t="str">
        <v>Afectación Económica o presupuestal</v>
      </c>
      <c r="C223" s="18"/>
    </row>
    <row r="224" spans="1:8" x14ac:dyDescent="0.25">
      <c r="B224" s="18" t="str">
        <v>Pérdida Reputacional</v>
      </c>
      <c r="C224" s="18"/>
      <c r="F224" s="115" t="s">
        <v>365</v>
      </c>
    </row>
    <row r="225" spans="2:6" x14ac:dyDescent="0.25">
      <c r="B225" s="14"/>
      <c r="C225" s="14"/>
      <c r="F225" s="115" t="s">
        <v>366</v>
      </c>
    </row>
    <row r="226" spans="2:6" x14ac:dyDescent="0.25">
      <c r="B226" s="14"/>
      <c r="C226" s="14"/>
    </row>
    <row r="227" spans="2:6" x14ac:dyDescent="0.25">
      <c r="B227" s="14"/>
      <c r="C227" s="14"/>
    </row>
    <row r="228" spans="2:6" x14ac:dyDescent="0.25">
      <c r="B228" s="14"/>
      <c r="C228" s="14"/>
      <c r="D228" s="14"/>
    </row>
    <row r="229" spans="2:6" x14ac:dyDescent="0.25">
      <c r="B229" s="14"/>
      <c r="C229" s="14"/>
      <c r="D229" s="14"/>
    </row>
    <row r="230" spans="2:6" x14ac:dyDescent="0.25">
      <c r="B230" s="14"/>
      <c r="C230" s="14"/>
      <c r="D230" s="14"/>
    </row>
    <row r="231" spans="2:6" x14ac:dyDescent="0.25">
      <c r="B231" s="14"/>
      <c r="C231" s="14"/>
      <c r="D231" s="14"/>
    </row>
    <row r="232" spans="2:6" x14ac:dyDescent="0.25">
      <c r="B232" s="14"/>
      <c r="C232" s="14"/>
      <c r="D232" s="14"/>
    </row>
    <row r="233" spans="2:6" x14ac:dyDescent="0.25">
      <c r="B233" s="14"/>
      <c r="C233" s="14"/>
      <c r="D233" s="14"/>
    </row>
  </sheetData>
  <mergeCells count="1">
    <mergeCell ref="B2:E2"/>
  </mergeCells>
  <dataValidations disablePrompts="1" count="1">
    <dataValidation type="list" allowBlank="1" showInputMessage="1" showErrorMessage="1" sqref="G211" xr:uid="{00000000-0002-0000-0A00-000000000000}">
      <formula1>$F$211:$F$222</formula1>
    </dataValidation>
  </dataValidations>
  <pageMargins left="0.7" right="0.7" top="0.75" bottom="0.75" header="0.3" footer="0.3"/>
  <pageSetup orientation="portrait"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X18"/>
  <sheetViews>
    <sheetView zoomScale="140" zoomScaleNormal="140" workbookViewId="0">
      <pane xSplit="4" ySplit="2" topLeftCell="E3" activePane="bottomRight" state="frozen"/>
      <selection pane="topRight" activeCell="E1" sqref="E1"/>
      <selection pane="bottomLeft" activeCell="A3" sqref="A3"/>
      <selection pane="bottomRight" activeCell="C3" sqref="C3:D3"/>
    </sheetView>
  </sheetViews>
  <sheetFormatPr baseColWidth="10" defaultColWidth="11.42578125" defaultRowHeight="15" x14ac:dyDescent="0.25"/>
  <cols>
    <col min="2" max="2" width="18" customWidth="1"/>
    <col min="3" max="3" width="26.5703125" customWidth="1"/>
    <col min="4" max="4" width="41.85546875" customWidth="1"/>
    <col min="50" max="50" width="15.42578125" customWidth="1"/>
  </cols>
  <sheetData>
    <row r="2" spans="2:50" ht="15.75" thickBot="1" x14ac:dyDescent="0.3"/>
    <row r="3" spans="2:50" ht="33.75" customHeight="1" thickBot="1" x14ac:dyDescent="0.3">
      <c r="B3" s="550" t="s">
        <v>367</v>
      </c>
      <c r="C3" s="153" t="s">
        <v>368</v>
      </c>
      <c r="D3" s="151" t="s">
        <v>369</v>
      </c>
      <c r="AX3" t="s">
        <v>367</v>
      </c>
    </row>
    <row r="4" spans="2:50" ht="48.75" thickBot="1" x14ac:dyDescent="0.3">
      <c r="B4" s="551"/>
      <c r="C4" s="154" t="s">
        <v>370</v>
      </c>
      <c r="D4" s="152" t="s">
        <v>371</v>
      </c>
      <c r="AX4" t="s">
        <v>146</v>
      </c>
    </row>
    <row r="5" spans="2:50" ht="48.75" thickBot="1" x14ac:dyDescent="0.3">
      <c r="B5" s="551"/>
      <c r="C5" s="154" t="s">
        <v>372</v>
      </c>
      <c r="D5" s="152" t="s">
        <v>373</v>
      </c>
      <c r="AX5" t="s">
        <v>374</v>
      </c>
    </row>
    <row r="6" spans="2:50" ht="36.75" thickBot="1" x14ac:dyDescent="0.3">
      <c r="B6" s="552"/>
      <c r="C6" s="154" t="s">
        <v>375</v>
      </c>
      <c r="D6" s="152" t="s">
        <v>376</v>
      </c>
    </row>
    <row r="7" spans="2:50" ht="36.75" thickBot="1" x14ac:dyDescent="0.3">
      <c r="B7" s="550" t="s">
        <v>146</v>
      </c>
      <c r="C7" s="154" t="s">
        <v>377</v>
      </c>
      <c r="D7" s="152" t="s">
        <v>378</v>
      </c>
    </row>
    <row r="8" spans="2:50" ht="108.75" thickBot="1" x14ac:dyDescent="0.3">
      <c r="B8" s="551"/>
      <c r="C8" s="154" t="s">
        <v>379</v>
      </c>
      <c r="D8" s="152" t="s">
        <v>380</v>
      </c>
    </row>
    <row r="9" spans="2:50" ht="48.75" thickBot="1" x14ac:dyDescent="0.3">
      <c r="B9" s="552"/>
      <c r="C9" s="154" t="s">
        <v>150</v>
      </c>
      <c r="D9" s="152" t="s">
        <v>381</v>
      </c>
    </row>
    <row r="10" spans="2:50" x14ac:dyDescent="0.25">
      <c r="B10" s="550" t="s">
        <v>374</v>
      </c>
      <c r="C10" s="155"/>
      <c r="D10" s="553" t="s">
        <v>382</v>
      </c>
    </row>
    <row r="11" spans="2:50" x14ac:dyDescent="0.25">
      <c r="B11" s="551"/>
      <c r="C11" s="155" t="s">
        <v>153</v>
      </c>
      <c r="D11" s="554"/>
    </row>
    <row r="12" spans="2:50" ht="15.75" thickBot="1" x14ac:dyDescent="0.3">
      <c r="B12" s="551"/>
      <c r="C12" s="154"/>
      <c r="D12" s="555"/>
    </row>
    <row r="13" spans="2:50" ht="22.5" customHeight="1" x14ac:dyDescent="0.25">
      <c r="B13" s="551"/>
      <c r="C13" s="155"/>
      <c r="D13" s="553" t="s">
        <v>383</v>
      </c>
    </row>
    <row r="14" spans="2:50" ht="22.5" customHeight="1" x14ac:dyDescent="0.25">
      <c r="B14" s="551"/>
      <c r="C14" s="155" t="s">
        <v>152</v>
      </c>
      <c r="D14" s="554"/>
    </row>
    <row r="15" spans="2:50" ht="22.5" customHeight="1" thickBot="1" x14ac:dyDescent="0.3">
      <c r="B15" s="551"/>
      <c r="C15" s="154"/>
      <c r="D15" s="555"/>
    </row>
    <row r="16" spans="2:50" ht="25.5" customHeight="1" x14ac:dyDescent="0.25">
      <c r="B16" s="551"/>
      <c r="C16" s="155"/>
      <c r="D16" s="553" t="s">
        <v>384</v>
      </c>
    </row>
    <row r="17" spans="2:4" ht="25.5" customHeight="1" x14ac:dyDescent="0.25">
      <c r="B17" s="551"/>
      <c r="C17" s="155" t="s">
        <v>154</v>
      </c>
      <c r="D17" s="554"/>
    </row>
    <row r="18" spans="2:4" ht="25.5" customHeight="1" thickBot="1" x14ac:dyDescent="0.3">
      <c r="B18" s="552"/>
      <c r="C18" s="154"/>
      <c r="D18" s="555"/>
    </row>
  </sheetData>
  <mergeCells count="6">
    <mergeCell ref="B3:B6"/>
    <mergeCell ref="B7:B9"/>
    <mergeCell ref="B10:B18"/>
    <mergeCell ref="D10:D12"/>
    <mergeCell ref="D13:D15"/>
    <mergeCell ref="D16:D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1:F48"/>
  <sheetViews>
    <sheetView topLeftCell="A3" zoomScale="110" zoomScaleNormal="110" workbookViewId="0">
      <selection activeCell="C14" sqref="C14"/>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73" t="s">
        <v>385</v>
      </c>
    </row>
    <row r="2" spans="3:6" ht="15.75" thickBot="1" x14ac:dyDescent="0.3">
      <c r="C2" s="171" t="s">
        <v>386</v>
      </c>
      <c r="E2" s="174" t="s">
        <v>159</v>
      </c>
      <c r="F2" s="175" t="s">
        <v>160</v>
      </c>
    </row>
    <row r="3" spans="3:6" ht="15.75" thickBot="1" x14ac:dyDescent="0.3">
      <c r="C3" s="171" t="s">
        <v>387</v>
      </c>
      <c r="E3" s="313" t="s">
        <v>158</v>
      </c>
      <c r="F3" s="160" t="s">
        <v>162</v>
      </c>
    </row>
    <row r="4" spans="3:6" ht="15.75" thickBot="1" x14ac:dyDescent="0.3">
      <c r="C4" s="171" t="s">
        <v>388</v>
      </c>
      <c r="E4" s="311"/>
      <c r="F4" s="160" t="s">
        <v>164</v>
      </c>
    </row>
    <row r="5" spans="3:6" ht="15.75" thickBot="1" x14ac:dyDescent="0.3">
      <c r="C5" s="171" t="s">
        <v>389</v>
      </c>
      <c r="E5" s="311"/>
      <c r="F5" s="160" t="s">
        <v>166</v>
      </c>
    </row>
    <row r="6" spans="3:6" ht="15.75" thickBot="1" x14ac:dyDescent="0.3">
      <c r="C6" s="171" t="s">
        <v>390</v>
      </c>
      <c r="E6" s="311"/>
      <c r="F6" s="160" t="s">
        <v>168</v>
      </c>
    </row>
    <row r="7" spans="3:6" ht="15.75" thickBot="1" x14ac:dyDescent="0.3">
      <c r="C7" s="172" t="s">
        <v>391</v>
      </c>
      <c r="E7" s="311"/>
      <c r="F7" s="160" t="s">
        <v>169</v>
      </c>
    </row>
    <row r="8" spans="3:6" ht="15.75" thickBot="1" x14ac:dyDescent="0.3">
      <c r="C8" s="171" t="s">
        <v>392</v>
      </c>
      <c r="E8" s="312"/>
      <c r="F8" s="160" t="s">
        <v>170</v>
      </c>
    </row>
    <row r="9" spans="3:6" ht="15.75" thickBot="1" x14ac:dyDescent="0.3">
      <c r="C9" s="171" t="s">
        <v>393</v>
      </c>
      <c r="E9" s="310" t="s">
        <v>167</v>
      </c>
      <c r="F9" s="160" t="s">
        <v>171</v>
      </c>
    </row>
    <row r="10" spans="3:6" ht="15.75" thickBot="1" x14ac:dyDescent="0.3">
      <c r="C10" s="170" t="s">
        <v>394</v>
      </c>
      <c r="E10" s="311"/>
      <c r="F10" s="160" t="s">
        <v>172</v>
      </c>
    </row>
    <row r="11" spans="3:6" ht="15.75" thickBot="1" x14ac:dyDescent="0.3">
      <c r="C11" s="242" t="s">
        <v>395</v>
      </c>
      <c r="E11" s="311"/>
      <c r="F11" s="160" t="s">
        <v>173</v>
      </c>
    </row>
    <row r="12" spans="3:6" ht="15.75" thickBot="1" x14ac:dyDescent="0.3">
      <c r="E12" s="311"/>
      <c r="F12" s="160" t="s">
        <v>174</v>
      </c>
    </row>
    <row r="13" spans="3:6" ht="15.75" thickBot="1" x14ac:dyDescent="0.3">
      <c r="E13" s="312"/>
      <c r="F13" s="160" t="s">
        <v>175</v>
      </c>
    </row>
    <row r="14" spans="3:6" ht="24.75" thickBot="1" x14ac:dyDescent="0.3">
      <c r="E14" s="310" t="s">
        <v>163</v>
      </c>
      <c r="F14" s="160" t="s">
        <v>176</v>
      </c>
    </row>
    <row r="15" spans="3:6" ht="15.75" thickBot="1" x14ac:dyDescent="0.3">
      <c r="E15" s="311"/>
      <c r="F15" s="160" t="s">
        <v>177</v>
      </c>
    </row>
    <row r="16" spans="3:6" ht="15.75" thickBot="1" x14ac:dyDescent="0.3">
      <c r="E16" s="312"/>
      <c r="F16" s="160" t="s">
        <v>178</v>
      </c>
    </row>
    <row r="17" spans="5:6" ht="15.75" thickBot="1" x14ac:dyDescent="0.3">
      <c r="E17" s="310" t="s">
        <v>165</v>
      </c>
      <c r="F17" s="160" t="s">
        <v>179</v>
      </c>
    </row>
    <row r="18" spans="5:6" ht="15.75" thickBot="1" x14ac:dyDescent="0.3">
      <c r="E18" s="311"/>
      <c r="F18" s="160" t="s">
        <v>180</v>
      </c>
    </row>
    <row r="19" spans="5:6" ht="15.75" thickBot="1" x14ac:dyDescent="0.3">
      <c r="E19" s="312"/>
      <c r="F19" s="160" t="s">
        <v>181</v>
      </c>
    </row>
    <row r="20" spans="5:6" ht="24.75" thickBot="1" x14ac:dyDescent="0.3">
      <c r="E20" s="310" t="s">
        <v>156</v>
      </c>
      <c r="F20" s="160" t="s">
        <v>182</v>
      </c>
    </row>
    <row r="21" spans="5:6" ht="15.75" thickBot="1" x14ac:dyDescent="0.3">
      <c r="E21" s="311"/>
      <c r="F21" s="160" t="s">
        <v>183</v>
      </c>
    </row>
    <row r="22" spans="5:6" ht="15.75" thickBot="1" x14ac:dyDescent="0.3">
      <c r="E22" s="311"/>
      <c r="F22" s="160" t="s">
        <v>184</v>
      </c>
    </row>
    <row r="23" spans="5:6" ht="15.75" thickBot="1" x14ac:dyDescent="0.3">
      <c r="E23" s="311"/>
      <c r="F23" s="160" t="s">
        <v>185</v>
      </c>
    </row>
    <row r="24" spans="5:6" ht="15.75" thickBot="1" x14ac:dyDescent="0.3">
      <c r="E24" s="311"/>
      <c r="F24" s="160" t="s">
        <v>186</v>
      </c>
    </row>
    <row r="25" spans="5:6" ht="24.75" thickBot="1" x14ac:dyDescent="0.3">
      <c r="E25" s="311"/>
      <c r="F25" s="160" t="s">
        <v>187</v>
      </c>
    </row>
    <row r="26" spans="5:6" ht="15.75" thickBot="1" x14ac:dyDescent="0.3">
      <c r="E26" s="311"/>
      <c r="F26" s="160" t="s">
        <v>188</v>
      </c>
    </row>
    <row r="27" spans="5:6" ht="24.75" thickBot="1" x14ac:dyDescent="0.3">
      <c r="E27" s="311"/>
      <c r="F27" s="160" t="s">
        <v>189</v>
      </c>
    </row>
    <row r="28" spans="5:6" ht="15.75" thickBot="1" x14ac:dyDescent="0.3">
      <c r="E28" s="311"/>
      <c r="F28" s="160" t="s">
        <v>190</v>
      </c>
    </row>
    <row r="29" spans="5:6" ht="15.75" thickBot="1" x14ac:dyDescent="0.3">
      <c r="E29" s="311"/>
      <c r="F29" s="160" t="s">
        <v>191</v>
      </c>
    </row>
    <row r="30" spans="5:6" ht="15.75" thickBot="1" x14ac:dyDescent="0.3">
      <c r="E30" s="312"/>
      <c r="F30" s="160" t="s">
        <v>192</v>
      </c>
    </row>
    <row r="31" spans="5:6" ht="15.75" thickBot="1" x14ac:dyDescent="0.3">
      <c r="E31" s="310" t="s">
        <v>161</v>
      </c>
      <c r="F31" s="160" t="s">
        <v>193</v>
      </c>
    </row>
    <row r="32" spans="5:6" ht="15.75" thickBot="1" x14ac:dyDescent="0.3">
      <c r="E32" s="311"/>
      <c r="F32" s="160" t="s">
        <v>194</v>
      </c>
    </row>
    <row r="33" spans="5:6" ht="15.75" thickBot="1" x14ac:dyDescent="0.3">
      <c r="E33" s="311"/>
      <c r="F33" s="160" t="s">
        <v>195</v>
      </c>
    </row>
    <row r="34" spans="5:6" ht="15.75" thickBot="1" x14ac:dyDescent="0.3">
      <c r="E34" s="311"/>
      <c r="F34" s="160" t="s">
        <v>196</v>
      </c>
    </row>
    <row r="35" spans="5:6" ht="24.75" thickBot="1" x14ac:dyDescent="0.3">
      <c r="E35" s="312"/>
      <c r="F35" s="160" t="s">
        <v>197</v>
      </c>
    </row>
    <row r="36" spans="5:6" ht="15.75" thickBot="1" x14ac:dyDescent="0.3">
      <c r="E36" s="310" t="s">
        <v>155</v>
      </c>
      <c r="F36" s="160" t="s">
        <v>198</v>
      </c>
    </row>
    <row r="37" spans="5:6" ht="15.75" thickBot="1" x14ac:dyDescent="0.3">
      <c r="E37" s="311"/>
      <c r="F37" s="160" t="s">
        <v>199</v>
      </c>
    </row>
    <row r="38" spans="5:6" ht="15.75" thickBot="1" x14ac:dyDescent="0.3">
      <c r="E38" s="311"/>
      <c r="F38" s="160" t="s">
        <v>200</v>
      </c>
    </row>
    <row r="39" spans="5:6" ht="15.75" thickBot="1" x14ac:dyDescent="0.3">
      <c r="E39" s="311"/>
      <c r="F39" s="160" t="s">
        <v>201</v>
      </c>
    </row>
    <row r="40" spans="5:6" ht="15.75" thickBot="1" x14ac:dyDescent="0.3">
      <c r="E40" s="312"/>
      <c r="F40" s="160" t="s">
        <v>202</v>
      </c>
    </row>
    <row r="41" spans="5:6" ht="15.75" thickBot="1" x14ac:dyDescent="0.3">
      <c r="E41" s="310" t="s">
        <v>157</v>
      </c>
      <c r="F41" s="160" t="s">
        <v>203</v>
      </c>
    </row>
    <row r="42" spans="5:6" ht="15.75" thickBot="1" x14ac:dyDescent="0.3">
      <c r="E42" s="311"/>
      <c r="F42" s="160" t="s">
        <v>204</v>
      </c>
    </row>
    <row r="43" spans="5:6" ht="15.75" thickBot="1" x14ac:dyDescent="0.3">
      <c r="E43" s="311"/>
      <c r="F43" s="160" t="s">
        <v>205</v>
      </c>
    </row>
    <row r="44" spans="5:6" ht="15.75" thickBot="1" x14ac:dyDescent="0.3">
      <c r="E44" s="311"/>
      <c r="F44" s="160" t="s">
        <v>206</v>
      </c>
    </row>
    <row r="45" spans="5:6" ht="24.75" thickBot="1" x14ac:dyDescent="0.3">
      <c r="E45" s="312"/>
      <c r="F45" s="160" t="s">
        <v>207</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topLeftCell="A2"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556" t="s">
        <v>396</v>
      </c>
      <c r="C1" s="557"/>
      <c r="D1" s="557"/>
      <c r="E1" s="557"/>
      <c r="F1" s="558"/>
    </row>
    <row r="2" spans="2:6" ht="16.5" thickBot="1" x14ac:dyDescent="0.3">
      <c r="B2" s="72"/>
      <c r="C2" s="72"/>
      <c r="D2" s="72"/>
      <c r="E2" s="72"/>
      <c r="F2" s="72"/>
    </row>
    <row r="3" spans="2:6" ht="16.5" thickBot="1" x14ac:dyDescent="0.25">
      <c r="B3" s="560" t="s">
        <v>397</v>
      </c>
      <c r="C3" s="561"/>
      <c r="D3" s="561"/>
      <c r="E3" s="84" t="s">
        <v>398</v>
      </c>
      <c r="F3" s="85" t="s">
        <v>399</v>
      </c>
    </row>
    <row r="4" spans="2:6" ht="31.5" x14ac:dyDescent="0.2">
      <c r="B4" s="562" t="s">
        <v>400</v>
      </c>
      <c r="C4" s="564" t="s">
        <v>247</v>
      </c>
      <c r="D4" s="73" t="s">
        <v>254</v>
      </c>
      <c r="E4" s="74" t="s">
        <v>401</v>
      </c>
      <c r="F4" s="75">
        <v>0.25</v>
      </c>
    </row>
    <row r="5" spans="2:6" ht="47.25" x14ac:dyDescent="0.2">
      <c r="B5" s="563"/>
      <c r="C5" s="565"/>
      <c r="D5" s="76" t="s">
        <v>259</v>
      </c>
      <c r="E5" s="77" t="s">
        <v>402</v>
      </c>
      <c r="F5" s="78">
        <v>0.15</v>
      </c>
    </row>
    <row r="6" spans="2:6" ht="47.25" x14ac:dyDescent="0.2">
      <c r="B6" s="563"/>
      <c r="C6" s="565"/>
      <c r="D6" s="76" t="s">
        <v>281</v>
      </c>
      <c r="E6" s="77" t="s">
        <v>403</v>
      </c>
      <c r="F6" s="78">
        <v>0.1</v>
      </c>
    </row>
    <row r="7" spans="2:6" ht="63" x14ac:dyDescent="0.2">
      <c r="B7" s="563"/>
      <c r="C7" s="565" t="s">
        <v>248</v>
      </c>
      <c r="D7" s="76" t="s">
        <v>404</v>
      </c>
      <c r="E7" s="77" t="s">
        <v>405</v>
      </c>
      <c r="F7" s="78">
        <v>0.25</v>
      </c>
    </row>
    <row r="8" spans="2:6" ht="31.5" x14ac:dyDescent="0.2">
      <c r="B8" s="563"/>
      <c r="C8" s="565"/>
      <c r="D8" s="76" t="s">
        <v>255</v>
      </c>
      <c r="E8" s="77" t="s">
        <v>406</v>
      </c>
      <c r="F8" s="78">
        <v>0.15</v>
      </c>
    </row>
    <row r="9" spans="2:6" ht="47.25" x14ac:dyDescent="0.2">
      <c r="B9" s="563" t="s">
        <v>407</v>
      </c>
      <c r="C9" s="565" t="s">
        <v>250</v>
      </c>
      <c r="D9" s="76" t="s">
        <v>256</v>
      </c>
      <c r="E9" s="77" t="s">
        <v>408</v>
      </c>
      <c r="F9" s="79" t="s">
        <v>409</v>
      </c>
    </row>
    <row r="10" spans="2:6" ht="63" x14ac:dyDescent="0.2">
      <c r="B10" s="563"/>
      <c r="C10" s="565"/>
      <c r="D10" s="76" t="s">
        <v>260</v>
      </c>
      <c r="E10" s="77" t="s">
        <v>410</v>
      </c>
      <c r="F10" s="79" t="s">
        <v>409</v>
      </c>
    </row>
    <row r="11" spans="2:6" ht="47.25" x14ac:dyDescent="0.2">
      <c r="B11" s="563"/>
      <c r="C11" s="565" t="s">
        <v>251</v>
      </c>
      <c r="D11" s="76" t="s">
        <v>257</v>
      </c>
      <c r="E11" s="77" t="s">
        <v>411</v>
      </c>
      <c r="F11" s="79" t="s">
        <v>409</v>
      </c>
    </row>
    <row r="12" spans="2:6" ht="47.25" x14ac:dyDescent="0.2">
      <c r="B12" s="563"/>
      <c r="C12" s="565"/>
      <c r="D12" s="76" t="s">
        <v>412</v>
      </c>
      <c r="E12" s="77" t="s">
        <v>413</v>
      </c>
      <c r="F12" s="79" t="s">
        <v>409</v>
      </c>
    </row>
    <row r="13" spans="2:6" ht="31.5" x14ac:dyDescent="0.2">
      <c r="B13" s="563"/>
      <c r="C13" s="565" t="s">
        <v>252</v>
      </c>
      <c r="D13" s="76" t="s">
        <v>258</v>
      </c>
      <c r="E13" s="77" t="s">
        <v>414</v>
      </c>
      <c r="F13" s="79" t="s">
        <v>409</v>
      </c>
    </row>
    <row r="14" spans="2:6" ht="32.25" thickBot="1" x14ac:dyDescent="0.25">
      <c r="B14" s="566"/>
      <c r="C14" s="567"/>
      <c r="D14" s="80" t="s">
        <v>415</v>
      </c>
      <c r="E14" s="81" t="s">
        <v>416</v>
      </c>
      <c r="F14" s="82" t="s">
        <v>409</v>
      </c>
    </row>
    <row r="15" spans="2:6" ht="49.5" customHeight="1" x14ac:dyDescent="0.2">
      <c r="B15" s="559" t="s">
        <v>417</v>
      </c>
      <c r="C15" s="559"/>
      <c r="D15" s="559"/>
      <c r="E15" s="559"/>
      <c r="F15" s="559"/>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254</v>
      </c>
    </row>
    <row r="4" spans="1:1" x14ac:dyDescent="0.2">
      <c r="A4" s="2" t="s">
        <v>259</v>
      </c>
    </row>
    <row r="5" spans="1:1" x14ac:dyDescent="0.2">
      <c r="A5" s="2" t="s">
        <v>281</v>
      </c>
    </row>
    <row r="6" spans="1:1" x14ac:dyDescent="0.2">
      <c r="A6" s="2" t="s">
        <v>404</v>
      </c>
    </row>
    <row r="7" spans="1:1" x14ac:dyDescent="0.2">
      <c r="A7" s="2" t="s">
        <v>255</v>
      </c>
    </row>
    <row r="8" spans="1:1" x14ac:dyDescent="0.2">
      <c r="A8" s="2" t="s">
        <v>256</v>
      </c>
    </row>
    <row r="9" spans="1:1" x14ac:dyDescent="0.2">
      <c r="A9" s="2" t="s">
        <v>260</v>
      </c>
    </row>
    <row r="10" spans="1:1" x14ac:dyDescent="0.2">
      <c r="A10" s="2" t="s">
        <v>257</v>
      </c>
    </row>
    <row r="11" spans="1:1" x14ac:dyDescent="0.2">
      <c r="A11" s="2" t="s">
        <v>412</v>
      </c>
    </row>
    <row r="12" spans="1:1" x14ac:dyDescent="0.2">
      <c r="A12" s="2" t="s">
        <v>418</v>
      </c>
    </row>
    <row r="13" spans="1:1" x14ac:dyDescent="0.2">
      <c r="A13" s="2" t="s">
        <v>419</v>
      </c>
    </row>
    <row r="14" spans="1:1" x14ac:dyDescent="0.2">
      <c r="A14" s="2" t="s">
        <v>420</v>
      </c>
    </row>
    <row r="16" spans="1:1" x14ac:dyDescent="0.2">
      <c r="A16" s="2" t="s">
        <v>421</v>
      </c>
    </row>
    <row r="17" spans="1:1" x14ac:dyDescent="0.2">
      <c r="A17" s="2" t="s">
        <v>117</v>
      </c>
    </row>
    <row r="18" spans="1:1" x14ac:dyDescent="0.2">
      <c r="A18" s="2" t="s">
        <v>119</v>
      </c>
    </row>
    <row r="20" spans="1:1" x14ac:dyDescent="0.2">
      <c r="A20" s="2" t="s">
        <v>129</v>
      </c>
    </row>
    <row r="21" spans="1:1" x14ac:dyDescent="0.2">
      <c r="A21" s="2" t="s">
        <v>132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119" customWidth="1"/>
    <col min="2" max="2" width="7.42578125" style="120" customWidth="1"/>
    <col min="3" max="3" width="36.85546875" style="121" customWidth="1"/>
    <col min="4" max="4" width="150" style="147" customWidth="1"/>
    <col min="5" max="5" width="168" style="121" customWidth="1"/>
    <col min="6" max="6" width="51.7109375" style="119" customWidth="1"/>
    <col min="7" max="16384" width="11.42578125" style="119"/>
  </cols>
  <sheetData>
    <row r="1" spans="1:6" x14ac:dyDescent="0.35">
      <c r="D1" s="122"/>
      <c r="E1" s="123"/>
    </row>
    <row r="2" spans="1:6" ht="40.5" customHeight="1" thickBot="1" x14ac:dyDescent="0.3">
      <c r="A2" s="124"/>
      <c r="B2" s="303" t="s">
        <v>90</v>
      </c>
      <c r="C2" s="303"/>
      <c r="D2" s="303"/>
      <c r="E2" s="304"/>
      <c r="F2" s="308" t="s">
        <v>91</v>
      </c>
    </row>
    <row r="3" spans="1:6" s="129" customFormat="1" ht="40.5" customHeight="1" thickBot="1" x14ac:dyDescent="0.4">
      <c r="A3" s="125"/>
      <c r="B3" s="305" t="s">
        <v>92</v>
      </c>
      <c r="C3" s="126" t="s">
        <v>93</v>
      </c>
      <c r="D3" s="127" t="s">
        <v>94</v>
      </c>
      <c r="E3" s="128" t="s">
        <v>95</v>
      </c>
      <c r="F3" s="309"/>
    </row>
    <row r="4" spans="1:6" s="129" customFormat="1" ht="228.75" customHeight="1" thickBot="1" x14ac:dyDescent="0.4">
      <c r="A4" s="125"/>
      <c r="B4" s="306"/>
      <c r="C4" s="130" t="s">
        <v>96</v>
      </c>
      <c r="D4" s="131" t="s">
        <v>97</v>
      </c>
      <c r="E4" s="161" t="s">
        <v>98</v>
      </c>
      <c r="F4" s="166" t="s">
        <v>99</v>
      </c>
    </row>
    <row r="5" spans="1:6" s="129" customFormat="1" ht="289.5" thickBot="1" x14ac:dyDescent="0.4">
      <c r="A5" s="125"/>
      <c r="B5" s="306"/>
      <c r="C5" s="132" t="s">
        <v>100</v>
      </c>
      <c r="D5" s="133" t="s">
        <v>101</v>
      </c>
      <c r="E5" s="162" t="s">
        <v>102</v>
      </c>
      <c r="F5" s="165" t="s">
        <v>103</v>
      </c>
    </row>
    <row r="6" spans="1:6" s="129" customFormat="1" ht="237" thickBot="1" x14ac:dyDescent="0.4">
      <c r="A6" s="125"/>
      <c r="B6" s="306"/>
      <c r="C6" s="134" t="s">
        <v>104</v>
      </c>
      <c r="D6" s="135" t="s">
        <v>105</v>
      </c>
      <c r="E6" s="163" t="s">
        <v>106</v>
      </c>
      <c r="F6" s="165"/>
    </row>
    <row r="7" spans="1:6" s="129" customFormat="1" ht="154.5" customHeight="1" thickBot="1" x14ac:dyDescent="0.4">
      <c r="A7" s="125"/>
      <c r="B7" s="306"/>
      <c r="C7" s="136" t="s">
        <v>107</v>
      </c>
      <c r="D7" s="137"/>
      <c r="E7" s="162"/>
      <c r="F7" s="165"/>
    </row>
    <row r="8" spans="1:6" s="129" customFormat="1" ht="169.5" thickBot="1" x14ac:dyDescent="0.4">
      <c r="A8" s="125"/>
      <c r="B8" s="306"/>
      <c r="C8" s="138" t="s">
        <v>108</v>
      </c>
      <c r="D8" s="135" t="s">
        <v>109</v>
      </c>
      <c r="E8" s="164" t="s">
        <v>110</v>
      </c>
      <c r="F8" s="165"/>
    </row>
    <row r="9" spans="1:6" s="129" customFormat="1" ht="163.5" thickBot="1" x14ac:dyDescent="0.4">
      <c r="A9" s="125"/>
      <c r="B9" s="306"/>
      <c r="C9" s="136" t="s">
        <v>111</v>
      </c>
      <c r="D9" s="133" t="s">
        <v>112</v>
      </c>
      <c r="E9" s="164" t="s">
        <v>113</v>
      </c>
      <c r="F9" s="165"/>
    </row>
    <row r="10" spans="1:6" s="141" customFormat="1" ht="263.25" thickBot="1" x14ac:dyDescent="0.4">
      <c r="A10" s="139"/>
      <c r="B10" s="306"/>
      <c r="C10" s="140" t="s">
        <v>114</v>
      </c>
      <c r="D10" s="133" t="s">
        <v>115</v>
      </c>
      <c r="E10" s="163" t="s">
        <v>116</v>
      </c>
      <c r="F10" s="167"/>
    </row>
    <row r="11" spans="1:6" s="141" customFormat="1" ht="28.5" thickBot="1" x14ac:dyDescent="0.4">
      <c r="A11" s="139"/>
      <c r="B11" s="307"/>
      <c r="C11" s="142"/>
      <c r="D11" s="143"/>
      <c r="E11" s="144"/>
    </row>
    <row r="12" spans="1:6" ht="27" x14ac:dyDescent="0.35">
      <c r="D12" s="145"/>
      <c r="E12" s="146"/>
    </row>
    <row r="17" spans="4:4" x14ac:dyDescent="0.35">
      <c r="D17" s="122"/>
    </row>
    <row r="18" spans="4:4" x14ac:dyDescent="0.35">
      <c r="D18" s="122"/>
    </row>
    <row r="19" spans="4:4" x14ac:dyDescent="0.35">
      <c r="D19" s="122"/>
    </row>
  </sheetData>
  <mergeCells count="3">
    <mergeCell ref="B2:E2"/>
    <mergeCell ref="B3:B11"/>
    <mergeCell ref="F2:F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71"/>
  <sheetViews>
    <sheetView topLeftCell="A21" workbookViewId="0">
      <selection activeCell="B35" sqref="B35"/>
    </sheetView>
  </sheetViews>
  <sheetFormatPr baseColWidth="10" defaultColWidth="11.42578125" defaultRowHeight="15" x14ac:dyDescent="0.25"/>
  <cols>
    <col min="2" max="2" width="22.85546875" customWidth="1"/>
    <col min="6" max="6" width="17.140625" customWidth="1"/>
    <col min="7" max="7" width="29.28515625" customWidth="1"/>
  </cols>
  <sheetData>
    <row r="2" spans="1:8" x14ac:dyDescent="0.25">
      <c r="B2" t="s">
        <v>117</v>
      </c>
      <c r="E2" t="s">
        <v>118</v>
      </c>
    </row>
    <row r="3" spans="1:8" x14ac:dyDescent="0.25">
      <c r="B3" t="s">
        <v>119</v>
      </c>
      <c r="E3" t="s">
        <v>120</v>
      </c>
    </row>
    <row r="4" spans="1:8" x14ac:dyDescent="0.25">
      <c r="B4" t="s">
        <v>121</v>
      </c>
      <c r="E4" t="s">
        <v>122</v>
      </c>
    </row>
    <row r="5" spans="1:8" x14ac:dyDescent="0.25">
      <c r="B5" t="s">
        <v>123</v>
      </c>
    </row>
    <row r="7" spans="1:8" x14ac:dyDescent="0.25">
      <c r="F7" t="s">
        <v>124</v>
      </c>
      <c r="H7" t="s">
        <v>125</v>
      </c>
    </row>
    <row r="8" spans="1:8" x14ac:dyDescent="0.25">
      <c r="B8" t="s">
        <v>126</v>
      </c>
      <c r="F8" t="s">
        <v>127</v>
      </c>
      <c r="H8" t="s">
        <v>128</v>
      </c>
    </row>
    <row r="9" spans="1:8" x14ac:dyDescent="0.25">
      <c r="B9" t="s">
        <v>129</v>
      </c>
      <c r="F9" t="s">
        <v>130</v>
      </c>
      <c r="H9" t="s">
        <v>131</v>
      </c>
    </row>
    <row r="10" spans="1:8" ht="15.75" thickBot="1" x14ac:dyDescent="0.3">
      <c r="B10" t="s">
        <v>132</v>
      </c>
      <c r="H10" t="s">
        <v>133</v>
      </c>
    </row>
    <row r="11" spans="1:8" ht="15.75" thickBot="1" x14ac:dyDescent="0.3">
      <c r="A11" s="230" t="s">
        <v>23</v>
      </c>
      <c r="B11" s="231"/>
      <c r="C11" s="232"/>
      <c r="D11" s="233"/>
      <c r="H11" t="s">
        <v>134</v>
      </c>
    </row>
    <row r="12" spans="1:8" x14ac:dyDescent="0.25">
      <c r="A12" s="219" t="s">
        <v>135</v>
      </c>
      <c r="B12" s="220" t="s">
        <v>136</v>
      </c>
      <c r="D12" s="221"/>
      <c r="H12" t="s">
        <v>137</v>
      </c>
    </row>
    <row r="13" spans="1:8" x14ac:dyDescent="0.25">
      <c r="A13" s="219"/>
      <c r="B13" s="220" t="s">
        <v>138</v>
      </c>
      <c r="D13" s="221"/>
      <c r="H13" t="s">
        <v>139</v>
      </c>
    </row>
    <row r="14" spans="1:8" x14ac:dyDescent="0.25">
      <c r="A14" s="219"/>
      <c r="B14" s="220" t="s">
        <v>140</v>
      </c>
      <c r="D14" s="221"/>
      <c r="H14" t="s">
        <v>141</v>
      </c>
    </row>
    <row r="15" spans="1:8" x14ac:dyDescent="0.25">
      <c r="A15" s="219"/>
      <c r="B15" s="220" t="s">
        <v>142</v>
      </c>
      <c r="D15" s="221"/>
      <c r="H15" t="s">
        <v>143</v>
      </c>
    </row>
    <row r="16" spans="1:8" x14ac:dyDescent="0.25">
      <c r="A16" s="219"/>
      <c r="B16" s="220" t="s">
        <v>144</v>
      </c>
      <c r="D16" s="221"/>
      <c r="H16" t="s">
        <v>145</v>
      </c>
    </row>
    <row r="17" spans="1:8" x14ac:dyDescent="0.25">
      <c r="A17" s="222" t="s">
        <v>146</v>
      </c>
      <c r="B17" s="223" t="s">
        <v>147</v>
      </c>
      <c r="D17" s="221"/>
      <c r="H17" t="s">
        <v>148</v>
      </c>
    </row>
    <row r="18" spans="1:8" x14ac:dyDescent="0.25">
      <c r="A18" s="222"/>
      <c r="B18" s="223" t="s">
        <v>149</v>
      </c>
      <c r="D18" s="221"/>
      <c r="H18" t="s">
        <v>137</v>
      </c>
    </row>
    <row r="19" spans="1:8" x14ac:dyDescent="0.25">
      <c r="A19" s="222"/>
      <c r="B19" s="223" t="s">
        <v>150</v>
      </c>
      <c r="D19" s="221"/>
    </row>
    <row r="20" spans="1:8" x14ac:dyDescent="0.25">
      <c r="A20" s="224" t="s">
        <v>151</v>
      </c>
      <c r="B20" s="225" t="s">
        <v>152</v>
      </c>
      <c r="D20" s="221"/>
    </row>
    <row r="21" spans="1:8" x14ac:dyDescent="0.25">
      <c r="A21" s="224"/>
      <c r="B21" s="225" t="s">
        <v>153</v>
      </c>
      <c r="D21" s="221"/>
    </row>
    <row r="22" spans="1:8" ht="15.75" thickBot="1" x14ac:dyDescent="0.3">
      <c r="A22" s="226"/>
      <c r="B22" s="227" t="s">
        <v>154</v>
      </c>
      <c r="C22" s="228"/>
      <c r="D22" s="229"/>
    </row>
    <row r="25" spans="1:8" x14ac:dyDescent="0.25">
      <c r="B25" t="s">
        <v>155</v>
      </c>
    </row>
    <row r="26" spans="1:8" x14ac:dyDescent="0.25">
      <c r="B26" t="s">
        <v>156</v>
      </c>
    </row>
    <row r="27" spans="1:8" ht="15.75" thickBot="1" x14ac:dyDescent="0.3">
      <c r="B27" t="s">
        <v>157</v>
      </c>
    </row>
    <row r="28" spans="1:8" ht="15.75" thickBot="1" x14ac:dyDescent="0.3">
      <c r="B28" t="s">
        <v>158</v>
      </c>
      <c r="F28" s="158" t="s">
        <v>159</v>
      </c>
      <c r="G28" s="159" t="s">
        <v>160</v>
      </c>
    </row>
    <row r="29" spans="1:8" ht="15.75" thickBot="1" x14ac:dyDescent="0.3">
      <c r="B29" t="s">
        <v>161</v>
      </c>
      <c r="F29" s="313" t="s">
        <v>158</v>
      </c>
      <c r="G29" s="160" t="s">
        <v>162</v>
      </c>
    </row>
    <row r="30" spans="1:8" ht="15.75" thickBot="1" x14ac:dyDescent="0.3">
      <c r="B30" t="s">
        <v>163</v>
      </c>
      <c r="F30" s="311"/>
      <c r="G30" s="160" t="s">
        <v>164</v>
      </c>
    </row>
    <row r="31" spans="1:8" ht="15.75" thickBot="1" x14ac:dyDescent="0.3">
      <c r="B31" t="s">
        <v>165</v>
      </c>
      <c r="F31" s="311"/>
      <c r="G31" s="160" t="s">
        <v>166</v>
      </c>
    </row>
    <row r="32" spans="1:8" ht="15.75" thickBot="1" x14ac:dyDescent="0.3">
      <c r="B32" t="s">
        <v>167</v>
      </c>
      <c r="F32" s="311"/>
      <c r="G32" s="160" t="s">
        <v>168</v>
      </c>
    </row>
    <row r="33" spans="6:7" ht="15.75" thickBot="1" x14ac:dyDescent="0.3">
      <c r="F33" s="311"/>
      <c r="G33" s="160" t="s">
        <v>169</v>
      </c>
    </row>
    <row r="34" spans="6:7" ht="15.75" thickBot="1" x14ac:dyDescent="0.3">
      <c r="F34" s="312"/>
      <c r="G34" s="160" t="s">
        <v>170</v>
      </c>
    </row>
    <row r="35" spans="6:7" ht="15.75" thickBot="1" x14ac:dyDescent="0.3">
      <c r="F35" s="310" t="s">
        <v>167</v>
      </c>
      <c r="G35" s="160" t="s">
        <v>171</v>
      </c>
    </row>
    <row r="36" spans="6:7" ht="15.75" thickBot="1" x14ac:dyDescent="0.3">
      <c r="F36" s="311"/>
      <c r="G36" s="160" t="s">
        <v>172</v>
      </c>
    </row>
    <row r="37" spans="6:7" ht="15.75" thickBot="1" x14ac:dyDescent="0.3">
      <c r="F37" s="311"/>
      <c r="G37" s="160" t="s">
        <v>173</v>
      </c>
    </row>
    <row r="38" spans="6:7" ht="21.75" customHeight="1" thickBot="1" x14ac:dyDescent="0.3">
      <c r="F38" s="311"/>
      <c r="G38" s="160" t="s">
        <v>174</v>
      </c>
    </row>
    <row r="39" spans="6:7" ht="15.75" thickBot="1" x14ac:dyDescent="0.3">
      <c r="F39" s="312"/>
      <c r="G39" s="160" t="s">
        <v>175</v>
      </c>
    </row>
    <row r="40" spans="6:7" ht="45.75" customHeight="1" thickBot="1" x14ac:dyDescent="0.3">
      <c r="F40" s="310" t="s">
        <v>163</v>
      </c>
      <c r="G40" s="160" t="s">
        <v>176</v>
      </c>
    </row>
    <row r="41" spans="6:7" ht="15.75" thickBot="1" x14ac:dyDescent="0.3">
      <c r="F41" s="311"/>
      <c r="G41" s="160" t="s">
        <v>177</v>
      </c>
    </row>
    <row r="42" spans="6:7" ht="30" customHeight="1" thickBot="1" x14ac:dyDescent="0.3">
      <c r="F42" s="312"/>
      <c r="G42" s="160" t="s">
        <v>178</v>
      </c>
    </row>
    <row r="43" spans="6:7" ht="15.75" thickBot="1" x14ac:dyDescent="0.3">
      <c r="F43" s="310" t="s">
        <v>165</v>
      </c>
      <c r="G43" s="160" t="s">
        <v>179</v>
      </c>
    </row>
    <row r="44" spans="6:7" ht="15.75" thickBot="1" x14ac:dyDescent="0.3">
      <c r="F44" s="311"/>
      <c r="G44" s="160" t="s">
        <v>180</v>
      </c>
    </row>
    <row r="45" spans="6:7" ht="15.75" thickBot="1" x14ac:dyDescent="0.3">
      <c r="F45" s="312"/>
      <c r="G45" s="160" t="s">
        <v>181</v>
      </c>
    </row>
    <row r="46" spans="6:7" ht="24.75" thickBot="1" x14ac:dyDescent="0.3">
      <c r="F46" s="310" t="s">
        <v>156</v>
      </c>
      <c r="G46" s="160" t="s">
        <v>182</v>
      </c>
    </row>
    <row r="47" spans="6:7" ht="15.75" thickBot="1" x14ac:dyDescent="0.3">
      <c r="F47" s="311"/>
      <c r="G47" s="160" t="s">
        <v>183</v>
      </c>
    </row>
    <row r="48" spans="6:7" ht="15.75" thickBot="1" x14ac:dyDescent="0.3">
      <c r="F48" s="311"/>
      <c r="G48" s="160" t="s">
        <v>184</v>
      </c>
    </row>
    <row r="49" spans="6:7" ht="15.75" thickBot="1" x14ac:dyDescent="0.3">
      <c r="F49" s="311"/>
      <c r="G49" s="160" t="s">
        <v>185</v>
      </c>
    </row>
    <row r="50" spans="6:7" ht="15.75" thickBot="1" x14ac:dyDescent="0.3">
      <c r="F50" s="311"/>
      <c r="G50" s="160" t="s">
        <v>186</v>
      </c>
    </row>
    <row r="51" spans="6:7" ht="24.75" thickBot="1" x14ac:dyDescent="0.3">
      <c r="F51" s="311"/>
      <c r="G51" s="160" t="s">
        <v>187</v>
      </c>
    </row>
    <row r="52" spans="6:7" ht="15.75" thickBot="1" x14ac:dyDescent="0.3">
      <c r="F52" s="311"/>
      <c r="G52" s="160" t="s">
        <v>188</v>
      </c>
    </row>
    <row r="53" spans="6:7" ht="24.75" thickBot="1" x14ac:dyDescent="0.3">
      <c r="F53" s="311"/>
      <c r="G53" s="160" t="s">
        <v>189</v>
      </c>
    </row>
    <row r="54" spans="6:7" ht="15.75" thickBot="1" x14ac:dyDescent="0.3">
      <c r="F54" s="311"/>
      <c r="G54" s="160" t="s">
        <v>190</v>
      </c>
    </row>
    <row r="55" spans="6:7" ht="15.75" thickBot="1" x14ac:dyDescent="0.3">
      <c r="F55" s="311"/>
      <c r="G55" s="160" t="s">
        <v>191</v>
      </c>
    </row>
    <row r="56" spans="6:7" ht="15.75" thickBot="1" x14ac:dyDescent="0.3">
      <c r="F56" s="312"/>
      <c r="G56" s="160" t="s">
        <v>192</v>
      </c>
    </row>
    <row r="57" spans="6:7" ht="15.75" thickBot="1" x14ac:dyDescent="0.3">
      <c r="F57" s="310" t="s">
        <v>161</v>
      </c>
      <c r="G57" s="160" t="s">
        <v>193</v>
      </c>
    </row>
    <row r="58" spans="6:7" ht="15.75" thickBot="1" x14ac:dyDescent="0.3">
      <c r="F58" s="311"/>
      <c r="G58" s="160" t="s">
        <v>194</v>
      </c>
    </row>
    <row r="59" spans="6:7" ht="24.75" thickBot="1" x14ac:dyDescent="0.3">
      <c r="F59" s="311"/>
      <c r="G59" s="160" t="s">
        <v>195</v>
      </c>
    </row>
    <row r="60" spans="6:7" ht="15.75" thickBot="1" x14ac:dyDescent="0.3">
      <c r="F60" s="311"/>
      <c r="G60" s="160" t="s">
        <v>196</v>
      </c>
    </row>
    <row r="61" spans="6:7" ht="36.75" thickBot="1" x14ac:dyDescent="0.3">
      <c r="F61" s="312"/>
      <c r="G61" s="160" t="s">
        <v>197</v>
      </c>
    </row>
    <row r="62" spans="6:7" ht="15.75" thickBot="1" x14ac:dyDescent="0.3">
      <c r="F62" s="310" t="s">
        <v>155</v>
      </c>
      <c r="G62" s="160" t="s">
        <v>198</v>
      </c>
    </row>
    <row r="63" spans="6:7" ht="15.75" thickBot="1" x14ac:dyDescent="0.3">
      <c r="F63" s="311"/>
      <c r="G63" s="160" t="s">
        <v>199</v>
      </c>
    </row>
    <row r="64" spans="6:7" ht="15.75" thickBot="1" x14ac:dyDescent="0.3">
      <c r="F64" s="311"/>
      <c r="G64" s="160" t="s">
        <v>200</v>
      </c>
    </row>
    <row r="65" spans="6:7" ht="15.75" thickBot="1" x14ac:dyDescent="0.3">
      <c r="F65" s="311"/>
      <c r="G65" s="160" t="s">
        <v>201</v>
      </c>
    </row>
    <row r="66" spans="6:7" ht="15.75" thickBot="1" x14ac:dyDescent="0.3">
      <c r="F66" s="312"/>
      <c r="G66" s="160" t="s">
        <v>202</v>
      </c>
    </row>
    <row r="67" spans="6:7" ht="15.75" thickBot="1" x14ac:dyDescent="0.3">
      <c r="F67" s="310" t="s">
        <v>157</v>
      </c>
      <c r="G67" s="160" t="s">
        <v>203</v>
      </c>
    </row>
    <row r="68" spans="6:7" ht="15.75" thickBot="1" x14ac:dyDescent="0.3">
      <c r="F68" s="311"/>
      <c r="G68" s="160" t="s">
        <v>204</v>
      </c>
    </row>
    <row r="69" spans="6:7" ht="15.75" thickBot="1" x14ac:dyDescent="0.3">
      <c r="F69" s="311"/>
      <c r="G69" s="160" t="s">
        <v>205</v>
      </c>
    </row>
    <row r="70" spans="6:7" ht="15.75" thickBot="1" x14ac:dyDescent="0.3">
      <c r="F70" s="311"/>
      <c r="G70" s="160" t="s">
        <v>206</v>
      </c>
    </row>
    <row r="71" spans="6:7" ht="24.75" thickBot="1" x14ac:dyDescent="0.3">
      <c r="F71" s="312"/>
      <c r="G71" s="160" t="s">
        <v>207</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L76"/>
  <sheetViews>
    <sheetView topLeftCell="J1" zoomScale="40" zoomScaleNormal="40" zoomScaleSheetLayoutView="50" zoomScalePageLayoutView="60" workbookViewId="0">
      <selection activeCell="V13" sqref="V13:AR36"/>
    </sheetView>
  </sheetViews>
  <sheetFormatPr baseColWidth="10" defaultColWidth="11.42578125" defaultRowHeight="15" x14ac:dyDescent="0.2"/>
  <cols>
    <col min="1" max="1" width="6.5703125" style="212" customWidth="1"/>
    <col min="2" max="2" width="16" style="212" customWidth="1"/>
    <col min="3" max="3" width="19.140625" style="212" customWidth="1"/>
    <col min="4" max="4" width="25.28515625" style="212" customWidth="1"/>
    <col min="5" max="5" width="51.140625" style="212" customWidth="1"/>
    <col min="6" max="6" width="21" style="192" customWidth="1"/>
    <col min="7" max="7" width="17.7109375" style="192" customWidth="1"/>
    <col min="8" max="8" width="24.28515625" style="192" customWidth="1"/>
    <col min="9" max="9" width="36.140625" style="192" customWidth="1"/>
    <col min="10" max="10" width="29.42578125" style="192" customWidth="1"/>
    <col min="11" max="11" width="24.28515625" style="192" customWidth="1"/>
    <col min="12" max="12" width="19.42578125" style="192" customWidth="1"/>
    <col min="13" max="13" width="20.5703125" style="192" customWidth="1"/>
    <col min="14" max="14" width="16.7109375" style="213" customWidth="1"/>
    <col min="15" max="15" width="16.7109375" style="192" customWidth="1"/>
    <col min="16" max="16" width="20.42578125" style="192" customWidth="1"/>
    <col min="17" max="17" width="12.85546875" style="192" customWidth="1"/>
    <col min="18" max="18" width="35.85546875" style="192" customWidth="1"/>
    <col min="19" max="19" width="19" style="192" customWidth="1"/>
    <col min="20" max="20" width="17.5703125" style="192" customWidth="1"/>
    <col min="21" max="21" width="15" style="192" customWidth="1"/>
    <col min="22" max="22" width="16" style="192" customWidth="1"/>
    <col min="23" max="23" width="32.7109375" style="192" customWidth="1"/>
    <col min="24" max="24" width="26.85546875" style="192" customWidth="1"/>
    <col min="25" max="25" width="5.85546875" style="192" customWidth="1"/>
    <col min="26" max="26" width="6.85546875" style="192" customWidth="1"/>
    <col min="27" max="27" width="5" style="192" customWidth="1"/>
    <col min="28" max="28" width="5.5703125" style="192" customWidth="1"/>
    <col min="29" max="29" width="7.140625" style="192" customWidth="1"/>
    <col min="30" max="30" width="6.7109375" style="192" customWidth="1"/>
    <col min="31" max="31" width="7.5703125" style="192" customWidth="1"/>
    <col min="32" max="32" width="8.5703125" style="192" customWidth="1"/>
    <col min="33" max="37" width="10.85546875" style="192" customWidth="1"/>
    <col min="38" max="38" width="33.140625" style="211" customWidth="1"/>
    <col min="39" max="39" width="23" style="192" customWidth="1"/>
    <col min="40" max="40" width="18.85546875" style="192" customWidth="1"/>
    <col min="41" max="41" width="23.7109375" style="192" customWidth="1"/>
    <col min="42" max="42" width="22.42578125" style="192" customWidth="1"/>
    <col min="43" max="43" width="16.42578125" style="192" customWidth="1"/>
    <col min="44" max="44" width="20.5703125" style="192" customWidth="1"/>
    <col min="45" max="16384" width="11.42578125" style="192"/>
  </cols>
  <sheetData>
    <row r="1" spans="1:272" s="195" customFormat="1" ht="20.25" x14ac:dyDescent="0.3">
      <c r="A1" s="379"/>
      <c r="B1" s="380"/>
      <c r="C1" s="381"/>
      <c r="D1" s="370" t="s">
        <v>208</v>
      </c>
      <c r="E1" s="371"/>
      <c r="F1" s="371"/>
      <c r="G1" s="371"/>
      <c r="H1" s="371"/>
      <c r="I1" s="371"/>
      <c r="J1" s="371"/>
      <c r="K1" s="371"/>
      <c r="L1" s="371"/>
      <c r="M1" s="371"/>
      <c r="N1" s="371"/>
      <c r="O1" s="371"/>
      <c r="P1" s="371"/>
      <c r="Q1" s="371"/>
      <c r="R1" s="371"/>
      <c r="S1" s="371"/>
      <c r="T1" s="372"/>
      <c r="U1" s="246"/>
      <c r="V1" s="246"/>
      <c r="W1" s="246"/>
      <c r="X1" s="352"/>
      <c r="Y1" s="352"/>
      <c r="Z1" s="352"/>
      <c r="AA1" s="352"/>
      <c r="AB1" s="352"/>
      <c r="AC1" s="352"/>
      <c r="AD1" s="352"/>
      <c r="AE1" s="352"/>
      <c r="AF1" s="352"/>
      <c r="AG1" s="352"/>
      <c r="AH1" s="352"/>
      <c r="AI1" s="352"/>
      <c r="AJ1" s="352"/>
      <c r="AK1" s="352"/>
      <c r="AL1" s="352"/>
      <c r="AM1" s="352"/>
      <c r="AN1" s="352"/>
      <c r="AO1" s="352"/>
      <c r="AP1" s="352"/>
      <c r="AQ1" s="352"/>
      <c r="AR1" s="352"/>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row>
    <row r="2" spans="1:272" s="195" customFormat="1" ht="21" thickBot="1" x14ac:dyDescent="0.35">
      <c r="A2" s="382"/>
      <c r="B2" s="383"/>
      <c r="C2" s="384"/>
      <c r="D2" s="373"/>
      <c r="E2" s="374"/>
      <c r="F2" s="374"/>
      <c r="G2" s="374"/>
      <c r="H2" s="374"/>
      <c r="I2" s="374"/>
      <c r="J2" s="374"/>
      <c r="K2" s="374"/>
      <c r="L2" s="374"/>
      <c r="M2" s="374"/>
      <c r="N2" s="374"/>
      <c r="O2" s="374"/>
      <c r="P2" s="374"/>
      <c r="Q2" s="374"/>
      <c r="R2" s="374"/>
      <c r="S2" s="374"/>
      <c r="T2" s="375"/>
      <c r="U2" s="246"/>
      <c r="V2" s="246"/>
      <c r="W2" s="246"/>
      <c r="X2" s="352"/>
      <c r="Y2" s="352"/>
      <c r="Z2" s="352"/>
      <c r="AA2" s="352"/>
      <c r="AB2" s="352"/>
      <c r="AC2" s="352"/>
      <c r="AD2" s="352"/>
      <c r="AE2" s="352"/>
      <c r="AF2" s="352"/>
      <c r="AG2" s="352"/>
      <c r="AH2" s="352"/>
      <c r="AI2" s="352"/>
      <c r="AJ2" s="352"/>
      <c r="AK2" s="352"/>
      <c r="AL2" s="352"/>
      <c r="AM2" s="352"/>
      <c r="AN2" s="352"/>
      <c r="AO2" s="352"/>
      <c r="AP2" s="352"/>
      <c r="AQ2" s="352"/>
      <c r="AR2" s="352"/>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row>
    <row r="3" spans="1:272" s="195" customFormat="1" ht="27.75" customHeight="1" thickBot="1" x14ac:dyDescent="0.35">
      <c r="A3" s="382"/>
      <c r="B3" s="383"/>
      <c r="C3" s="384"/>
      <c r="D3" s="376" t="s">
        <v>209</v>
      </c>
      <c r="E3" s="377"/>
      <c r="F3" s="377"/>
      <c r="G3" s="377"/>
      <c r="H3" s="377"/>
      <c r="I3" s="378"/>
      <c r="J3" s="376" t="s">
        <v>210</v>
      </c>
      <c r="K3" s="377"/>
      <c r="L3" s="377"/>
      <c r="M3" s="377"/>
      <c r="N3" s="377"/>
      <c r="O3" s="377"/>
      <c r="P3" s="377"/>
      <c r="Q3" s="377"/>
      <c r="R3" s="377"/>
      <c r="S3" s="377"/>
      <c r="T3" s="378"/>
      <c r="U3" s="247"/>
      <c r="V3" s="247"/>
      <c r="W3" s="246"/>
      <c r="X3" s="353"/>
      <c r="Y3" s="353"/>
      <c r="Z3" s="353"/>
      <c r="AA3" s="353"/>
      <c r="AB3" s="353"/>
      <c r="AC3" s="353"/>
      <c r="AD3" s="353"/>
      <c r="AE3" s="353"/>
      <c r="AF3" s="353"/>
      <c r="AG3" s="353"/>
      <c r="AH3" s="353"/>
      <c r="AI3" s="353"/>
      <c r="AJ3" s="353"/>
      <c r="AK3" s="353"/>
      <c r="AL3" s="353"/>
      <c r="AM3" s="353"/>
      <c r="AN3" s="353"/>
      <c r="AO3" s="353"/>
      <c r="AP3" s="353"/>
      <c r="AQ3" s="353"/>
      <c r="AR3" s="353"/>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row>
    <row r="4" spans="1:272" s="195" customFormat="1" ht="27.75" customHeight="1" thickBot="1" x14ac:dyDescent="0.35">
      <c r="A4" s="385"/>
      <c r="B4" s="386"/>
      <c r="C4" s="387"/>
      <c r="D4" s="376" t="s">
        <v>422</v>
      </c>
      <c r="E4" s="377"/>
      <c r="F4" s="377"/>
      <c r="G4" s="377"/>
      <c r="H4" s="377"/>
      <c r="I4" s="377"/>
      <c r="J4" s="377"/>
      <c r="K4" s="377"/>
      <c r="L4" s="377"/>
      <c r="M4" s="377"/>
      <c r="N4" s="377"/>
      <c r="O4" s="377"/>
      <c r="P4" s="377"/>
      <c r="Q4" s="377"/>
      <c r="R4" s="377"/>
      <c r="S4" s="377"/>
      <c r="T4" s="378"/>
      <c r="U4" s="246"/>
      <c r="V4" s="246"/>
      <c r="W4" s="246"/>
      <c r="X4" s="353"/>
      <c r="Y4" s="353"/>
      <c r="Z4" s="353"/>
      <c r="AA4" s="353"/>
      <c r="AB4" s="353"/>
      <c r="AC4" s="353"/>
      <c r="AD4" s="353"/>
      <c r="AE4" s="353"/>
      <c r="AF4" s="353"/>
      <c r="AG4" s="353"/>
      <c r="AH4" s="353"/>
      <c r="AI4" s="353"/>
      <c r="AJ4" s="353"/>
      <c r="AK4" s="353"/>
      <c r="AL4" s="353"/>
      <c r="AM4" s="353"/>
      <c r="AN4" s="353"/>
      <c r="AO4" s="353"/>
      <c r="AP4" s="353"/>
      <c r="AQ4" s="353"/>
      <c r="AR4" s="353"/>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row>
    <row r="5" spans="1:272" ht="15.75" thickBot="1" x14ac:dyDescent="0.25">
      <c r="A5" s="196"/>
      <c r="B5" s="197"/>
      <c r="C5" s="196"/>
      <c r="D5" s="196"/>
      <c r="E5" s="196"/>
      <c r="F5" s="198"/>
      <c r="G5" s="198"/>
      <c r="H5" s="198"/>
      <c r="I5" s="198"/>
      <c r="J5" s="198"/>
      <c r="K5" s="198"/>
      <c r="L5" s="198"/>
      <c r="M5" s="198"/>
      <c r="N5" s="199"/>
      <c r="O5" s="198"/>
      <c r="P5" s="198"/>
      <c r="Q5" s="198"/>
      <c r="R5" s="198"/>
      <c r="S5" s="198"/>
      <c r="T5" s="198"/>
      <c r="U5" s="198"/>
      <c r="V5" s="198"/>
      <c r="W5" s="198"/>
      <c r="X5" s="198"/>
      <c r="Y5" s="198"/>
      <c r="Z5" s="198"/>
      <c r="AA5" s="198"/>
      <c r="AB5" s="198"/>
      <c r="AC5" s="198"/>
      <c r="AD5" s="198"/>
      <c r="AE5" s="198"/>
      <c r="AF5" s="198"/>
      <c r="AG5" s="198"/>
      <c r="AH5" s="198"/>
      <c r="AI5" s="198"/>
      <c r="AJ5" s="198"/>
      <c r="AK5" s="198"/>
      <c r="AL5" s="24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row>
    <row r="6" spans="1:272" ht="27" customHeight="1" thickBot="1" x14ac:dyDescent="0.25">
      <c r="A6" s="354" t="s">
        <v>211</v>
      </c>
      <c r="B6" s="355"/>
      <c r="C6" s="361" t="s">
        <v>81</v>
      </c>
      <c r="D6" s="362"/>
      <c r="E6" s="362"/>
      <c r="F6" s="362"/>
      <c r="G6" s="362"/>
      <c r="H6" s="362"/>
      <c r="I6" s="362"/>
      <c r="J6" s="362"/>
      <c r="K6" s="362"/>
      <c r="L6" s="362"/>
      <c r="M6" s="362"/>
      <c r="N6" s="362"/>
      <c r="O6" s="362"/>
      <c r="P6" s="362"/>
      <c r="Q6" s="362"/>
      <c r="R6" s="362"/>
      <c r="S6" s="362"/>
      <c r="T6" s="363"/>
      <c r="U6" s="249"/>
      <c r="V6" s="249"/>
      <c r="W6" s="360"/>
      <c r="X6" s="360"/>
      <c r="Y6" s="360"/>
      <c r="Z6" s="351"/>
      <c r="AA6" s="351"/>
      <c r="AB6" s="351"/>
      <c r="AC6" s="351"/>
      <c r="AD6" s="351"/>
      <c r="AE6" s="351"/>
      <c r="AF6" s="351"/>
      <c r="AG6" s="351"/>
      <c r="AH6" s="351"/>
      <c r="AI6" s="351"/>
      <c r="AJ6" s="351"/>
      <c r="AK6" s="351"/>
      <c r="AL6" s="351"/>
      <c r="AM6" s="351"/>
      <c r="AN6" s="351"/>
      <c r="AO6" s="351"/>
      <c r="AP6" s="351"/>
      <c r="AQ6" s="351"/>
      <c r="AR6" s="351"/>
      <c r="AS6" s="198"/>
      <c r="AT6" s="198"/>
      <c r="AU6" s="198"/>
      <c r="AV6" s="198"/>
      <c r="AW6" s="198"/>
      <c r="AX6" s="198"/>
      <c r="AY6" s="198"/>
      <c r="AZ6" s="198"/>
      <c r="BA6" s="198"/>
      <c r="BB6" s="198"/>
      <c r="BC6" s="198"/>
      <c r="BD6" s="198"/>
      <c r="BE6" s="198"/>
      <c r="BF6" s="198"/>
      <c r="BG6" s="198"/>
      <c r="BH6" s="198"/>
      <c r="BI6" s="198"/>
      <c r="BJ6" s="198"/>
      <c r="BK6" s="198"/>
      <c r="BL6" s="198"/>
      <c r="BM6" s="198"/>
      <c r="BN6" s="198"/>
      <c r="BO6" s="198"/>
      <c r="BP6" s="198"/>
    </row>
    <row r="7" spans="1:272" ht="27" customHeight="1" thickBot="1" x14ac:dyDescent="0.3">
      <c r="A7" s="356" t="s">
        <v>212</v>
      </c>
      <c r="B7" s="357"/>
      <c r="C7" s="364" t="s">
        <v>426</v>
      </c>
      <c r="D7" s="365"/>
      <c r="E7" s="365"/>
      <c r="F7" s="365"/>
      <c r="G7" s="365"/>
      <c r="H7" s="365"/>
      <c r="I7" s="365"/>
      <c r="J7" s="365"/>
      <c r="K7" s="365"/>
      <c r="L7" s="365"/>
      <c r="M7" s="365"/>
      <c r="N7" s="365"/>
      <c r="O7" s="365"/>
      <c r="P7" s="365"/>
      <c r="Q7" s="365"/>
      <c r="R7" s="365"/>
      <c r="S7" s="365"/>
      <c r="T7" s="366"/>
      <c r="U7" s="250"/>
      <c r="V7" s="250"/>
      <c r="W7" s="251"/>
      <c r="X7" s="251"/>
      <c r="Y7" s="251"/>
      <c r="Z7" s="351"/>
      <c r="AA7" s="351"/>
      <c r="AB7" s="351"/>
      <c r="AC7" s="351"/>
      <c r="AD7" s="351"/>
      <c r="AE7" s="351"/>
      <c r="AF7" s="351"/>
      <c r="AG7" s="351"/>
      <c r="AH7" s="351"/>
      <c r="AI7" s="351"/>
      <c r="AJ7" s="351"/>
      <c r="AK7" s="351"/>
      <c r="AL7" s="351"/>
      <c r="AM7" s="351"/>
      <c r="AN7" s="351"/>
      <c r="AO7" s="351"/>
      <c r="AP7" s="351"/>
      <c r="AQ7" s="351"/>
      <c r="AR7" s="351"/>
      <c r="AS7" s="198"/>
      <c r="AT7" s="198"/>
      <c r="AU7" s="198"/>
      <c r="AV7" s="198"/>
      <c r="AW7" s="198"/>
      <c r="AX7" s="198"/>
      <c r="AY7" s="198"/>
      <c r="AZ7" s="198"/>
      <c r="BA7" s="198"/>
      <c r="BB7" s="198"/>
      <c r="BC7" s="198"/>
      <c r="BD7" s="198"/>
      <c r="BE7" s="198"/>
      <c r="BF7" s="198"/>
      <c r="BG7" s="198"/>
      <c r="BH7" s="198"/>
      <c r="BI7" s="198"/>
      <c r="BJ7" s="198"/>
      <c r="BK7" s="198"/>
      <c r="BL7" s="198"/>
      <c r="BM7" s="198"/>
      <c r="BN7" s="198"/>
      <c r="BO7" s="198"/>
      <c r="BP7" s="198"/>
    </row>
    <row r="8" spans="1:272" ht="27" customHeight="1" thickBot="1" x14ac:dyDescent="0.3">
      <c r="A8" s="358" t="s">
        <v>213</v>
      </c>
      <c r="B8" s="359"/>
      <c r="C8" s="364" t="s">
        <v>427</v>
      </c>
      <c r="D8" s="365"/>
      <c r="E8" s="365"/>
      <c r="F8" s="365"/>
      <c r="G8" s="365"/>
      <c r="H8" s="365"/>
      <c r="I8" s="365"/>
      <c r="J8" s="365"/>
      <c r="K8" s="365"/>
      <c r="L8" s="365"/>
      <c r="M8" s="365"/>
      <c r="N8" s="365"/>
      <c r="O8" s="365"/>
      <c r="P8" s="365"/>
      <c r="Q8" s="365"/>
      <c r="R8" s="365"/>
      <c r="S8" s="365"/>
      <c r="T8" s="366"/>
      <c r="U8" s="250"/>
      <c r="V8" s="250"/>
      <c r="W8" s="251"/>
      <c r="X8" s="251"/>
      <c r="Y8" s="251"/>
      <c r="Z8" s="351"/>
      <c r="AA8" s="351"/>
      <c r="AB8" s="351"/>
      <c r="AC8" s="351"/>
      <c r="AD8" s="351"/>
      <c r="AE8" s="351"/>
      <c r="AF8" s="351"/>
      <c r="AG8" s="351"/>
      <c r="AH8" s="351"/>
      <c r="AI8" s="351"/>
      <c r="AJ8" s="351"/>
      <c r="AK8" s="351"/>
      <c r="AL8" s="351"/>
      <c r="AM8" s="351"/>
      <c r="AN8" s="351"/>
      <c r="AO8" s="351"/>
      <c r="AP8" s="351"/>
      <c r="AQ8" s="351"/>
      <c r="AR8" s="351"/>
      <c r="AS8" s="198"/>
      <c r="AT8" s="198"/>
      <c r="AU8" s="198"/>
      <c r="AV8" s="198"/>
      <c r="AW8" s="198"/>
      <c r="AX8" s="198"/>
      <c r="AY8" s="198"/>
      <c r="AZ8" s="198"/>
      <c r="BA8" s="198"/>
      <c r="BB8" s="198"/>
      <c r="BC8" s="198"/>
      <c r="BD8" s="198"/>
      <c r="BE8" s="198"/>
      <c r="BF8" s="198"/>
      <c r="BG8" s="198"/>
      <c r="BH8" s="198"/>
      <c r="BI8" s="198"/>
      <c r="BJ8" s="198"/>
      <c r="BK8" s="198"/>
      <c r="BL8" s="198"/>
      <c r="BM8" s="198"/>
      <c r="BN8" s="198"/>
      <c r="BO8" s="198"/>
      <c r="BP8" s="198"/>
    </row>
    <row r="9" spans="1:272" ht="15.75" x14ac:dyDescent="0.25">
      <c r="A9" s="200"/>
      <c r="B9" s="200"/>
      <c r="C9" s="201"/>
      <c r="D9" s="201"/>
      <c r="E9" s="201"/>
      <c r="F9" s="201"/>
      <c r="G9" s="201"/>
      <c r="H9" s="201"/>
      <c r="I9" s="201"/>
      <c r="J9" s="201"/>
      <c r="K9" s="201"/>
      <c r="L9" s="201"/>
      <c r="M9" s="201"/>
      <c r="N9" s="201"/>
      <c r="O9" s="201"/>
      <c r="P9" s="201"/>
      <c r="Q9" s="201"/>
      <c r="R9" s="201"/>
      <c r="S9" s="201"/>
      <c r="T9" s="201"/>
      <c r="U9" s="201"/>
      <c r="V9" s="201"/>
      <c r="W9" s="202"/>
      <c r="X9" s="202"/>
      <c r="Y9" s="202"/>
      <c r="Z9" s="203"/>
      <c r="AA9" s="203"/>
      <c r="AB9" s="203"/>
      <c r="AC9" s="203"/>
      <c r="AD9" s="203"/>
      <c r="AE9" s="203"/>
      <c r="AF9" s="203"/>
      <c r="AG9" s="203"/>
      <c r="AH9" s="203"/>
      <c r="AI9" s="203"/>
      <c r="AJ9" s="203"/>
      <c r="AK9" s="203"/>
      <c r="AL9" s="203"/>
      <c r="AM9" s="203"/>
      <c r="AN9" s="203"/>
      <c r="AO9" s="203"/>
      <c r="AP9" s="203"/>
      <c r="AQ9" s="203"/>
      <c r="AR9" s="203"/>
    </row>
    <row r="10" spans="1:272" ht="27.75" customHeight="1" x14ac:dyDescent="0.2">
      <c r="A10" s="367" t="s">
        <v>214</v>
      </c>
      <c r="B10" s="368"/>
      <c r="C10" s="368"/>
      <c r="D10" s="368"/>
      <c r="E10" s="368"/>
      <c r="F10" s="369"/>
      <c r="G10" s="330" t="s">
        <v>215</v>
      </c>
      <c r="H10" s="331"/>
      <c r="I10" s="331"/>
      <c r="J10" s="331"/>
      <c r="K10" s="332"/>
      <c r="L10" s="316" t="s">
        <v>216</v>
      </c>
      <c r="M10" s="317"/>
      <c r="N10" s="318" t="s">
        <v>217</v>
      </c>
      <c r="O10" s="319"/>
      <c r="P10" s="319"/>
      <c r="Q10" s="319"/>
      <c r="R10" s="319"/>
      <c r="S10" s="319"/>
      <c r="T10" s="319"/>
      <c r="U10" s="319"/>
      <c r="V10" s="320"/>
      <c r="W10" s="328" t="s">
        <v>218</v>
      </c>
      <c r="X10" s="328"/>
      <c r="Y10" s="328"/>
      <c r="Z10" s="328"/>
      <c r="AA10" s="328"/>
      <c r="AB10" s="328"/>
      <c r="AC10" s="328"/>
      <c r="AD10" s="328"/>
      <c r="AE10" s="328"/>
      <c r="AF10" s="336" t="s">
        <v>219</v>
      </c>
      <c r="AG10" s="337"/>
      <c r="AH10" s="337"/>
      <c r="AI10" s="337"/>
      <c r="AJ10" s="338"/>
      <c r="AK10" s="318" t="s">
        <v>423</v>
      </c>
      <c r="AL10" s="319"/>
      <c r="AM10" s="319"/>
      <c r="AN10" s="319"/>
      <c r="AO10" s="320"/>
      <c r="AP10" s="318" t="s">
        <v>474</v>
      </c>
      <c r="AQ10" s="319"/>
      <c r="AR10" s="320"/>
      <c r="AS10" s="198"/>
      <c r="AT10" s="198"/>
      <c r="AU10" s="198"/>
      <c r="AV10" s="198"/>
      <c r="AW10" s="198"/>
      <c r="AX10" s="198"/>
      <c r="AY10" s="198"/>
      <c r="AZ10" s="198"/>
      <c r="BA10" s="198"/>
      <c r="BB10" s="198"/>
      <c r="BC10" s="198"/>
      <c r="BD10" s="198"/>
      <c r="BE10" s="198"/>
      <c r="BF10" s="198"/>
      <c r="BG10" s="198"/>
      <c r="BH10" s="198"/>
      <c r="BI10" s="198"/>
      <c r="BJ10" s="198"/>
      <c r="BK10" s="198"/>
      <c r="BL10" s="198"/>
      <c r="BM10" s="198"/>
      <c r="BN10" s="198"/>
      <c r="BO10" s="198"/>
      <c r="BP10" s="198"/>
    </row>
    <row r="11" spans="1:272" ht="15.75" x14ac:dyDescent="0.2">
      <c r="A11" s="343" t="s">
        <v>222</v>
      </c>
      <c r="B11" s="344" t="s">
        <v>15</v>
      </c>
      <c r="C11" s="345" t="s">
        <v>17</v>
      </c>
      <c r="D11" s="345" t="s">
        <v>19</v>
      </c>
      <c r="E11" s="344" t="s">
        <v>21</v>
      </c>
      <c r="F11" s="345" t="s">
        <v>23</v>
      </c>
      <c r="G11" s="346" t="s">
        <v>475</v>
      </c>
      <c r="H11" s="346" t="s">
        <v>223</v>
      </c>
      <c r="I11" s="346" t="s">
        <v>224</v>
      </c>
      <c r="J11" s="346" t="s">
        <v>225</v>
      </c>
      <c r="K11" s="346" t="s">
        <v>226</v>
      </c>
      <c r="L11" s="316"/>
      <c r="M11" s="317"/>
      <c r="N11" s="314" t="s">
        <v>227</v>
      </c>
      <c r="O11" s="314" t="s">
        <v>228</v>
      </c>
      <c r="P11" s="339" t="s">
        <v>229</v>
      </c>
      <c r="Q11" s="314" t="s">
        <v>230</v>
      </c>
      <c r="R11" s="314" t="s">
        <v>231</v>
      </c>
      <c r="S11" s="314" t="s">
        <v>232</v>
      </c>
      <c r="T11" s="339" t="s">
        <v>229</v>
      </c>
      <c r="U11" s="314" t="s">
        <v>29</v>
      </c>
      <c r="V11" s="327" t="s">
        <v>233</v>
      </c>
      <c r="W11" s="314" t="s">
        <v>31</v>
      </c>
      <c r="X11" s="314" t="s">
        <v>33</v>
      </c>
      <c r="Y11" s="314" t="s">
        <v>234</v>
      </c>
      <c r="Z11" s="314"/>
      <c r="AA11" s="314"/>
      <c r="AB11" s="314"/>
      <c r="AC11" s="314"/>
      <c r="AD11" s="314"/>
      <c r="AE11" s="327" t="s">
        <v>235</v>
      </c>
      <c r="AF11" s="327" t="s">
        <v>236</v>
      </c>
      <c r="AG11" s="327" t="s">
        <v>229</v>
      </c>
      <c r="AH11" s="327" t="s">
        <v>237</v>
      </c>
      <c r="AI11" s="327" t="s">
        <v>229</v>
      </c>
      <c r="AJ11" s="327" t="s">
        <v>238</v>
      </c>
      <c r="AK11" s="327" t="s">
        <v>49</v>
      </c>
      <c r="AL11" s="314" t="s">
        <v>239</v>
      </c>
      <c r="AM11" s="314" t="s">
        <v>240</v>
      </c>
      <c r="AN11" s="314" t="s">
        <v>241</v>
      </c>
      <c r="AO11" s="314" t="s">
        <v>242</v>
      </c>
      <c r="AP11" s="314" t="s">
        <v>239</v>
      </c>
      <c r="AQ11" s="314" t="s">
        <v>241</v>
      </c>
      <c r="AR11" s="314" t="s">
        <v>240</v>
      </c>
      <c r="AS11" s="198"/>
      <c r="AT11" s="198"/>
      <c r="AU11" s="198"/>
      <c r="AV11" s="198"/>
      <c r="AW11" s="198"/>
      <c r="AX11" s="198"/>
      <c r="AY11" s="198"/>
      <c r="AZ11" s="198"/>
      <c r="BA11" s="198"/>
      <c r="BB11" s="198"/>
      <c r="BC11" s="198"/>
      <c r="BD11" s="198"/>
      <c r="BE11" s="198"/>
      <c r="BF11" s="198"/>
      <c r="BG11" s="198"/>
      <c r="BH11" s="198"/>
      <c r="BI11" s="198"/>
      <c r="BJ11" s="198"/>
      <c r="BK11" s="198"/>
      <c r="BL11" s="198"/>
      <c r="BM11" s="198"/>
      <c r="BN11" s="198"/>
      <c r="BO11" s="198"/>
    </row>
    <row r="12" spans="1:272" s="207" customFormat="1" ht="99" thickBot="1" x14ac:dyDescent="0.3">
      <c r="A12" s="343"/>
      <c r="B12" s="344"/>
      <c r="C12" s="345"/>
      <c r="D12" s="345"/>
      <c r="E12" s="344"/>
      <c r="F12" s="345"/>
      <c r="G12" s="347"/>
      <c r="H12" s="347"/>
      <c r="I12" s="347"/>
      <c r="J12" s="347"/>
      <c r="K12" s="347"/>
      <c r="L12" s="244" t="s">
        <v>425</v>
      </c>
      <c r="M12" s="244" t="s">
        <v>246</v>
      </c>
      <c r="N12" s="314"/>
      <c r="O12" s="314"/>
      <c r="P12" s="339"/>
      <c r="Q12" s="314"/>
      <c r="R12" s="314"/>
      <c r="S12" s="339"/>
      <c r="T12" s="339"/>
      <c r="U12" s="314"/>
      <c r="V12" s="327"/>
      <c r="W12" s="314"/>
      <c r="X12" s="314"/>
      <c r="Y12" s="204" t="s">
        <v>247</v>
      </c>
      <c r="Z12" s="204" t="s">
        <v>248</v>
      </c>
      <c r="AA12" s="204" t="s">
        <v>249</v>
      </c>
      <c r="AB12" s="204" t="s">
        <v>250</v>
      </c>
      <c r="AC12" s="204" t="s">
        <v>251</v>
      </c>
      <c r="AD12" s="204" t="s">
        <v>252</v>
      </c>
      <c r="AE12" s="327"/>
      <c r="AF12" s="327"/>
      <c r="AG12" s="327"/>
      <c r="AH12" s="327"/>
      <c r="AI12" s="327"/>
      <c r="AJ12" s="327"/>
      <c r="AK12" s="327"/>
      <c r="AL12" s="314"/>
      <c r="AM12" s="314"/>
      <c r="AN12" s="314"/>
      <c r="AO12" s="314"/>
      <c r="AP12" s="314"/>
      <c r="AQ12" s="314"/>
      <c r="AR12" s="314"/>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6"/>
      <c r="BQ12" s="206"/>
      <c r="BR12" s="206"/>
      <c r="BS12" s="206"/>
      <c r="BT12" s="206"/>
      <c r="BU12" s="206"/>
      <c r="BV12" s="206"/>
      <c r="BW12" s="206"/>
      <c r="BX12" s="206"/>
      <c r="BY12" s="206"/>
      <c r="BZ12" s="206"/>
      <c r="CA12" s="206"/>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c r="CX12" s="206"/>
      <c r="CY12" s="206"/>
      <c r="CZ12" s="206"/>
      <c r="DA12" s="206"/>
      <c r="DB12" s="206"/>
      <c r="DC12" s="206"/>
      <c r="DD12" s="206"/>
      <c r="DE12" s="206"/>
      <c r="DF12" s="206"/>
      <c r="DG12" s="206"/>
      <c r="DH12" s="206"/>
      <c r="DI12" s="206"/>
      <c r="DJ12" s="206"/>
      <c r="DK12" s="206"/>
      <c r="DL12" s="206"/>
      <c r="DM12" s="206"/>
      <c r="DN12" s="206"/>
      <c r="DO12" s="206"/>
      <c r="DP12" s="206"/>
      <c r="DQ12" s="206"/>
      <c r="DR12" s="206"/>
      <c r="DS12" s="206"/>
      <c r="DT12" s="206"/>
      <c r="DU12" s="206"/>
      <c r="DV12" s="206"/>
      <c r="DW12" s="206"/>
      <c r="DX12" s="206"/>
      <c r="DY12" s="206"/>
      <c r="DZ12" s="206"/>
      <c r="EA12" s="206"/>
      <c r="EB12" s="206"/>
      <c r="EC12" s="206"/>
      <c r="ED12" s="206"/>
      <c r="EE12" s="206"/>
      <c r="EF12" s="206"/>
      <c r="EG12" s="206"/>
      <c r="EH12" s="206"/>
      <c r="EI12" s="206"/>
      <c r="EJ12" s="206"/>
      <c r="EK12" s="206"/>
      <c r="EL12" s="206"/>
      <c r="EM12" s="206"/>
      <c r="EN12" s="206"/>
      <c r="EO12" s="206"/>
      <c r="EP12" s="206"/>
      <c r="EQ12" s="206"/>
      <c r="ER12" s="206"/>
      <c r="ES12" s="206"/>
      <c r="ET12" s="206"/>
      <c r="EU12" s="206"/>
      <c r="EV12" s="206"/>
      <c r="EW12" s="206"/>
      <c r="EX12" s="206"/>
      <c r="EY12" s="206"/>
      <c r="EZ12" s="206"/>
      <c r="FA12" s="206"/>
      <c r="FB12" s="206"/>
      <c r="FC12" s="206"/>
      <c r="FD12" s="206"/>
      <c r="FE12" s="206"/>
      <c r="FF12" s="206"/>
      <c r="FG12" s="206"/>
      <c r="FH12" s="206"/>
      <c r="FI12" s="206"/>
      <c r="FJ12" s="206"/>
      <c r="FK12" s="206"/>
      <c r="FL12" s="206"/>
      <c r="FM12" s="206"/>
      <c r="FN12" s="206"/>
      <c r="FO12" s="206"/>
      <c r="FP12" s="206"/>
      <c r="FQ12" s="206"/>
      <c r="FR12" s="206"/>
      <c r="FS12" s="206"/>
      <c r="FT12" s="206"/>
      <c r="FU12" s="206"/>
      <c r="FV12" s="206"/>
      <c r="FW12" s="206"/>
      <c r="FX12" s="206"/>
      <c r="FY12" s="206"/>
      <c r="FZ12" s="206"/>
      <c r="GA12" s="206"/>
      <c r="GB12" s="206"/>
      <c r="GC12" s="206"/>
      <c r="GD12" s="206"/>
      <c r="GE12" s="206"/>
      <c r="GF12" s="206"/>
      <c r="GG12" s="206"/>
      <c r="GH12" s="206"/>
      <c r="GI12" s="206"/>
      <c r="GJ12" s="206"/>
      <c r="GK12" s="206"/>
      <c r="GL12" s="206"/>
      <c r="GM12" s="206"/>
      <c r="GN12" s="206"/>
      <c r="GO12" s="206"/>
      <c r="GP12" s="206"/>
      <c r="GQ12" s="206"/>
      <c r="GR12" s="206"/>
      <c r="GS12" s="206"/>
      <c r="GT12" s="206"/>
      <c r="GU12" s="206"/>
      <c r="GV12" s="206"/>
      <c r="GW12" s="206"/>
      <c r="GX12" s="206"/>
      <c r="GY12" s="206"/>
      <c r="GZ12" s="206"/>
      <c r="HA12" s="206"/>
      <c r="HB12" s="206"/>
      <c r="HC12" s="206"/>
      <c r="HD12" s="206"/>
      <c r="HE12" s="206"/>
      <c r="HF12" s="206"/>
      <c r="HG12" s="206"/>
      <c r="HH12" s="206"/>
      <c r="HI12" s="206"/>
      <c r="HJ12" s="206"/>
      <c r="HK12" s="206"/>
      <c r="HL12" s="206"/>
      <c r="HM12" s="206"/>
      <c r="HN12" s="206"/>
      <c r="HO12" s="206"/>
      <c r="HP12" s="206"/>
      <c r="HQ12" s="206"/>
      <c r="HR12" s="206"/>
      <c r="HS12" s="206"/>
      <c r="HT12" s="206"/>
      <c r="HU12" s="206"/>
      <c r="HV12" s="206"/>
      <c r="HW12" s="206"/>
      <c r="HX12" s="206"/>
      <c r="HY12" s="206"/>
      <c r="HZ12" s="206"/>
      <c r="IA12" s="206"/>
      <c r="IB12" s="206"/>
      <c r="IC12" s="206"/>
      <c r="ID12" s="206"/>
      <c r="IE12" s="206"/>
      <c r="IF12" s="206"/>
      <c r="IG12" s="206"/>
      <c r="IH12" s="206"/>
      <c r="II12" s="206"/>
      <c r="IJ12" s="206"/>
      <c r="IK12" s="206"/>
      <c r="IL12" s="206"/>
      <c r="IM12" s="206"/>
      <c r="IN12" s="206"/>
      <c r="IO12" s="206"/>
      <c r="IP12" s="206"/>
      <c r="IQ12" s="206"/>
      <c r="IR12" s="206"/>
      <c r="IS12" s="206"/>
      <c r="IT12" s="206"/>
      <c r="IU12" s="206"/>
      <c r="IV12" s="206"/>
      <c r="IW12" s="206"/>
      <c r="IX12" s="206"/>
      <c r="IY12" s="206"/>
      <c r="IZ12" s="206"/>
      <c r="JA12" s="206"/>
      <c r="JB12" s="206"/>
      <c r="JC12" s="206"/>
      <c r="JD12" s="206"/>
      <c r="JE12" s="206"/>
      <c r="JF12" s="206"/>
      <c r="JG12" s="206"/>
      <c r="JH12" s="206"/>
      <c r="JI12" s="206"/>
      <c r="JJ12" s="206"/>
      <c r="JK12" s="206"/>
      <c r="JL12" s="206"/>
    </row>
    <row r="13" spans="1:272" s="209" customFormat="1" ht="205.5" customHeight="1" x14ac:dyDescent="0.25">
      <c r="A13" s="342">
        <v>1</v>
      </c>
      <c r="B13" s="340" t="s">
        <v>476</v>
      </c>
      <c r="C13" s="321" t="s">
        <v>444</v>
      </c>
      <c r="D13" s="333" t="s">
        <v>445</v>
      </c>
      <c r="E13" s="333" t="s">
        <v>477</v>
      </c>
      <c r="F13" s="340" t="s">
        <v>478</v>
      </c>
      <c r="G13" s="321" t="s">
        <v>130</v>
      </c>
      <c r="H13" s="321" t="s">
        <v>431</v>
      </c>
      <c r="I13" s="321" t="s">
        <v>479</v>
      </c>
      <c r="J13" s="321" t="s">
        <v>471</v>
      </c>
      <c r="K13" s="321" t="s">
        <v>434</v>
      </c>
      <c r="L13" s="321" t="s">
        <v>133</v>
      </c>
      <c r="M13" s="321" t="s">
        <v>480</v>
      </c>
      <c r="N13" s="329">
        <v>83</v>
      </c>
      <c r="O13" s="326" t="str">
        <f>IF(N13&lt;=0,"",IF(N13&lt;=2,"Muy Baja",IF(N13&lt;=24,"Baja",IF(N13&lt;=500,"Media",IF(N13&lt;=5000,"Alta","Muy Alta")))))</f>
        <v>Media</v>
      </c>
      <c r="P13" s="325">
        <f>IF(O13="","",IF(O13="Muy Baja",0.2,IF(O13="Baja",0.4,IF(O13="Media",0.6,IF(O13="Alta",0.8,IF(O13="Muy Alta",1,))))))</f>
        <v>0.6</v>
      </c>
      <c r="Q13" s="315" t="s">
        <v>253</v>
      </c>
      <c r="R13" s="325" t="str">
        <f>IF(NOT(ISERROR(MATCH(Q13,'Tabla Impacto'!$B$222:$B$224,0))),'Tabla Impacto'!$F$224&amp;"Por favor no seleccionar los criterios de impacto(Afectación Económica o presupuestal y Pérdida Reputacional)",Q13)</f>
        <v xml:space="preserve">     El riesgo afecta la imagen de la entidad con algunos usuarios de relevancia frente al logro de los objetivos</v>
      </c>
      <c r="S13" s="326" t="str">
        <f>IF(OR(R13='Tabla Impacto'!$C$12,R13='Tabla Impacto'!$D$12),"Leve",IF(OR(R13='Tabla Impacto'!$C$13,R13='Tabla Impacto'!$D$13),"Menor",IF(OR(R13='Tabla Impacto'!$C$14,R13='Tabla Impacto'!$D$14),"Moderado",IF(OR(R13='Tabla Impacto'!$C$15,R13='Tabla Impacto'!$D$15),"Mayor",IF(OR(R13='Tabla Impacto'!$C$16,R13='Tabla Impacto'!$D$16),"Catastrófico","")))))</f>
        <v>Moderado</v>
      </c>
      <c r="T13" s="325">
        <f>IF(S13="","",IF(S13="Leve",0.2,IF(S13="Menor",0.4,IF(S13="Moderado",0.6,IF(S13="Mayor",0.8,IF(S13="Catastrófico",1,))))))</f>
        <v>0.6</v>
      </c>
      <c r="U13" s="324"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Moderado</v>
      </c>
      <c r="V13" s="208">
        <v>1</v>
      </c>
      <c r="W13" s="261" t="s">
        <v>446</v>
      </c>
      <c r="X13" s="183" t="str">
        <f t="shared" ref="X13:X16" si="0">IF(OR(Y13="Preventivo",Y13="Detectivo"),"Probabilidad",IF(Y13="Correctivo","Impacto",""))</f>
        <v>Probabilidad</v>
      </c>
      <c r="Y13" s="184" t="s">
        <v>259</v>
      </c>
      <c r="Z13" s="184" t="s">
        <v>255</v>
      </c>
      <c r="AA13" s="185" t="str">
        <f>IF(AND(Y13="Preventivo",Z13="Automático"),"50%",IF(AND(Y13="Preventivo",Z13="Manual"),"40%",IF(AND(Y13="Detectivo",Z13="Automático"),"40%",IF(AND(Y13="Detectivo",Z13="Manual"),"30%",IF(AND(Y13="Correctivo",Z13="Automático"),"35%",IF(AND(Y13="Correctivo",Z13="Manual"),"25%",""))))))</f>
        <v>30%</v>
      </c>
      <c r="AB13" s="184" t="s">
        <v>256</v>
      </c>
      <c r="AC13" s="184" t="s">
        <v>257</v>
      </c>
      <c r="AD13" s="184" t="s">
        <v>258</v>
      </c>
      <c r="AE13" s="186">
        <f>IFERROR(IF(X13="Probabilidad",(P13-(+P13*AA13)),IF(X13="Impacto",P13,"")),"")</f>
        <v>0.42</v>
      </c>
      <c r="AF13" s="187" t="str">
        <f>IFERROR(IF(AE13="","",IF(AE13&lt;=0.2,"Muy Baja",IF(AE13&lt;=0.4,"Baja",IF(AE13&lt;=0.6,"Media",IF(AE13&lt;=0.8,"Alta","Muy Alta"))))),"")</f>
        <v>Media</v>
      </c>
      <c r="AG13" s="185">
        <f>+AE13</f>
        <v>0.42</v>
      </c>
      <c r="AH13" s="187" t="str">
        <f>IFERROR(IF(AI13="","",IF(AI13&lt;=0.2,"Leve",IF(AI13&lt;=0.4,"Menor",IF(AI13&lt;=0.6,"Moderado",IF(AI13&lt;=0.8,"Mayor","Catastrófico"))))),"")</f>
        <v>Moderado</v>
      </c>
      <c r="AI13" s="185">
        <f>IFERROR(IF(X13="Impacto",(T13-(+T13*AA13)),IF(X13="Probabilidad",T13,"")),"")</f>
        <v>0.6</v>
      </c>
      <c r="AJ13" s="188"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Moderado</v>
      </c>
      <c r="AK13" s="189" t="s">
        <v>123</v>
      </c>
      <c r="AL13" s="262" t="s">
        <v>448</v>
      </c>
      <c r="AM13" s="180" t="s">
        <v>438</v>
      </c>
      <c r="AN13" s="180" t="s">
        <v>449</v>
      </c>
      <c r="AO13" s="191">
        <v>45199</v>
      </c>
      <c r="AP13" s="341" t="s">
        <v>440</v>
      </c>
      <c r="AQ13" s="341" t="s">
        <v>441</v>
      </c>
      <c r="AR13" s="341" t="s">
        <v>442</v>
      </c>
    </row>
    <row r="14" spans="1:272" ht="205.5" customHeight="1" x14ac:dyDescent="0.2">
      <c r="A14" s="342"/>
      <c r="B14" s="340"/>
      <c r="C14" s="322"/>
      <c r="D14" s="334"/>
      <c r="E14" s="334"/>
      <c r="F14" s="340"/>
      <c r="G14" s="322"/>
      <c r="H14" s="322"/>
      <c r="I14" s="322"/>
      <c r="J14" s="322"/>
      <c r="K14" s="322"/>
      <c r="L14" s="322"/>
      <c r="M14" s="322"/>
      <c r="N14" s="329"/>
      <c r="O14" s="326"/>
      <c r="P14" s="325"/>
      <c r="Q14" s="315"/>
      <c r="R14" s="325">
        <f>IF(NOT(ISERROR(MATCH(Q14,_xlfn.ANCHORARRAY(E25),0))),P27&amp;"Por favor no seleccionar los criterios de impacto",Q14)</f>
        <v>0</v>
      </c>
      <c r="S14" s="326"/>
      <c r="T14" s="325"/>
      <c r="U14" s="324"/>
      <c r="V14" s="208">
        <v>2</v>
      </c>
      <c r="W14" s="193" t="s">
        <v>447</v>
      </c>
      <c r="X14" s="183" t="str">
        <f t="shared" si="0"/>
        <v>Probabilidad</v>
      </c>
      <c r="Y14" s="184" t="s">
        <v>259</v>
      </c>
      <c r="Z14" s="184" t="s">
        <v>255</v>
      </c>
      <c r="AA14" s="185" t="str">
        <f t="shared" ref="AA14:AA18" si="1">IF(AND(Y14="Preventivo",Z14="Automático"),"50%",IF(AND(Y14="Preventivo",Z14="Manual"),"40%",IF(AND(Y14="Detectivo",Z14="Automático"),"40%",IF(AND(Y14="Detectivo",Z14="Manual"),"30%",IF(AND(Y14="Correctivo",Z14="Automático"),"35%",IF(AND(Y14="Correctivo",Z14="Manual"),"25%",""))))))</f>
        <v>30%</v>
      </c>
      <c r="AB14" s="184" t="s">
        <v>256</v>
      </c>
      <c r="AC14" s="184" t="s">
        <v>257</v>
      </c>
      <c r="AD14" s="184" t="s">
        <v>258</v>
      </c>
      <c r="AE14" s="186">
        <f>IFERROR(IF(AND(X13="Probabilidad",X14="Probabilidad"),(AG13-(+AG13*AA14)),IF(X14="Probabilidad",(P13-(+P13*AA14)),IF(X14="Impacto",AG13,""))),"")</f>
        <v>0.29399999999999998</v>
      </c>
      <c r="AF14" s="187" t="str">
        <f t="shared" ref="AF14:AF72" si="2">IFERROR(IF(AE14="","",IF(AE14&lt;=0.2,"Muy Baja",IF(AE14&lt;=0.4,"Baja",IF(AE14&lt;=0.6,"Media",IF(AE14&lt;=0.8,"Alta","Muy Alta"))))),"")</f>
        <v>Baja</v>
      </c>
      <c r="AG14" s="185">
        <f t="shared" ref="AG14:AG18" si="3">+AE14</f>
        <v>0.29399999999999998</v>
      </c>
      <c r="AH14" s="187" t="str">
        <f t="shared" ref="AH14:AH72" si="4">IFERROR(IF(AI14="","",IF(AI14&lt;=0.2,"Leve",IF(AI14&lt;=0.4,"Menor",IF(AI14&lt;=0.6,"Moderado",IF(AI14&lt;=0.8,"Mayor","Catastrófico"))))),"")</f>
        <v>Moderado</v>
      </c>
      <c r="AI14" s="185">
        <f>IFERROR(IF(AND(X13="Impacto",X14="Impacto"),(AI13-(+AI13*AA14)),IF(X14="Impacto",($T$13-(+$T$13*AA14)),IF(X14="Probabilidad",AI13,""))),"")</f>
        <v>0.6</v>
      </c>
      <c r="AJ14" s="188" t="str">
        <f t="shared" ref="AJ14:AJ18" si="5">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Moderado</v>
      </c>
      <c r="AK14" s="189" t="s">
        <v>123</v>
      </c>
      <c r="AL14" s="180"/>
      <c r="AM14" s="190"/>
      <c r="AN14" s="180"/>
      <c r="AO14" s="191"/>
      <c r="AP14" s="322"/>
      <c r="AQ14" s="322"/>
      <c r="AR14" s="322"/>
    </row>
    <row r="15" spans="1:272" x14ac:dyDescent="0.2">
      <c r="A15" s="342"/>
      <c r="B15" s="340"/>
      <c r="C15" s="322"/>
      <c r="D15" s="334"/>
      <c r="E15" s="334"/>
      <c r="F15" s="340"/>
      <c r="G15" s="322"/>
      <c r="H15" s="322"/>
      <c r="I15" s="322"/>
      <c r="J15" s="322"/>
      <c r="K15" s="322"/>
      <c r="L15" s="322"/>
      <c r="M15" s="322"/>
      <c r="N15" s="329"/>
      <c r="O15" s="326"/>
      <c r="P15" s="325"/>
      <c r="Q15" s="315"/>
      <c r="R15" s="325">
        <f>IF(NOT(ISERROR(MATCH(Q15,_xlfn.ANCHORARRAY(E26),0))),P28&amp;"Por favor no seleccionar los criterios de impacto",Q15)</f>
        <v>0</v>
      </c>
      <c r="S15" s="326"/>
      <c r="T15" s="325"/>
      <c r="U15" s="324"/>
      <c r="V15" s="208">
        <v>3</v>
      </c>
      <c r="W15" s="182"/>
      <c r="X15" s="183" t="str">
        <f t="shared" si="0"/>
        <v/>
      </c>
      <c r="Y15" s="184"/>
      <c r="Z15" s="184"/>
      <c r="AA15" s="185" t="str">
        <f t="shared" si="1"/>
        <v/>
      </c>
      <c r="AB15" s="184"/>
      <c r="AC15" s="184"/>
      <c r="AD15" s="184"/>
      <c r="AE15" s="186" t="str">
        <f>IFERROR(IF(AND(X14="Probabilidad",X15="Probabilidad"),(AG14-(+AG14*AA15)),IF(AND(X14="Impacto",X15="Probabilidad"),(AG13-(+AG13*AA15)),IF(X15="Impacto",AG14,""))),"")</f>
        <v/>
      </c>
      <c r="AF15" s="187" t="str">
        <f t="shared" si="2"/>
        <v/>
      </c>
      <c r="AG15" s="185" t="str">
        <f t="shared" si="3"/>
        <v/>
      </c>
      <c r="AH15" s="187" t="str">
        <f t="shared" si="4"/>
        <v/>
      </c>
      <c r="AI15" s="185" t="str">
        <f>IFERROR(IF(AND(X14="Impacto",X15="Impacto"),(AI14-(+AI14*AA15)),IF(AND(X14="Probabilidad",X15="Impacto"),(AI13-(+AI13*AA15)),IF(X15="Probabilidad",AI14,""))),"")</f>
        <v/>
      </c>
      <c r="AJ15" s="188" t="str">
        <f t="shared" si="5"/>
        <v/>
      </c>
      <c r="AK15" s="189"/>
      <c r="AL15" s="180"/>
      <c r="AM15" s="190"/>
      <c r="AN15" s="190"/>
      <c r="AO15" s="191"/>
      <c r="AP15" s="322"/>
      <c r="AQ15" s="322"/>
      <c r="AR15" s="322"/>
    </row>
    <row r="16" spans="1:272" x14ac:dyDescent="0.2">
      <c r="A16" s="342"/>
      <c r="B16" s="340"/>
      <c r="C16" s="322"/>
      <c r="D16" s="334"/>
      <c r="E16" s="334"/>
      <c r="F16" s="340"/>
      <c r="G16" s="322"/>
      <c r="H16" s="322"/>
      <c r="I16" s="322"/>
      <c r="J16" s="322"/>
      <c r="K16" s="322"/>
      <c r="L16" s="322"/>
      <c r="M16" s="322"/>
      <c r="N16" s="329"/>
      <c r="O16" s="326"/>
      <c r="P16" s="325"/>
      <c r="Q16" s="315"/>
      <c r="R16" s="325">
        <f>IF(NOT(ISERROR(MATCH(Q16,_xlfn.ANCHORARRAY(E27),0))),P29&amp;"Por favor no seleccionar los criterios de impacto",Q16)</f>
        <v>0</v>
      </c>
      <c r="S16" s="326"/>
      <c r="T16" s="325"/>
      <c r="U16" s="324"/>
      <c r="V16" s="208">
        <v>4</v>
      </c>
      <c r="W16" s="181"/>
      <c r="X16" s="183" t="str">
        <f t="shared" si="0"/>
        <v/>
      </c>
      <c r="Y16" s="184"/>
      <c r="Z16" s="184"/>
      <c r="AA16" s="185" t="str">
        <f t="shared" si="1"/>
        <v/>
      </c>
      <c r="AB16" s="184"/>
      <c r="AC16" s="184"/>
      <c r="AD16" s="184"/>
      <c r="AE16" s="186" t="str">
        <f t="shared" ref="AE16:AE18" si="6">IFERROR(IF(AND(X15="Probabilidad",X16="Probabilidad"),(AG15-(+AG15*AA16)),IF(AND(X15="Impacto",X16="Probabilidad"),(AG14-(+AG14*AA16)),IF(X16="Impacto",AG15,""))),"")</f>
        <v/>
      </c>
      <c r="AF16" s="187" t="str">
        <f t="shared" si="2"/>
        <v/>
      </c>
      <c r="AG16" s="185" t="str">
        <f t="shared" si="3"/>
        <v/>
      </c>
      <c r="AH16" s="187" t="str">
        <f t="shared" si="4"/>
        <v/>
      </c>
      <c r="AI16" s="185" t="str">
        <f t="shared" ref="AI16:AI18" si="7">IFERROR(IF(AND(X15="Impacto",X16="Impacto"),(AI15-(+AI15*AA16)),IF(AND(X15="Probabilidad",X16="Impacto"),(AI14-(+AI14*AA16)),IF(X16="Probabilidad",AI15,""))),"")</f>
        <v/>
      </c>
      <c r="AJ16" s="188" t="str">
        <f>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
      </c>
      <c r="AK16" s="189"/>
      <c r="AL16" s="180"/>
      <c r="AM16" s="190"/>
      <c r="AN16" s="190"/>
      <c r="AO16" s="191"/>
      <c r="AP16" s="322"/>
      <c r="AQ16" s="322"/>
      <c r="AR16" s="322"/>
    </row>
    <row r="17" spans="1:44" x14ac:dyDescent="0.2">
      <c r="A17" s="342"/>
      <c r="B17" s="340"/>
      <c r="C17" s="322"/>
      <c r="D17" s="334"/>
      <c r="E17" s="334"/>
      <c r="F17" s="340"/>
      <c r="G17" s="322"/>
      <c r="H17" s="322"/>
      <c r="I17" s="322"/>
      <c r="J17" s="322"/>
      <c r="K17" s="322"/>
      <c r="L17" s="322"/>
      <c r="M17" s="322"/>
      <c r="N17" s="329"/>
      <c r="O17" s="326"/>
      <c r="P17" s="325"/>
      <c r="Q17" s="315"/>
      <c r="R17" s="325">
        <f>IF(NOT(ISERROR(MATCH(Q17,_xlfn.ANCHORARRAY(E28),0))),P30&amp;"Por favor no seleccionar los criterios de impacto",Q17)</f>
        <v>0</v>
      </c>
      <c r="S17" s="326"/>
      <c r="T17" s="325"/>
      <c r="U17" s="324"/>
      <c r="V17" s="208">
        <v>5</v>
      </c>
      <c r="W17" s="181"/>
      <c r="X17" s="183" t="str">
        <f t="shared" ref="X17:X18" si="8">IF(OR(Y17="Preventivo",Y17="Detectivo"),"Probabilidad",IF(Y17="Correctivo","Impacto",""))</f>
        <v/>
      </c>
      <c r="Y17" s="184"/>
      <c r="Z17" s="184"/>
      <c r="AA17" s="185" t="str">
        <f t="shared" si="1"/>
        <v/>
      </c>
      <c r="AB17" s="184"/>
      <c r="AC17" s="184"/>
      <c r="AD17" s="184"/>
      <c r="AE17" s="186" t="str">
        <f t="shared" si="6"/>
        <v/>
      </c>
      <c r="AF17" s="187" t="str">
        <f t="shared" si="2"/>
        <v/>
      </c>
      <c r="AG17" s="185" t="str">
        <f t="shared" si="3"/>
        <v/>
      </c>
      <c r="AH17" s="187" t="str">
        <f t="shared" si="4"/>
        <v/>
      </c>
      <c r="AI17" s="185" t="str">
        <f t="shared" si="7"/>
        <v/>
      </c>
      <c r="AJ17" s="188" t="str">
        <f t="shared" si="5"/>
        <v/>
      </c>
      <c r="AK17" s="189"/>
      <c r="AL17" s="180"/>
      <c r="AM17" s="190"/>
      <c r="AN17" s="190"/>
      <c r="AO17" s="191"/>
      <c r="AP17" s="322"/>
      <c r="AQ17" s="322"/>
      <c r="AR17" s="322"/>
    </row>
    <row r="18" spans="1:44" x14ac:dyDescent="0.2">
      <c r="A18" s="342"/>
      <c r="B18" s="340"/>
      <c r="C18" s="323"/>
      <c r="D18" s="335"/>
      <c r="E18" s="335"/>
      <c r="F18" s="340"/>
      <c r="G18" s="323"/>
      <c r="H18" s="323"/>
      <c r="I18" s="323"/>
      <c r="J18" s="323"/>
      <c r="K18" s="323"/>
      <c r="L18" s="323"/>
      <c r="M18" s="323"/>
      <c r="N18" s="329"/>
      <c r="O18" s="326"/>
      <c r="P18" s="325"/>
      <c r="Q18" s="315"/>
      <c r="R18" s="325">
        <f>IF(NOT(ISERROR(MATCH(Q18,_xlfn.ANCHORARRAY(E29),0))),P31&amp;"Por favor no seleccionar los criterios de impacto",Q18)</f>
        <v>0</v>
      </c>
      <c r="S18" s="326"/>
      <c r="T18" s="325"/>
      <c r="U18" s="324"/>
      <c r="V18" s="208">
        <v>6</v>
      </c>
      <c r="W18" s="181"/>
      <c r="X18" s="183" t="str">
        <f t="shared" si="8"/>
        <v/>
      </c>
      <c r="Y18" s="184"/>
      <c r="Z18" s="184"/>
      <c r="AA18" s="185" t="str">
        <f t="shared" si="1"/>
        <v/>
      </c>
      <c r="AB18" s="184"/>
      <c r="AC18" s="184"/>
      <c r="AD18" s="184"/>
      <c r="AE18" s="186" t="str">
        <f t="shared" si="6"/>
        <v/>
      </c>
      <c r="AF18" s="187" t="str">
        <f t="shared" si="2"/>
        <v/>
      </c>
      <c r="AG18" s="185" t="str">
        <f t="shared" si="3"/>
        <v/>
      </c>
      <c r="AH18" s="187" t="str">
        <f t="shared" si="4"/>
        <v/>
      </c>
      <c r="AI18" s="185" t="str">
        <f t="shared" si="7"/>
        <v/>
      </c>
      <c r="AJ18" s="188" t="str">
        <f t="shared" si="5"/>
        <v/>
      </c>
      <c r="AK18" s="189"/>
      <c r="AL18" s="180"/>
      <c r="AM18" s="190"/>
      <c r="AN18" s="190"/>
      <c r="AO18" s="191"/>
      <c r="AP18" s="323"/>
      <c r="AQ18" s="323"/>
      <c r="AR18" s="323"/>
    </row>
    <row r="19" spans="1:44" ht="196.9" customHeight="1" x14ac:dyDescent="0.2">
      <c r="A19" s="342">
        <v>2</v>
      </c>
      <c r="B19" s="340" t="s">
        <v>120</v>
      </c>
      <c r="C19" s="321" t="s">
        <v>444</v>
      </c>
      <c r="D19" s="321" t="s">
        <v>450</v>
      </c>
      <c r="E19" s="321" t="s">
        <v>451</v>
      </c>
      <c r="F19" s="340" t="s">
        <v>140</v>
      </c>
      <c r="G19" s="321" t="s">
        <v>130</v>
      </c>
      <c r="H19" s="321" t="s">
        <v>431</v>
      </c>
      <c r="I19" s="321" t="s">
        <v>472</v>
      </c>
      <c r="J19" s="321" t="s">
        <v>433</v>
      </c>
      <c r="K19" s="321" t="s">
        <v>434</v>
      </c>
      <c r="L19" s="321" t="s">
        <v>137</v>
      </c>
      <c r="M19" s="321" t="s">
        <v>137</v>
      </c>
      <c r="N19" s="329">
        <v>83</v>
      </c>
      <c r="O19" s="326" t="str">
        <f>IF(N19&lt;=0,"",IF(N19&lt;=2,"Muy Baja",IF(N19&lt;=24,"Baja",IF(N19&lt;=500,"Media",IF(N19&lt;=5000,"Alta","Muy Alta")))))</f>
        <v>Media</v>
      </c>
      <c r="P19" s="325">
        <f>IF(O19="","",IF(O19="Muy Baja",0.2,IF(O19="Baja",0.4,IF(O19="Media",0.6,IF(O19="Alta",0.8,IF(O19="Muy Alta",1,))))))</f>
        <v>0.6</v>
      </c>
      <c r="Q19" s="315" t="s">
        <v>253</v>
      </c>
      <c r="R19" s="325" t="str">
        <f>IF(NOT(ISERROR(MATCH(Q19,'Tabla Impacto'!$B$222:$B$224,0))),'Tabla Impacto'!$F$224&amp;"Por favor no seleccionar los criterios de impacto(Afectación Económica o presupuestal y Pérdida Reputacional)",Q19)</f>
        <v xml:space="preserve">     El riesgo afecta la imagen de la entidad con algunos usuarios de relevancia frente al logro de los objetivos</v>
      </c>
      <c r="S19" s="326" t="str">
        <f>IF(OR(R19='Tabla Impacto'!$C$12,R19='Tabla Impacto'!$D$12),"Leve",IF(OR(R19='Tabla Impacto'!$C$13,R19='Tabla Impacto'!$D$13),"Menor",IF(OR(R19='Tabla Impacto'!$C$14,R19='Tabla Impacto'!$D$14),"Moderado",IF(OR(R19='Tabla Impacto'!$C$15,R19='Tabla Impacto'!$D$15),"Mayor",IF(OR(R19='Tabla Impacto'!$C$16,R19='Tabla Impacto'!$D$16),"Catastrófico","")))))</f>
        <v>Moderado</v>
      </c>
      <c r="T19" s="325">
        <f>IF(S19="","",IF(S19="Leve",0.2,IF(S19="Menor",0.4,IF(S19="Moderado",0.6,IF(S19="Mayor",0.8,IF(S19="Catastrófico",1,))))))</f>
        <v>0.6</v>
      </c>
      <c r="U19" s="324"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Moderado</v>
      </c>
      <c r="V19" s="208">
        <v>1</v>
      </c>
      <c r="W19" s="181" t="s">
        <v>452</v>
      </c>
      <c r="X19" s="183" t="str">
        <f>IF(OR(Y19="Preventivo",Y19="Detectivo"),"Probabilidad",IF(Y19="Correctivo","Impacto",""))</f>
        <v>Probabilidad</v>
      </c>
      <c r="Y19" s="184" t="s">
        <v>259</v>
      </c>
      <c r="Z19" s="184" t="s">
        <v>255</v>
      </c>
      <c r="AA19" s="185" t="str">
        <f>IF(AND(Y19="Preventivo",Z19="Automático"),"50%",IF(AND(Y19="Preventivo",Z19="Manual"),"40%",IF(AND(Y19="Detectivo",Z19="Automático"),"40%",IF(AND(Y19="Detectivo",Z19="Manual"),"30%",IF(AND(Y19="Correctivo",Z19="Automático"),"35%",IF(AND(Y19="Correctivo",Z19="Manual"),"25%",""))))))</f>
        <v>30%</v>
      </c>
      <c r="AB19" s="184" t="s">
        <v>256</v>
      </c>
      <c r="AC19" s="184" t="s">
        <v>257</v>
      </c>
      <c r="AD19" s="184"/>
      <c r="AE19" s="186">
        <f>IFERROR(IF(X19="Probabilidad",(P19-(+P19*AA19)),IF(X19="Impacto",P19,"")),"")</f>
        <v>0.42</v>
      </c>
      <c r="AF19" s="187" t="str">
        <f>IFERROR(IF(AE19="","",IF(AE19&lt;=0.2,"Muy Baja",IF(AE19&lt;=0.4,"Baja",IF(AE19&lt;=0.6,"Media",IF(AE19&lt;=0.8,"Alta","Muy Alta"))))),"")</f>
        <v>Media</v>
      </c>
      <c r="AG19" s="185">
        <f>+AE19</f>
        <v>0.42</v>
      </c>
      <c r="AH19" s="187" t="str">
        <f>IFERROR(IF(AI19="","",IF(AI19&lt;=0.2,"Leve",IF(AI19&lt;=0.4,"Menor",IF(AI19&lt;=0.6,"Moderado",IF(AI19&lt;=0.8,"Mayor","Catastrófico"))))),"")</f>
        <v>Moderado</v>
      </c>
      <c r="AI19" s="185">
        <f t="shared" ref="AI19" si="9">IFERROR(IF(X19="Impacto",(T19-(+T19*AA19)),IF(X19="Probabilidad",T19,"")),"")</f>
        <v>0.6</v>
      </c>
      <c r="AJ19" s="188" t="str">
        <f>IFERROR(IF(OR(AND(AF19="Muy Baja",AH19="Leve"),AND(AF19="Muy Baja",AH19="Menor"),AND(AF19="Baja",AH19="Leve")),"Bajo",IF(OR(AND(AF19="Muy baja",AH19="Moderado"),AND(AF19="Baja",AH19="Menor"),AND(AF19="Baja",AH19="Moderado"),AND(AF19="Media",AH19="Leve"),AND(AF19="Media",AH19="Menor"),AND(AF19="Media",AH19="Moderado"),AND(AF19="Alta",AH19="Leve"),AND(AF19="Alta",AH19="Menor")),"Moderado",IF(OR(AND(AF19="Muy Baja",AH19="Mayor"),AND(AF19="Baja",AH19="Mayor"),AND(AF19="Media",AH19="Mayor"),AND(AF19="Alta",AH19="Moderado"),AND(AF19="Alta",AH19="Mayor"),AND(AF19="Muy Alta",AH19="Leve"),AND(AF19="Muy Alta",AH19="Menor"),AND(AF19="Muy Alta",AH19="Moderado"),AND(AF19="Muy Alta",AH19="Mayor")),"Alto",IF(OR(AND(AF19="Muy Baja",AH19="Catastrófico"),AND(AF19="Baja",AH19="Catastrófico"),AND(AF19="Media",AH19="Catastrófico"),AND(AF19="Alta",AH19="Catastrófico"),AND(AF19="Muy Alta",AH19="Catastrófico")),"Extremo","")))),"")</f>
        <v>Moderado</v>
      </c>
      <c r="AK19" s="189" t="s">
        <v>123</v>
      </c>
      <c r="AL19" s="180" t="s">
        <v>453</v>
      </c>
      <c r="AM19" s="180" t="s">
        <v>438</v>
      </c>
      <c r="AN19" s="180" t="s">
        <v>449</v>
      </c>
      <c r="AO19" s="263">
        <v>45199</v>
      </c>
      <c r="AP19" s="321" t="s">
        <v>454</v>
      </c>
      <c r="AQ19" s="321" t="s">
        <v>455</v>
      </c>
      <c r="AR19" s="321" t="s">
        <v>442</v>
      </c>
    </row>
    <row r="20" spans="1:44" ht="196.9" customHeight="1" x14ac:dyDescent="0.2">
      <c r="A20" s="342"/>
      <c r="B20" s="340"/>
      <c r="C20" s="322"/>
      <c r="D20" s="322"/>
      <c r="E20" s="322"/>
      <c r="F20" s="340"/>
      <c r="G20" s="322"/>
      <c r="H20" s="322"/>
      <c r="I20" s="322"/>
      <c r="J20" s="322"/>
      <c r="K20" s="322"/>
      <c r="L20" s="322"/>
      <c r="M20" s="322"/>
      <c r="N20" s="329"/>
      <c r="O20" s="326"/>
      <c r="P20" s="325"/>
      <c r="Q20" s="315"/>
      <c r="R20" s="325">
        <f>IF(NOT(ISERROR(MATCH(Q20,_xlfn.ANCHORARRAY(E31),0))),P33&amp;"Por favor no seleccionar los criterios de impacto",Q20)</f>
        <v>0</v>
      </c>
      <c r="S20" s="326"/>
      <c r="T20" s="325"/>
      <c r="U20" s="324"/>
      <c r="V20" s="208">
        <v>2</v>
      </c>
      <c r="W20" s="181"/>
      <c r="X20" s="183" t="str">
        <f>IF(OR(Y20="Preventivo",Y20="Detectivo"),"Probabilidad",IF(Y20="Correctivo","Impacto",""))</f>
        <v/>
      </c>
      <c r="Y20" s="184"/>
      <c r="Z20" s="184"/>
      <c r="AA20" s="185" t="str">
        <f t="shared" ref="AA20:AA24" si="10">IF(AND(Y20="Preventivo",Z20="Automático"),"50%",IF(AND(Y20="Preventivo",Z20="Manual"),"40%",IF(AND(Y20="Detectivo",Z20="Automático"),"40%",IF(AND(Y20="Detectivo",Z20="Manual"),"30%",IF(AND(Y20="Correctivo",Z20="Automático"),"35%",IF(AND(Y20="Correctivo",Z20="Manual"),"25%",""))))))</f>
        <v/>
      </c>
      <c r="AB20" s="184"/>
      <c r="AC20" s="184"/>
      <c r="AD20" s="184"/>
      <c r="AE20" s="186" t="str">
        <f>IFERROR(IF(AND(X19="Probabilidad",X20="Probabilidad"),(AG19-(+AG19*AA20)),IF(X20="Probabilidad",(P19-(+P19*AA20)),IF(X20="Impacto",AG19,""))),"")</f>
        <v/>
      </c>
      <c r="AF20" s="187" t="str">
        <f t="shared" si="2"/>
        <v/>
      </c>
      <c r="AG20" s="185" t="str">
        <f t="shared" ref="AG20:AG24" si="11">+AE20</f>
        <v/>
      </c>
      <c r="AH20" s="187" t="str">
        <f t="shared" si="4"/>
        <v/>
      </c>
      <c r="AI20" s="185" t="str">
        <f t="shared" ref="AI20" si="12">IFERROR(IF(AND(X19="Impacto",X20="Impacto"),(AI19-(+AI19*AA20)),IF(X20="Impacto",($T$13-(+$T$13*AA20)),IF(X20="Probabilidad",AI19,""))),"")</f>
        <v/>
      </c>
      <c r="AJ20" s="188" t="str">
        <f t="shared" ref="AJ20:AJ21" si="13">IFERROR(IF(OR(AND(AF20="Muy Baja",AH20="Leve"),AND(AF20="Muy Baja",AH20="Menor"),AND(AF20="Baja",AH20="Leve")),"Bajo",IF(OR(AND(AF20="Muy baja",AH20="Moderado"),AND(AF20="Baja",AH20="Menor"),AND(AF20="Baja",AH20="Moderado"),AND(AF20="Media",AH20="Leve"),AND(AF20="Media",AH20="Menor"),AND(AF20="Media",AH20="Moderado"),AND(AF20="Alta",AH20="Leve"),AND(AF20="Alta",AH20="Menor")),"Moderado",IF(OR(AND(AF20="Muy Baja",AH20="Mayor"),AND(AF20="Baja",AH20="Mayor"),AND(AF20="Media",AH20="Mayor"),AND(AF20="Alta",AH20="Moderado"),AND(AF20="Alta",AH20="Mayor"),AND(AF20="Muy Alta",AH20="Leve"),AND(AF20="Muy Alta",AH20="Menor"),AND(AF20="Muy Alta",AH20="Moderado"),AND(AF20="Muy Alta",AH20="Mayor")),"Alto",IF(OR(AND(AF20="Muy Baja",AH20="Catastrófico"),AND(AF20="Baja",AH20="Catastrófico"),AND(AF20="Media",AH20="Catastrófico"),AND(AF20="Alta",AH20="Catastrófico"),AND(AF20="Muy Alta",AH20="Catastrófico")),"Extremo","")))),"")</f>
        <v/>
      </c>
      <c r="AK20" s="189"/>
      <c r="AL20" s="180"/>
      <c r="AM20" s="190"/>
      <c r="AN20" s="180"/>
      <c r="AO20" s="191"/>
      <c r="AP20" s="322"/>
      <c r="AQ20" s="322"/>
      <c r="AR20" s="322"/>
    </row>
    <row r="21" spans="1:44" x14ac:dyDescent="0.2">
      <c r="A21" s="342"/>
      <c r="B21" s="340"/>
      <c r="C21" s="322"/>
      <c r="D21" s="322"/>
      <c r="E21" s="322"/>
      <c r="F21" s="340"/>
      <c r="G21" s="322"/>
      <c r="H21" s="322"/>
      <c r="I21" s="322"/>
      <c r="J21" s="322"/>
      <c r="K21" s="322"/>
      <c r="L21" s="322"/>
      <c r="M21" s="322"/>
      <c r="N21" s="329"/>
      <c r="O21" s="326"/>
      <c r="P21" s="325"/>
      <c r="Q21" s="315"/>
      <c r="R21" s="325">
        <f>IF(NOT(ISERROR(MATCH(Q21,_xlfn.ANCHORARRAY(E32),0))),P34&amp;"Por favor no seleccionar los criterios de impacto",Q21)</f>
        <v>0</v>
      </c>
      <c r="S21" s="326"/>
      <c r="T21" s="325"/>
      <c r="U21" s="324"/>
      <c r="V21" s="208">
        <v>3</v>
      </c>
      <c r="W21" s="182"/>
      <c r="X21" s="183" t="str">
        <f>IF(OR(Y21="Preventivo",Y21="Detectivo"),"Probabilidad",IF(Y21="Correctivo","Impacto",""))</f>
        <v/>
      </c>
      <c r="Y21" s="184"/>
      <c r="Z21" s="184"/>
      <c r="AA21" s="185" t="str">
        <f t="shared" si="10"/>
        <v/>
      </c>
      <c r="AB21" s="184"/>
      <c r="AC21" s="184"/>
      <c r="AD21" s="184"/>
      <c r="AE21" s="186" t="str">
        <f>IFERROR(IF(AND(X20="Probabilidad",X21="Probabilidad"),(AG20-(+AG20*AA21)),IF(AND(X20="Impacto",X21="Probabilidad"),(AG19-(+AG19*AA21)),IF(X21="Impacto",AG20,""))),"")</f>
        <v/>
      </c>
      <c r="AF21" s="187" t="str">
        <f t="shared" si="2"/>
        <v/>
      </c>
      <c r="AG21" s="185" t="str">
        <f t="shared" si="11"/>
        <v/>
      </c>
      <c r="AH21" s="187" t="str">
        <f t="shared" si="4"/>
        <v/>
      </c>
      <c r="AI21" s="185" t="str">
        <f t="shared" ref="AI21:AI72" si="14">IFERROR(IF(AND(X20="Impacto",X21="Impacto"),(AI20-(+AI20*AA21)),IF(AND(X20="Probabilidad",X21="Impacto"),(AI19-(+AI19*AA21)),IF(X21="Probabilidad",AI20,""))),"")</f>
        <v/>
      </c>
      <c r="AJ21" s="188" t="str">
        <f t="shared" si="13"/>
        <v/>
      </c>
      <c r="AK21" s="189"/>
      <c r="AL21" s="180"/>
      <c r="AM21" s="190"/>
      <c r="AN21" s="190"/>
      <c r="AO21" s="191"/>
      <c r="AP21" s="322"/>
      <c r="AQ21" s="322"/>
      <c r="AR21" s="322"/>
    </row>
    <row r="22" spans="1:44" x14ac:dyDescent="0.2">
      <c r="A22" s="342"/>
      <c r="B22" s="340"/>
      <c r="C22" s="322"/>
      <c r="D22" s="322"/>
      <c r="E22" s="322"/>
      <c r="F22" s="340"/>
      <c r="G22" s="322"/>
      <c r="H22" s="322"/>
      <c r="I22" s="322"/>
      <c r="J22" s="322"/>
      <c r="K22" s="322"/>
      <c r="L22" s="322"/>
      <c r="M22" s="322"/>
      <c r="N22" s="329"/>
      <c r="O22" s="326"/>
      <c r="P22" s="325"/>
      <c r="Q22" s="315"/>
      <c r="R22" s="325">
        <f>IF(NOT(ISERROR(MATCH(Q22,_xlfn.ANCHORARRAY(E33),0))),P35&amp;"Por favor no seleccionar los criterios de impacto",Q22)</f>
        <v>0</v>
      </c>
      <c r="S22" s="326"/>
      <c r="T22" s="325"/>
      <c r="U22" s="324"/>
      <c r="V22" s="208">
        <v>4</v>
      </c>
      <c r="W22" s="181"/>
      <c r="X22" s="183" t="str">
        <f t="shared" ref="X22:X24" si="15">IF(OR(Y22="Preventivo",Y22="Detectivo"),"Probabilidad",IF(Y22="Correctivo","Impacto",""))</f>
        <v/>
      </c>
      <c r="Y22" s="184"/>
      <c r="Z22" s="184"/>
      <c r="AA22" s="185" t="str">
        <f t="shared" si="10"/>
        <v/>
      </c>
      <c r="AB22" s="184"/>
      <c r="AC22" s="184"/>
      <c r="AD22" s="184"/>
      <c r="AE22" s="186" t="str">
        <f t="shared" ref="AE22:AE24" si="16">IFERROR(IF(AND(X21="Probabilidad",X22="Probabilidad"),(AG21-(+AG21*AA22)),IF(AND(X21="Impacto",X22="Probabilidad"),(AG20-(+AG20*AA22)),IF(X22="Impacto",AG21,""))),"")</f>
        <v/>
      </c>
      <c r="AF22" s="187" t="str">
        <f t="shared" si="2"/>
        <v/>
      </c>
      <c r="AG22" s="185" t="str">
        <f t="shared" si="11"/>
        <v/>
      </c>
      <c r="AH22" s="187" t="str">
        <f t="shared" si="4"/>
        <v/>
      </c>
      <c r="AI22" s="185" t="str">
        <f t="shared" si="14"/>
        <v/>
      </c>
      <c r="AJ22" s="188" t="str">
        <f>IFERROR(IF(OR(AND(AF22="Muy Baja",AH22="Leve"),AND(AF22="Muy Baja",AH22="Menor"),AND(AF22="Baja",AH22="Leve")),"Bajo",IF(OR(AND(AF22="Muy baja",AH22="Moderado"),AND(AF22="Baja",AH22="Menor"),AND(AF22="Baja",AH22="Moderado"),AND(AF22="Media",AH22="Leve"),AND(AF22="Media",AH22="Menor"),AND(AF22="Media",AH22="Moderado"),AND(AF22="Alta",AH22="Leve"),AND(AF22="Alta",AH22="Menor")),"Moderado",IF(OR(AND(AF22="Muy Baja",AH22="Mayor"),AND(AF22="Baja",AH22="Mayor"),AND(AF22="Media",AH22="Mayor"),AND(AF22="Alta",AH22="Moderado"),AND(AF22="Alta",AH22="Mayor"),AND(AF22="Muy Alta",AH22="Leve"),AND(AF22="Muy Alta",AH22="Menor"),AND(AF22="Muy Alta",AH22="Moderado"),AND(AF22="Muy Alta",AH22="Mayor")),"Alto",IF(OR(AND(AF22="Muy Baja",AH22="Catastrófico"),AND(AF22="Baja",AH22="Catastrófico"),AND(AF22="Media",AH22="Catastrófico"),AND(AF22="Alta",AH22="Catastrófico"),AND(AF22="Muy Alta",AH22="Catastrófico")),"Extremo","")))),"")</f>
        <v/>
      </c>
      <c r="AK22" s="189"/>
      <c r="AL22" s="180"/>
      <c r="AM22" s="190"/>
      <c r="AN22" s="190"/>
      <c r="AO22" s="191"/>
      <c r="AP22" s="322"/>
      <c r="AQ22" s="322"/>
      <c r="AR22" s="322"/>
    </row>
    <row r="23" spans="1:44" x14ac:dyDescent="0.2">
      <c r="A23" s="342"/>
      <c r="B23" s="340"/>
      <c r="C23" s="322"/>
      <c r="D23" s="322"/>
      <c r="E23" s="322"/>
      <c r="F23" s="340"/>
      <c r="G23" s="322"/>
      <c r="H23" s="322"/>
      <c r="I23" s="322"/>
      <c r="J23" s="322"/>
      <c r="K23" s="322"/>
      <c r="L23" s="322"/>
      <c r="M23" s="322"/>
      <c r="N23" s="329"/>
      <c r="O23" s="326"/>
      <c r="P23" s="325"/>
      <c r="Q23" s="315"/>
      <c r="R23" s="325">
        <f>IF(NOT(ISERROR(MATCH(Q23,_xlfn.ANCHORARRAY(E34),0))),P36&amp;"Por favor no seleccionar los criterios de impacto",Q23)</f>
        <v>0</v>
      </c>
      <c r="S23" s="326"/>
      <c r="T23" s="325"/>
      <c r="U23" s="324"/>
      <c r="V23" s="208">
        <v>5</v>
      </c>
      <c r="W23" s="181"/>
      <c r="X23" s="183" t="str">
        <f t="shared" si="15"/>
        <v/>
      </c>
      <c r="Y23" s="184"/>
      <c r="Z23" s="184"/>
      <c r="AA23" s="185" t="str">
        <f t="shared" si="10"/>
        <v/>
      </c>
      <c r="AB23" s="184"/>
      <c r="AC23" s="184"/>
      <c r="AD23" s="184"/>
      <c r="AE23" s="186" t="str">
        <f t="shared" si="16"/>
        <v/>
      </c>
      <c r="AF23" s="187" t="str">
        <f t="shared" si="2"/>
        <v/>
      </c>
      <c r="AG23" s="185" t="str">
        <f t="shared" si="11"/>
        <v/>
      </c>
      <c r="AH23" s="187" t="str">
        <f t="shared" si="4"/>
        <v/>
      </c>
      <c r="AI23" s="185" t="str">
        <f t="shared" si="14"/>
        <v/>
      </c>
      <c r="AJ23" s="188" t="str">
        <f t="shared" ref="AJ23:AJ24" si="17">IFERROR(IF(OR(AND(AF23="Muy Baja",AH23="Leve"),AND(AF23="Muy Baja",AH23="Menor"),AND(AF23="Baja",AH23="Leve")),"Bajo",IF(OR(AND(AF23="Muy baja",AH23="Moderado"),AND(AF23="Baja",AH23="Menor"),AND(AF23="Baja",AH23="Moderado"),AND(AF23="Media",AH23="Leve"),AND(AF23="Media",AH23="Menor"),AND(AF23="Media",AH23="Moderado"),AND(AF23="Alta",AH23="Leve"),AND(AF23="Alta",AH23="Menor")),"Moderado",IF(OR(AND(AF23="Muy Baja",AH23="Mayor"),AND(AF23="Baja",AH23="Mayor"),AND(AF23="Media",AH23="Mayor"),AND(AF23="Alta",AH23="Moderado"),AND(AF23="Alta",AH23="Mayor"),AND(AF23="Muy Alta",AH23="Leve"),AND(AF23="Muy Alta",AH23="Menor"),AND(AF23="Muy Alta",AH23="Moderado"),AND(AF23="Muy Alta",AH23="Mayor")),"Alto",IF(OR(AND(AF23="Muy Baja",AH23="Catastrófico"),AND(AF23="Baja",AH23="Catastrófico"),AND(AF23="Media",AH23="Catastrófico"),AND(AF23="Alta",AH23="Catastrófico"),AND(AF23="Muy Alta",AH23="Catastrófico")),"Extremo","")))),"")</f>
        <v/>
      </c>
      <c r="AK23" s="189"/>
      <c r="AL23" s="180"/>
      <c r="AM23" s="190"/>
      <c r="AN23" s="190"/>
      <c r="AO23" s="191"/>
      <c r="AP23" s="322"/>
      <c r="AQ23" s="322"/>
      <c r="AR23" s="322"/>
    </row>
    <row r="24" spans="1:44" x14ac:dyDescent="0.2">
      <c r="A24" s="342"/>
      <c r="B24" s="340"/>
      <c r="C24" s="323"/>
      <c r="D24" s="323"/>
      <c r="E24" s="323"/>
      <c r="F24" s="340"/>
      <c r="G24" s="323"/>
      <c r="H24" s="323"/>
      <c r="I24" s="323"/>
      <c r="J24" s="323"/>
      <c r="K24" s="323"/>
      <c r="L24" s="323"/>
      <c r="M24" s="323"/>
      <c r="N24" s="329"/>
      <c r="O24" s="326"/>
      <c r="P24" s="325"/>
      <c r="Q24" s="315"/>
      <c r="R24" s="325">
        <f>IF(NOT(ISERROR(MATCH(Q24,_xlfn.ANCHORARRAY(E35),0))),P37&amp;"Por favor no seleccionar los criterios de impacto",Q24)</f>
        <v>0</v>
      </c>
      <c r="S24" s="326"/>
      <c r="T24" s="325"/>
      <c r="U24" s="324"/>
      <c r="V24" s="208">
        <v>6</v>
      </c>
      <c r="W24" s="181"/>
      <c r="X24" s="183" t="str">
        <f t="shared" si="15"/>
        <v/>
      </c>
      <c r="Y24" s="184"/>
      <c r="Z24" s="184"/>
      <c r="AA24" s="185" t="str">
        <f t="shared" si="10"/>
        <v/>
      </c>
      <c r="AB24" s="184"/>
      <c r="AC24" s="184"/>
      <c r="AD24" s="184"/>
      <c r="AE24" s="186" t="str">
        <f t="shared" si="16"/>
        <v/>
      </c>
      <c r="AF24" s="187" t="str">
        <f t="shared" si="2"/>
        <v/>
      </c>
      <c r="AG24" s="185" t="str">
        <f t="shared" si="11"/>
        <v/>
      </c>
      <c r="AH24" s="187" t="str">
        <f t="shared" si="4"/>
        <v/>
      </c>
      <c r="AI24" s="185" t="str">
        <f t="shared" si="14"/>
        <v/>
      </c>
      <c r="AJ24" s="188" t="str">
        <f t="shared" si="17"/>
        <v/>
      </c>
      <c r="AK24" s="189"/>
      <c r="AL24" s="180"/>
      <c r="AM24" s="190"/>
      <c r="AN24" s="190"/>
      <c r="AO24" s="191"/>
      <c r="AP24" s="323"/>
      <c r="AQ24" s="323"/>
      <c r="AR24" s="323"/>
    </row>
    <row r="25" spans="1:44" ht="157.9" customHeight="1" x14ac:dyDescent="0.2">
      <c r="A25" s="342">
        <v>3</v>
      </c>
      <c r="B25" s="340" t="s">
        <v>120</v>
      </c>
      <c r="C25" s="340" t="s">
        <v>456</v>
      </c>
      <c r="D25" s="340" t="s">
        <v>457</v>
      </c>
      <c r="E25" s="340" t="s">
        <v>458</v>
      </c>
      <c r="F25" s="340" t="s">
        <v>140</v>
      </c>
      <c r="G25" s="321" t="s">
        <v>130</v>
      </c>
      <c r="H25" s="321" t="s">
        <v>431</v>
      </c>
      <c r="I25" s="321" t="s">
        <v>467</v>
      </c>
      <c r="J25" s="321" t="s">
        <v>433</v>
      </c>
      <c r="K25" s="321" t="s">
        <v>434</v>
      </c>
      <c r="L25" s="321" t="s">
        <v>137</v>
      </c>
      <c r="M25" s="321" t="s">
        <v>137</v>
      </c>
      <c r="N25" s="329">
        <v>465</v>
      </c>
      <c r="O25" s="326" t="str">
        <f>IF(N25&lt;=0,"",IF(N25&lt;=2,"Muy Baja",IF(N25&lt;=24,"Baja",IF(N25&lt;=500,"Media",IF(N25&lt;=5000,"Alta","Muy Alta")))))</f>
        <v>Media</v>
      </c>
      <c r="P25" s="325">
        <f>IF(O25="","",IF(O25="Muy Baja",0.2,IF(O25="Baja",0.4,IF(O25="Media",0.6,IF(O25="Alta",0.8,IF(O25="Muy Alta",1,))))))</f>
        <v>0.6</v>
      </c>
      <c r="Q25" s="315" t="s">
        <v>253</v>
      </c>
      <c r="R25" s="325" t="str">
        <f>IF(NOT(ISERROR(MATCH(Q25,'Tabla Impacto'!$B$222:$B$224,0))),'Tabla Impacto'!$F$224&amp;"Por favor no seleccionar los criterios de impacto(Afectación Económica o presupuestal y Pérdida Reputacional)",Q25)</f>
        <v xml:space="preserve">     El riesgo afecta la imagen de la entidad con algunos usuarios de relevancia frente al logro de los objetivos</v>
      </c>
      <c r="S25" s="326" t="str">
        <f>IF(OR(R25='Tabla Impacto'!$C$12,R25='Tabla Impacto'!$D$12),"Leve",IF(OR(R25='Tabla Impacto'!$C$13,R25='Tabla Impacto'!$D$13),"Menor",IF(OR(R25='Tabla Impacto'!$C$14,R25='Tabla Impacto'!$D$14),"Moderado",IF(OR(R25='Tabla Impacto'!$C$15,R25='Tabla Impacto'!$D$15),"Mayor",IF(OR(R25='Tabla Impacto'!$C$16,R25='Tabla Impacto'!$D$16),"Catastrófico","")))))</f>
        <v>Moderado</v>
      </c>
      <c r="T25" s="325">
        <f>IF(S25="","",IF(S25="Leve",0.2,IF(S25="Menor",0.4,IF(S25="Moderado",0.6,IF(S25="Mayor",0.8,IF(S25="Catastrófico",1,))))))</f>
        <v>0.6</v>
      </c>
      <c r="U25" s="324"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Moderado</v>
      </c>
      <c r="V25" s="208">
        <v>1</v>
      </c>
      <c r="W25" s="181" t="s">
        <v>459</v>
      </c>
      <c r="X25" s="183" t="str">
        <f>IF(OR(Y25="Preventivo",Y25="Detectivo"),"Probabilidad",IF(Y25="Correctivo","Impacto",""))</f>
        <v>Probabilidad</v>
      </c>
      <c r="Y25" s="184" t="s">
        <v>254</v>
      </c>
      <c r="Z25" s="184" t="s">
        <v>255</v>
      </c>
      <c r="AA25" s="185" t="str">
        <f>IF(AND(Y25="Preventivo",Z25="Automático"),"50%",IF(AND(Y25="Preventivo",Z25="Manual"),"40%",IF(AND(Y25="Detectivo",Z25="Automático"),"40%",IF(AND(Y25="Detectivo",Z25="Manual"),"30%",IF(AND(Y25="Correctivo",Z25="Automático"),"35%",IF(AND(Y25="Correctivo",Z25="Manual"),"25%",""))))))</f>
        <v>40%</v>
      </c>
      <c r="AB25" s="184" t="s">
        <v>256</v>
      </c>
      <c r="AC25" s="184" t="s">
        <v>257</v>
      </c>
      <c r="AD25" s="184" t="s">
        <v>258</v>
      </c>
      <c r="AE25" s="186">
        <f>IFERROR(IF(X25="Probabilidad",(P25-(+P25*AA25)),IF(X25="Impacto",P25,"")),"")</f>
        <v>0.36</v>
      </c>
      <c r="AF25" s="187" t="str">
        <f>IFERROR(IF(AE25="","",IF(AE25&lt;=0.2,"Muy Baja",IF(AE25&lt;=0.4,"Baja",IF(AE25&lt;=0.6,"Media",IF(AE25&lt;=0.8,"Alta","Muy Alta"))))),"")</f>
        <v>Baja</v>
      </c>
      <c r="AG25" s="185">
        <f>+AE25</f>
        <v>0.36</v>
      </c>
      <c r="AH25" s="187" t="str">
        <f>IFERROR(IF(AI25="","",IF(AI25&lt;=0.2,"Leve",IF(AI25&lt;=0.4,"Menor",IF(AI25&lt;=0.6,"Moderado",IF(AI25&lt;=0.8,"Mayor","Catastrófico"))))),"")</f>
        <v>Moderado</v>
      </c>
      <c r="AI25" s="185">
        <f t="shared" ref="AI25" si="18">IFERROR(IF(X25="Impacto",(T25-(+T25*AA25)),IF(X25="Probabilidad",T25,"")),"")</f>
        <v>0.6</v>
      </c>
      <c r="AJ25" s="188" t="str">
        <f>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Moderado</v>
      </c>
      <c r="AK25" s="189" t="s">
        <v>123</v>
      </c>
      <c r="AL25" s="180" t="s">
        <v>460</v>
      </c>
      <c r="AM25" s="180" t="s">
        <v>438</v>
      </c>
      <c r="AN25" s="180" t="s">
        <v>449</v>
      </c>
      <c r="AO25" s="263">
        <v>45199</v>
      </c>
      <c r="AP25" s="340" t="s">
        <v>461</v>
      </c>
      <c r="AQ25" s="340" t="s">
        <v>462</v>
      </c>
      <c r="AR25" s="340" t="s">
        <v>463</v>
      </c>
    </row>
    <row r="26" spans="1:44" ht="157.9" customHeight="1" x14ac:dyDescent="0.2">
      <c r="A26" s="342"/>
      <c r="B26" s="340"/>
      <c r="C26" s="340"/>
      <c r="D26" s="340"/>
      <c r="E26" s="340"/>
      <c r="F26" s="340"/>
      <c r="G26" s="322"/>
      <c r="H26" s="322"/>
      <c r="I26" s="322"/>
      <c r="J26" s="322"/>
      <c r="K26" s="322"/>
      <c r="L26" s="322"/>
      <c r="M26" s="322"/>
      <c r="N26" s="329"/>
      <c r="O26" s="326"/>
      <c r="P26" s="325"/>
      <c r="Q26" s="315"/>
      <c r="R26" s="325">
        <f>IF(NOT(ISERROR(MATCH(Q26,_xlfn.ANCHORARRAY(E37),0))),P39&amp;"Por favor no seleccionar los criterios de impacto",Q26)</f>
        <v>0</v>
      </c>
      <c r="S26" s="326"/>
      <c r="T26" s="325"/>
      <c r="U26" s="324"/>
      <c r="V26" s="208">
        <v>2</v>
      </c>
      <c r="W26" s="181"/>
      <c r="X26" s="183" t="str">
        <f>IF(OR(Y26="Preventivo",Y26="Detectivo"),"Probabilidad",IF(Y26="Correctivo","Impacto",""))</f>
        <v/>
      </c>
      <c r="Y26" s="184"/>
      <c r="Z26" s="184"/>
      <c r="AA26" s="185" t="str">
        <f t="shared" ref="AA26:AA30" si="19">IF(AND(Y26="Preventivo",Z26="Automático"),"50%",IF(AND(Y26="Preventivo",Z26="Manual"),"40%",IF(AND(Y26="Detectivo",Z26="Automático"),"40%",IF(AND(Y26="Detectivo",Z26="Manual"),"30%",IF(AND(Y26="Correctivo",Z26="Automático"),"35%",IF(AND(Y26="Correctivo",Z26="Manual"),"25%",""))))))</f>
        <v/>
      </c>
      <c r="AB26" s="184"/>
      <c r="AC26" s="184"/>
      <c r="AD26" s="184"/>
      <c r="AE26" s="186" t="str">
        <f>IFERROR(IF(AND(X25="Probabilidad",X26="Probabilidad"),(AG25-(+AG25*AA26)),IF(X26="Probabilidad",(P25-(+P25*AA26)),IF(X26="Impacto",AG25,""))),"")</f>
        <v/>
      </c>
      <c r="AF26" s="187" t="str">
        <f t="shared" si="2"/>
        <v/>
      </c>
      <c r="AG26" s="185" t="str">
        <f t="shared" ref="AG26:AG30" si="20">+AE26</f>
        <v/>
      </c>
      <c r="AH26" s="187" t="str">
        <f t="shared" si="4"/>
        <v/>
      </c>
      <c r="AI26" s="185" t="str">
        <f t="shared" ref="AI26" si="21">IFERROR(IF(AND(X25="Impacto",X26="Impacto"),(AI25-(+AI25*AA26)),IF(X26="Impacto",($T$13-(+$T$13*AA26)),IF(X26="Probabilidad",AI25,""))),"")</f>
        <v/>
      </c>
      <c r="AJ26" s="188" t="str">
        <f t="shared" ref="AJ26:AJ27" si="22">IFERROR(IF(OR(AND(AF26="Muy Baja",AH26="Leve"),AND(AF26="Muy Baja",AH26="Menor"),AND(AF26="Baja",AH26="Leve")),"Bajo",IF(OR(AND(AF26="Muy baja",AH26="Moderado"),AND(AF26="Baja",AH26="Menor"),AND(AF26="Baja",AH26="Moderado"),AND(AF26="Media",AH26="Leve"),AND(AF26="Media",AH26="Menor"),AND(AF26="Media",AH26="Moderado"),AND(AF26="Alta",AH26="Leve"),AND(AF26="Alta",AH26="Menor")),"Moderado",IF(OR(AND(AF26="Muy Baja",AH26="Mayor"),AND(AF26="Baja",AH26="Mayor"),AND(AF26="Media",AH26="Mayor"),AND(AF26="Alta",AH26="Moderado"),AND(AF26="Alta",AH26="Mayor"),AND(AF26="Muy Alta",AH26="Leve"),AND(AF26="Muy Alta",AH26="Menor"),AND(AF26="Muy Alta",AH26="Moderado"),AND(AF26="Muy Alta",AH26="Mayor")),"Alto",IF(OR(AND(AF26="Muy Baja",AH26="Catastrófico"),AND(AF26="Baja",AH26="Catastrófico"),AND(AF26="Media",AH26="Catastrófico"),AND(AF26="Alta",AH26="Catastrófico"),AND(AF26="Muy Alta",AH26="Catastrófico")),"Extremo","")))),"")</f>
        <v/>
      </c>
      <c r="AK26" s="189"/>
      <c r="AL26" s="180"/>
      <c r="AM26" s="190"/>
      <c r="AN26" s="190"/>
      <c r="AO26" s="191"/>
      <c r="AP26" s="340"/>
      <c r="AQ26" s="340"/>
      <c r="AR26" s="340"/>
    </row>
    <row r="27" spans="1:44" x14ac:dyDescent="0.2">
      <c r="A27" s="342"/>
      <c r="B27" s="340"/>
      <c r="C27" s="340"/>
      <c r="D27" s="340"/>
      <c r="E27" s="340"/>
      <c r="F27" s="340"/>
      <c r="G27" s="322"/>
      <c r="H27" s="322"/>
      <c r="I27" s="322"/>
      <c r="J27" s="322"/>
      <c r="K27" s="322"/>
      <c r="L27" s="322"/>
      <c r="M27" s="322"/>
      <c r="N27" s="329"/>
      <c r="O27" s="326"/>
      <c r="P27" s="325"/>
      <c r="Q27" s="315"/>
      <c r="R27" s="325">
        <f>IF(NOT(ISERROR(MATCH(Q27,_xlfn.ANCHORARRAY(E38),0))),P40&amp;"Por favor no seleccionar los criterios de impacto",Q27)</f>
        <v>0</v>
      </c>
      <c r="S27" s="326"/>
      <c r="T27" s="325"/>
      <c r="U27" s="324"/>
      <c r="V27" s="208">
        <v>3</v>
      </c>
      <c r="W27" s="181"/>
      <c r="X27" s="183" t="str">
        <f>IF(OR(Y27="Preventivo",Y27="Detectivo"),"Probabilidad",IF(Y27="Correctivo","Impacto",""))</f>
        <v/>
      </c>
      <c r="Y27" s="184"/>
      <c r="Z27" s="184"/>
      <c r="AA27" s="185" t="str">
        <f t="shared" si="19"/>
        <v/>
      </c>
      <c r="AB27" s="184"/>
      <c r="AC27" s="184"/>
      <c r="AD27" s="184"/>
      <c r="AE27" s="186" t="str">
        <f>IFERROR(IF(AND(X26="Probabilidad",X27="Probabilidad"),(AG26-(+AG26*AA27)),IF(AND(X26="Impacto",X27="Probabilidad"),(AG25-(+AG25*AA27)),IF(X27="Impacto",AG26,""))),"")</f>
        <v/>
      </c>
      <c r="AF27" s="187" t="str">
        <f t="shared" si="2"/>
        <v/>
      </c>
      <c r="AG27" s="185" t="str">
        <f t="shared" si="20"/>
        <v/>
      </c>
      <c r="AH27" s="187" t="str">
        <f t="shared" si="4"/>
        <v/>
      </c>
      <c r="AI27" s="185" t="str">
        <f t="shared" ref="AI27" si="23">IFERROR(IF(AND(X26="Impacto",X27="Impacto"),(AI26-(+AI26*AA27)),IF(AND(X26="Probabilidad",X27="Impacto"),(AI25-(+AI25*AA27)),IF(X27="Probabilidad",AI26,""))),"")</f>
        <v/>
      </c>
      <c r="AJ27" s="188" t="str">
        <f t="shared" si="22"/>
        <v/>
      </c>
      <c r="AK27" s="189"/>
      <c r="AL27" s="180"/>
      <c r="AM27" s="190"/>
      <c r="AN27" s="190"/>
      <c r="AO27" s="191"/>
      <c r="AP27" s="340"/>
      <c r="AQ27" s="340"/>
      <c r="AR27" s="340"/>
    </row>
    <row r="28" spans="1:44" x14ac:dyDescent="0.2">
      <c r="A28" s="342"/>
      <c r="B28" s="340"/>
      <c r="C28" s="340"/>
      <c r="D28" s="340"/>
      <c r="E28" s="340"/>
      <c r="F28" s="340"/>
      <c r="G28" s="322"/>
      <c r="H28" s="322"/>
      <c r="I28" s="322"/>
      <c r="J28" s="322"/>
      <c r="K28" s="322"/>
      <c r="L28" s="322"/>
      <c r="M28" s="322"/>
      <c r="N28" s="329"/>
      <c r="O28" s="326"/>
      <c r="P28" s="325"/>
      <c r="Q28" s="315"/>
      <c r="R28" s="325">
        <f>IF(NOT(ISERROR(MATCH(Q28,_xlfn.ANCHORARRAY(E39),0))),P41&amp;"Por favor no seleccionar los criterios de impacto",Q28)</f>
        <v>0</v>
      </c>
      <c r="S28" s="326"/>
      <c r="T28" s="325"/>
      <c r="U28" s="324"/>
      <c r="V28" s="208">
        <v>4</v>
      </c>
      <c r="W28" s="181"/>
      <c r="X28" s="183" t="str">
        <f t="shared" ref="X28:X30" si="24">IF(OR(Y28="Preventivo",Y28="Detectivo"),"Probabilidad",IF(Y28="Correctivo","Impacto",""))</f>
        <v/>
      </c>
      <c r="Y28" s="184"/>
      <c r="Z28" s="184"/>
      <c r="AA28" s="185" t="str">
        <f t="shared" si="19"/>
        <v/>
      </c>
      <c r="AB28" s="184"/>
      <c r="AC28" s="184"/>
      <c r="AD28" s="184"/>
      <c r="AE28" s="186" t="str">
        <f t="shared" ref="AE28:AE30" si="25">IFERROR(IF(AND(X27="Probabilidad",X28="Probabilidad"),(AG27-(+AG27*AA28)),IF(AND(X27="Impacto",X28="Probabilidad"),(AG26-(+AG26*AA28)),IF(X28="Impacto",AG27,""))),"")</f>
        <v/>
      </c>
      <c r="AF28" s="187" t="str">
        <f t="shared" si="2"/>
        <v/>
      </c>
      <c r="AG28" s="185" t="str">
        <f t="shared" si="20"/>
        <v/>
      </c>
      <c r="AH28" s="187" t="str">
        <f t="shared" si="4"/>
        <v/>
      </c>
      <c r="AI28" s="185" t="str">
        <f t="shared" si="14"/>
        <v/>
      </c>
      <c r="AJ28" s="188" t="str">
        <f>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
      </c>
      <c r="AK28" s="189"/>
      <c r="AL28" s="180"/>
      <c r="AM28" s="190"/>
      <c r="AN28" s="190"/>
      <c r="AO28" s="191"/>
      <c r="AP28" s="340"/>
      <c r="AQ28" s="340"/>
      <c r="AR28" s="340"/>
    </row>
    <row r="29" spans="1:44" x14ac:dyDescent="0.2">
      <c r="A29" s="342"/>
      <c r="B29" s="340"/>
      <c r="C29" s="340"/>
      <c r="D29" s="340"/>
      <c r="E29" s="340"/>
      <c r="F29" s="340"/>
      <c r="G29" s="322"/>
      <c r="H29" s="322"/>
      <c r="I29" s="322"/>
      <c r="J29" s="322"/>
      <c r="K29" s="322"/>
      <c r="L29" s="322"/>
      <c r="M29" s="322"/>
      <c r="N29" s="329"/>
      <c r="O29" s="326"/>
      <c r="P29" s="325"/>
      <c r="Q29" s="315"/>
      <c r="R29" s="325">
        <f>IF(NOT(ISERROR(MATCH(Q29,_xlfn.ANCHORARRAY(E40),0))),P42&amp;"Por favor no seleccionar los criterios de impacto",Q29)</f>
        <v>0</v>
      </c>
      <c r="S29" s="326"/>
      <c r="T29" s="325"/>
      <c r="U29" s="324"/>
      <c r="V29" s="208">
        <v>5</v>
      </c>
      <c r="W29" s="181"/>
      <c r="X29" s="183" t="str">
        <f t="shared" si="24"/>
        <v/>
      </c>
      <c r="Y29" s="184"/>
      <c r="Z29" s="184"/>
      <c r="AA29" s="185" t="str">
        <f t="shared" si="19"/>
        <v/>
      </c>
      <c r="AB29" s="184"/>
      <c r="AC29" s="184"/>
      <c r="AD29" s="184"/>
      <c r="AE29" s="186" t="str">
        <f t="shared" si="25"/>
        <v/>
      </c>
      <c r="AF29" s="187" t="str">
        <f t="shared" si="2"/>
        <v/>
      </c>
      <c r="AG29" s="185" t="str">
        <f t="shared" si="20"/>
        <v/>
      </c>
      <c r="AH29" s="187" t="str">
        <f t="shared" si="4"/>
        <v/>
      </c>
      <c r="AI29" s="185" t="str">
        <f t="shared" si="14"/>
        <v/>
      </c>
      <c r="AJ29" s="188" t="str">
        <f t="shared" ref="AJ29:AJ30" si="26">IFERROR(IF(OR(AND(AF29="Muy Baja",AH29="Leve"),AND(AF29="Muy Baja",AH29="Menor"),AND(AF29="Baja",AH29="Leve")),"Bajo",IF(OR(AND(AF29="Muy baja",AH29="Moderado"),AND(AF29="Baja",AH29="Menor"),AND(AF29="Baja",AH29="Moderado"),AND(AF29="Media",AH29="Leve"),AND(AF29="Media",AH29="Menor"),AND(AF29="Media",AH29="Moderado"),AND(AF29="Alta",AH29="Leve"),AND(AF29="Alta",AH29="Menor")),"Moderado",IF(OR(AND(AF29="Muy Baja",AH29="Mayor"),AND(AF29="Baja",AH29="Mayor"),AND(AF29="Media",AH29="Mayor"),AND(AF29="Alta",AH29="Moderado"),AND(AF29="Alta",AH29="Mayor"),AND(AF29="Muy Alta",AH29="Leve"),AND(AF29="Muy Alta",AH29="Menor"),AND(AF29="Muy Alta",AH29="Moderado"),AND(AF29="Muy Alta",AH29="Mayor")),"Alto",IF(OR(AND(AF29="Muy Baja",AH29="Catastrófico"),AND(AF29="Baja",AH29="Catastrófico"),AND(AF29="Media",AH29="Catastrófico"),AND(AF29="Alta",AH29="Catastrófico"),AND(AF29="Muy Alta",AH29="Catastrófico")),"Extremo","")))),"")</f>
        <v/>
      </c>
      <c r="AK29" s="189"/>
      <c r="AL29" s="180"/>
      <c r="AM29" s="190"/>
      <c r="AN29" s="190"/>
      <c r="AO29" s="191"/>
      <c r="AP29" s="340"/>
      <c r="AQ29" s="340"/>
      <c r="AR29" s="340"/>
    </row>
    <row r="30" spans="1:44" ht="15.75" thickBot="1" x14ac:dyDescent="0.25">
      <c r="A30" s="342"/>
      <c r="B30" s="340"/>
      <c r="C30" s="340"/>
      <c r="D30" s="340"/>
      <c r="E30" s="340"/>
      <c r="F30" s="340"/>
      <c r="G30" s="323"/>
      <c r="H30" s="323"/>
      <c r="I30" s="323"/>
      <c r="J30" s="323"/>
      <c r="K30" s="323"/>
      <c r="L30" s="323"/>
      <c r="M30" s="323"/>
      <c r="N30" s="329"/>
      <c r="O30" s="326"/>
      <c r="P30" s="325"/>
      <c r="Q30" s="315"/>
      <c r="R30" s="325">
        <f>IF(NOT(ISERROR(MATCH(Q30,_xlfn.ANCHORARRAY(E41),0))),P43&amp;"Por favor no seleccionar los criterios de impacto",Q30)</f>
        <v>0</v>
      </c>
      <c r="S30" s="326"/>
      <c r="T30" s="325"/>
      <c r="U30" s="324"/>
      <c r="V30" s="208">
        <v>6</v>
      </c>
      <c r="W30" s="181"/>
      <c r="X30" s="183" t="str">
        <f t="shared" si="24"/>
        <v/>
      </c>
      <c r="Y30" s="184"/>
      <c r="Z30" s="184"/>
      <c r="AA30" s="185" t="str">
        <f t="shared" si="19"/>
        <v/>
      </c>
      <c r="AB30" s="184"/>
      <c r="AC30" s="184"/>
      <c r="AD30" s="184"/>
      <c r="AE30" s="186" t="str">
        <f t="shared" si="25"/>
        <v/>
      </c>
      <c r="AF30" s="187" t="str">
        <f t="shared" si="2"/>
        <v/>
      </c>
      <c r="AG30" s="185" t="str">
        <f t="shared" si="20"/>
        <v/>
      </c>
      <c r="AH30" s="187" t="str">
        <f t="shared" si="4"/>
        <v/>
      </c>
      <c r="AI30" s="185" t="str">
        <f t="shared" si="14"/>
        <v/>
      </c>
      <c r="AJ30" s="188" t="str">
        <f t="shared" si="26"/>
        <v/>
      </c>
      <c r="AK30" s="189"/>
      <c r="AL30" s="180"/>
      <c r="AM30" s="190"/>
      <c r="AN30" s="190"/>
      <c r="AO30" s="191"/>
      <c r="AP30" s="340"/>
      <c r="AQ30" s="340"/>
      <c r="AR30" s="340"/>
    </row>
    <row r="31" spans="1:44" ht="88.15" customHeight="1" x14ac:dyDescent="0.2">
      <c r="A31" s="342">
        <v>4</v>
      </c>
      <c r="B31" s="340" t="s">
        <v>122</v>
      </c>
      <c r="C31" s="340" t="s">
        <v>465</v>
      </c>
      <c r="D31" s="340" t="s">
        <v>468</v>
      </c>
      <c r="E31" s="340" t="s">
        <v>464</v>
      </c>
      <c r="F31" s="340" t="s">
        <v>140</v>
      </c>
      <c r="G31" s="321" t="s">
        <v>127</v>
      </c>
      <c r="H31" s="321" t="s">
        <v>466</v>
      </c>
      <c r="I31" s="321" t="s">
        <v>469</v>
      </c>
      <c r="J31" s="321" t="s">
        <v>433</v>
      </c>
      <c r="K31" s="321" t="s">
        <v>434</v>
      </c>
      <c r="L31" s="321" t="s">
        <v>137</v>
      </c>
      <c r="M31" s="321" t="s">
        <v>137</v>
      </c>
      <c r="N31" s="329">
        <v>630</v>
      </c>
      <c r="O31" s="326" t="str">
        <f>IF(N31&lt;=0,"",IF(N31&lt;=2,"Muy Baja",IF(N31&lt;=24,"Baja",IF(N31&lt;=500,"Media",IF(N31&lt;=5000,"Alta","Muy Alta")))))</f>
        <v>Alta</v>
      </c>
      <c r="P31" s="325">
        <f>IF(O31="","",IF(O31="Muy Baja",0.2,IF(O31="Baja",0.4,IF(O31="Media",0.6,IF(O31="Alta",0.8,IF(O31="Muy Alta",1,))))))</f>
        <v>0.8</v>
      </c>
      <c r="Q31" s="315" t="s">
        <v>253</v>
      </c>
      <c r="R31" s="325" t="str">
        <f>IF(NOT(ISERROR(MATCH(Q31,'Tabla Impacto'!$B$222:$B$224,0))),'Tabla Impacto'!$F$224&amp;"Por favor no seleccionar los criterios de impacto(Afectación Económica o presupuestal y Pérdida Reputacional)",Q31)</f>
        <v xml:space="preserve">     El riesgo afecta la imagen de la entidad con algunos usuarios de relevancia frente al logro de los objetivos</v>
      </c>
      <c r="S31" s="326" t="str">
        <f>IF(OR(R31='Tabla Impacto'!$C$12,R31='Tabla Impacto'!$D$12),"Leve",IF(OR(R31='Tabla Impacto'!$C$13,R31='Tabla Impacto'!$D$13),"Menor",IF(OR(R31='Tabla Impacto'!$C$14,R31='Tabla Impacto'!$D$14),"Moderado",IF(OR(R31='Tabla Impacto'!$C$15,R31='Tabla Impacto'!$D$15),"Mayor",IF(OR(R31='Tabla Impacto'!$C$16,R31='Tabla Impacto'!$D$16),"Catastrófico","")))))</f>
        <v>Moderado</v>
      </c>
      <c r="T31" s="325">
        <f>IF(S31="","",IF(S31="Leve",0.2,IF(S31="Menor",0.4,IF(S31="Moderado",0.6,IF(S31="Mayor",0.8,IF(S31="Catastrófico",1,))))))</f>
        <v>0.6</v>
      </c>
      <c r="U31" s="324"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Alto</v>
      </c>
      <c r="V31" s="208">
        <v>1</v>
      </c>
      <c r="W31" s="181" t="s">
        <v>473</v>
      </c>
      <c r="X31" s="183" t="str">
        <f>IF(OR(Y31="Preventivo",Y31="Detectivo"),"Probabilidad",IF(Y31="Correctivo","Impacto",""))</f>
        <v>Impacto</v>
      </c>
      <c r="Y31" s="184" t="s">
        <v>281</v>
      </c>
      <c r="Z31" s="184" t="s">
        <v>255</v>
      </c>
      <c r="AA31" s="185" t="str">
        <f>IF(AND(Y31="Preventivo",Z31="Automático"),"50%",IF(AND(Y31="Preventivo",Z31="Manual"),"40%",IF(AND(Y31="Detectivo",Z31="Automático"),"40%",IF(AND(Y31="Detectivo",Z31="Manual"),"30%",IF(AND(Y31="Correctivo",Z31="Automático"),"35%",IF(AND(Y31="Correctivo",Z31="Manual"),"25%",""))))))</f>
        <v>25%</v>
      </c>
      <c r="AB31" s="184" t="s">
        <v>256</v>
      </c>
      <c r="AC31" s="184" t="s">
        <v>257</v>
      </c>
      <c r="AD31" s="184" t="s">
        <v>258</v>
      </c>
      <c r="AE31" s="186">
        <f>IFERROR(IF(X31="Probabilidad",(P31-(+P31*AA31)),IF(X31="Impacto",P31,"")),"")</f>
        <v>0.8</v>
      </c>
      <c r="AF31" s="187" t="str">
        <f>IFERROR(IF(AE31="","",IF(AE31&lt;=0.2,"Muy Baja",IF(AE31&lt;=0.4,"Baja",IF(AE31&lt;=0.6,"Media",IF(AE31&lt;=0.8,"Alta","Muy Alta"))))),"")</f>
        <v>Alta</v>
      </c>
      <c r="AG31" s="185">
        <f>+AE31</f>
        <v>0.8</v>
      </c>
      <c r="AH31" s="187" t="str">
        <f>IFERROR(IF(AI31="","",IF(AI31&lt;=0.2,"Leve",IF(AI31&lt;=0.4,"Menor",IF(AI31&lt;=0.6,"Moderado",IF(AI31&lt;=0.8,"Mayor","Catastrófico"))))),"")</f>
        <v>Moderado</v>
      </c>
      <c r="AI31" s="185">
        <f t="shared" ref="AI31" si="27">IFERROR(IF(X31="Impacto",(T31-(+T31*AA31)),IF(X31="Probabilidad",T31,"")),"")</f>
        <v>0.44999999999999996</v>
      </c>
      <c r="AJ31" s="188" t="str">
        <f>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Alto</v>
      </c>
      <c r="AK31" s="189" t="s">
        <v>123</v>
      </c>
      <c r="AL31" s="180" t="s">
        <v>470</v>
      </c>
      <c r="AM31" s="180" t="s">
        <v>438</v>
      </c>
      <c r="AN31" s="180" t="s">
        <v>449</v>
      </c>
      <c r="AO31" s="263">
        <v>45199</v>
      </c>
      <c r="AP31" s="341" t="s">
        <v>440</v>
      </c>
      <c r="AQ31" s="341" t="s">
        <v>441</v>
      </c>
      <c r="AR31" s="341" t="s">
        <v>442</v>
      </c>
    </row>
    <row r="32" spans="1:44" ht="88.15" customHeight="1" x14ac:dyDescent="0.2">
      <c r="A32" s="342"/>
      <c r="B32" s="340"/>
      <c r="C32" s="340"/>
      <c r="D32" s="340"/>
      <c r="E32" s="340"/>
      <c r="F32" s="340"/>
      <c r="G32" s="322"/>
      <c r="H32" s="322"/>
      <c r="I32" s="322"/>
      <c r="J32" s="322"/>
      <c r="K32" s="322"/>
      <c r="L32" s="322"/>
      <c r="M32" s="322"/>
      <c r="N32" s="329"/>
      <c r="O32" s="326"/>
      <c r="P32" s="325"/>
      <c r="Q32" s="315"/>
      <c r="R32" s="325">
        <f>IF(NOT(ISERROR(MATCH(Q32,_xlfn.ANCHORARRAY(E43),0))),P45&amp;"Por favor no seleccionar los criterios de impacto",Q32)</f>
        <v>0</v>
      </c>
      <c r="S32" s="326"/>
      <c r="T32" s="325"/>
      <c r="U32" s="324"/>
      <c r="V32" s="208">
        <v>2</v>
      </c>
      <c r="W32" s="181"/>
      <c r="X32" s="183" t="str">
        <f>IF(OR(Y32="Preventivo",Y32="Detectivo"),"Probabilidad",IF(Y32="Correctivo","Impacto",""))</f>
        <v/>
      </c>
      <c r="Y32" s="184"/>
      <c r="Z32" s="184"/>
      <c r="AA32" s="185" t="str">
        <f t="shared" ref="AA32:AA36" si="28">IF(AND(Y32="Preventivo",Z32="Automático"),"50%",IF(AND(Y32="Preventivo",Z32="Manual"),"40%",IF(AND(Y32="Detectivo",Z32="Automático"),"40%",IF(AND(Y32="Detectivo",Z32="Manual"),"30%",IF(AND(Y32="Correctivo",Z32="Automático"),"35%",IF(AND(Y32="Correctivo",Z32="Manual"),"25%",""))))))</f>
        <v/>
      </c>
      <c r="AB32" s="184"/>
      <c r="AC32" s="184"/>
      <c r="AD32" s="184"/>
      <c r="AE32" s="186" t="str">
        <f>IFERROR(IF(AND(X31="Probabilidad",X32="Probabilidad"),(AG31-(+AG31*AA32)),IF(X32="Probabilidad",(P31-(+P31*AA32)),IF(X32="Impacto",AG31,""))),"")</f>
        <v/>
      </c>
      <c r="AF32" s="187" t="str">
        <f t="shared" si="2"/>
        <v/>
      </c>
      <c r="AG32" s="185" t="str">
        <f t="shared" ref="AG32:AG36" si="29">+AE32</f>
        <v/>
      </c>
      <c r="AH32" s="187" t="str">
        <f t="shared" si="4"/>
        <v/>
      </c>
      <c r="AI32" s="185" t="str">
        <f t="shared" ref="AI32" si="30">IFERROR(IF(AND(X31="Impacto",X32="Impacto"),(AI31-(+AI31*AA32)),IF(X32="Impacto",($T$13-(+$T$13*AA32)),IF(X32="Probabilidad",AI31,""))),"")</f>
        <v/>
      </c>
      <c r="AJ32" s="188" t="str">
        <f t="shared" ref="AJ32:AJ33" si="31">IFERROR(IF(OR(AND(AF32="Muy Baja",AH32="Leve"),AND(AF32="Muy Baja",AH32="Menor"),AND(AF32="Baja",AH32="Leve")),"Bajo",IF(OR(AND(AF32="Muy baja",AH32="Moderado"),AND(AF32="Baja",AH32="Menor"),AND(AF32="Baja",AH32="Moderado"),AND(AF32="Media",AH32="Leve"),AND(AF32="Media",AH32="Menor"),AND(AF32="Media",AH32="Moderado"),AND(AF32="Alta",AH32="Leve"),AND(AF32="Alta",AH32="Menor")),"Moderado",IF(OR(AND(AF32="Muy Baja",AH32="Mayor"),AND(AF32="Baja",AH32="Mayor"),AND(AF32="Media",AH32="Mayor"),AND(AF32="Alta",AH32="Moderado"),AND(AF32="Alta",AH32="Mayor"),AND(AF32="Muy Alta",AH32="Leve"),AND(AF32="Muy Alta",AH32="Menor"),AND(AF32="Muy Alta",AH32="Moderado"),AND(AF32="Muy Alta",AH32="Mayor")),"Alto",IF(OR(AND(AF32="Muy Baja",AH32="Catastrófico"),AND(AF32="Baja",AH32="Catastrófico"),AND(AF32="Media",AH32="Catastrófico"),AND(AF32="Alta",AH32="Catastrófico"),AND(AF32="Muy Alta",AH32="Catastrófico")),"Extremo","")))),"")</f>
        <v/>
      </c>
      <c r="AK32" s="189"/>
      <c r="AL32" s="180"/>
      <c r="AM32" s="190"/>
      <c r="AN32" s="190"/>
      <c r="AO32" s="191"/>
      <c r="AP32" s="322"/>
      <c r="AQ32" s="322"/>
      <c r="AR32" s="322"/>
    </row>
    <row r="33" spans="1:44" x14ac:dyDescent="0.2">
      <c r="A33" s="342"/>
      <c r="B33" s="340"/>
      <c r="C33" s="340"/>
      <c r="D33" s="340"/>
      <c r="E33" s="340"/>
      <c r="F33" s="340"/>
      <c r="G33" s="322"/>
      <c r="H33" s="322"/>
      <c r="I33" s="322"/>
      <c r="J33" s="322"/>
      <c r="K33" s="322"/>
      <c r="L33" s="322"/>
      <c r="M33" s="322"/>
      <c r="N33" s="329"/>
      <c r="O33" s="326"/>
      <c r="P33" s="325"/>
      <c r="Q33" s="315"/>
      <c r="R33" s="325">
        <f>IF(NOT(ISERROR(MATCH(Q33,_xlfn.ANCHORARRAY(E44),0))),P46&amp;"Por favor no seleccionar los criterios de impacto",Q33)</f>
        <v>0</v>
      </c>
      <c r="S33" s="326"/>
      <c r="T33" s="325"/>
      <c r="U33" s="324"/>
      <c r="V33" s="208">
        <v>3</v>
      </c>
      <c r="W33" s="182"/>
      <c r="X33" s="183" t="str">
        <f>IF(OR(Y33="Preventivo",Y33="Detectivo"),"Probabilidad",IF(Y33="Correctivo","Impacto",""))</f>
        <v/>
      </c>
      <c r="Y33" s="184"/>
      <c r="Z33" s="184"/>
      <c r="AA33" s="185" t="str">
        <f t="shared" si="28"/>
        <v/>
      </c>
      <c r="AB33" s="184"/>
      <c r="AC33" s="184"/>
      <c r="AD33" s="184"/>
      <c r="AE33" s="186" t="str">
        <f>IFERROR(IF(AND(X32="Probabilidad",X33="Probabilidad"),(AG32-(+AG32*AA33)),IF(AND(X32="Impacto",X33="Probabilidad"),(AG31-(+AG31*AA33)),IF(X33="Impacto",AG32,""))),"")</f>
        <v/>
      </c>
      <c r="AF33" s="187" t="str">
        <f t="shared" si="2"/>
        <v/>
      </c>
      <c r="AG33" s="185" t="str">
        <f t="shared" si="29"/>
        <v/>
      </c>
      <c r="AH33" s="187" t="str">
        <f t="shared" si="4"/>
        <v/>
      </c>
      <c r="AI33" s="185" t="str">
        <f t="shared" ref="AI33" si="32">IFERROR(IF(AND(X32="Impacto",X33="Impacto"),(AI32-(+AI32*AA33)),IF(AND(X32="Probabilidad",X33="Impacto"),(AI31-(+AI31*AA33)),IF(X33="Probabilidad",AI32,""))),"")</f>
        <v/>
      </c>
      <c r="AJ33" s="188" t="str">
        <f t="shared" si="31"/>
        <v/>
      </c>
      <c r="AK33" s="189"/>
      <c r="AL33" s="180"/>
      <c r="AM33" s="190"/>
      <c r="AN33" s="190"/>
      <c r="AO33" s="191"/>
      <c r="AP33" s="322"/>
      <c r="AQ33" s="322"/>
      <c r="AR33" s="322"/>
    </row>
    <row r="34" spans="1:44" x14ac:dyDescent="0.2">
      <c r="A34" s="342"/>
      <c r="B34" s="340"/>
      <c r="C34" s="340"/>
      <c r="D34" s="340"/>
      <c r="E34" s="340"/>
      <c r="F34" s="340"/>
      <c r="G34" s="322"/>
      <c r="H34" s="322"/>
      <c r="I34" s="322"/>
      <c r="J34" s="322"/>
      <c r="K34" s="322"/>
      <c r="L34" s="322"/>
      <c r="M34" s="322"/>
      <c r="N34" s="329"/>
      <c r="O34" s="326"/>
      <c r="P34" s="325"/>
      <c r="Q34" s="315"/>
      <c r="R34" s="325">
        <f>IF(NOT(ISERROR(MATCH(Q34,_xlfn.ANCHORARRAY(E45),0))),P47&amp;"Por favor no seleccionar los criterios de impacto",Q34)</f>
        <v>0</v>
      </c>
      <c r="S34" s="326"/>
      <c r="T34" s="325"/>
      <c r="U34" s="324"/>
      <c r="V34" s="208">
        <v>4</v>
      </c>
      <c r="W34" s="181"/>
      <c r="X34" s="183" t="str">
        <f t="shared" ref="X34:X36" si="33">IF(OR(Y34="Preventivo",Y34="Detectivo"),"Probabilidad",IF(Y34="Correctivo","Impacto",""))</f>
        <v/>
      </c>
      <c r="Y34" s="184"/>
      <c r="Z34" s="184"/>
      <c r="AA34" s="185" t="str">
        <f t="shared" si="28"/>
        <v/>
      </c>
      <c r="AB34" s="184"/>
      <c r="AC34" s="184"/>
      <c r="AD34" s="184"/>
      <c r="AE34" s="186" t="str">
        <f t="shared" ref="AE34:AE36" si="34">IFERROR(IF(AND(X33="Probabilidad",X34="Probabilidad"),(AG33-(+AG33*AA34)),IF(AND(X33="Impacto",X34="Probabilidad"),(AG32-(+AG32*AA34)),IF(X34="Impacto",AG33,""))),"")</f>
        <v/>
      </c>
      <c r="AF34" s="187" t="str">
        <f t="shared" si="2"/>
        <v/>
      </c>
      <c r="AG34" s="185" t="str">
        <f t="shared" si="29"/>
        <v/>
      </c>
      <c r="AH34" s="187" t="str">
        <f t="shared" si="4"/>
        <v/>
      </c>
      <c r="AI34" s="185" t="str">
        <f t="shared" si="14"/>
        <v/>
      </c>
      <c r="AJ34" s="188" t="str">
        <f>IFERROR(IF(OR(AND(AF34="Muy Baja",AH34="Leve"),AND(AF34="Muy Baja",AH34="Menor"),AND(AF34="Baja",AH34="Leve")),"Bajo",IF(OR(AND(AF34="Muy baja",AH34="Moderado"),AND(AF34="Baja",AH34="Menor"),AND(AF34="Baja",AH34="Moderado"),AND(AF34="Media",AH34="Leve"),AND(AF34="Media",AH34="Menor"),AND(AF34="Media",AH34="Moderado"),AND(AF34="Alta",AH34="Leve"),AND(AF34="Alta",AH34="Menor")),"Moderado",IF(OR(AND(AF34="Muy Baja",AH34="Mayor"),AND(AF34="Baja",AH34="Mayor"),AND(AF34="Media",AH34="Mayor"),AND(AF34="Alta",AH34="Moderado"),AND(AF34="Alta",AH34="Mayor"),AND(AF34="Muy Alta",AH34="Leve"),AND(AF34="Muy Alta",AH34="Menor"),AND(AF34="Muy Alta",AH34="Moderado"),AND(AF34="Muy Alta",AH34="Mayor")),"Alto",IF(OR(AND(AF34="Muy Baja",AH34="Catastrófico"),AND(AF34="Baja",AH34="Catastrófico"),AND(AF34="Media",AH34="Catastrófico"),AND(AF34="Alta",AH34="Catastrófico"),AND(AF34="Muy Alta",AH34="Catastrófico")),"Extremo","")))),"")</f>
        <v/>
      </c>
      <c r="AK34" s="189"/>
      <c r="AL34" s="180"/>
      <c r="AM34" s="190"/>
      <c r="AN34" s="190"/>
      <c r="AO34" s="191"/>
      <c r="AP34" s="322"/>
      <c r="AQ34" s="322"/>
      <c r="AR34" s="322"/>
    </row>
    <row r="35" spans="1:44" x14ac:dyDescent="0.2">
      <c r="A35" s="342"/>
      <c r="B35" s="340"/>
      <c r="C35" s="340"/>
      <c r="D35" s="340"/>
      <c r="E35" s="340"/>
      <c r="F35" s="340"/>
      <c r="G35" s="322"/>
      <c r="H35" s="322"/>
      <c r="I35" s="322"/>
      <c r="J35" s="322"/>
      <c r="K35" s="322"/>
      <c r="L35" s="322"/>
      <c r="M35" s="322"/>
      <c r="N35" s="329"/>
      <c r="O35" s="326"/>
      <c r="P35" s="325"/>
      <c r="Q35" s="315"/>
      <c r="R35" s="325">
        <f>IF(NOT(ISERROR(MATCH(Q35,_xlfn.ANCHORARRAY(E46),0))),P48&amp;"Por favor no seleccionar los criterios de impacto",Q35)</f>
        <v>0</v>
      </c>
      <c r="S35" s="326"/>
      <c r="T35" s="325"/>
      <c r="U35" s="324"/>
      <c r="V35" s="208">
        <v>5</v>
      </c>
      <c r="W35" s="181"/>
      <c r="X35" s="183" t="str">
        <f t="shared" si="33"/>
        <v/>
      </c>
      <c r="Y35" s="184"/>
      <c r="Z35" s="184"/>
      <c r="AA35" s="185" t="str">
        <f t="shared" si="28"/>
        <v/>
      </c>
      <c r="AB35" s="184"/>
      <c r="AC35" s="184"/>
      <c r="AD35" s="184"/>
      <c r="AE35" s="186" t="str">
        <f t="shared" si="34"/>
        <v/>
      </c>
      <c r="AF35" s="187" t="str">
        <f>IFERROR(IF(AE35="","",IF(AE35&lt;=0.2,"Muy Baja",IF(AE35&lt;=0.4,"Baja",IF(AE35&lt;=0.6,"Media",IF(AE35&lt;=0.8,"Alta","Muy Alta"))))),"")</f>
        <v/>
      </c>
      <c r="AG35" s="185" t="str">
        <f t="shared" si="29"/>
        <v/>
      </c>
      <c r="AH35" s="187" t="str">
        <f t="shared" si="4"/>
        <v/>
      </c>
      <c r="AI35" s="185" t="str">
        <f t="shared" si="14"/>
        <v/>
      </c>
      <c r="AJ35" s="188" t="str">
        <f t="shared" ref="AJ35:AJ36" si="35">IFERROR(IF(OR(AND(AF35="Muy Baja",AH35="Leve"),AND(AF35="Muy Baja",AH35="Menor"),AND(AF35="Baja",AH35="Leve")),"Bajo",IF(OR(AND(AF35="Muy baja",AH35="Moderado"),AND(AF35="Baja",AH35="Menor"),AND(AF35="Baja",AH35="Moderado"),AND(AF35="Media",AH35="Leve"),AND(AF35="Media",AH35="Menor"),AND(AF35="Media",AH35="Moderado"),AND(AF35="Alta",AH35="Leve"),AND(AF35="Alta",AH35="Menor")),"Moderado",IF(OR(AND(AF35="Muy Baja",AH35="Mayor"),AND(AF35="Baja",AH35="Mayor"),AND(AF35="Media",AH35="Mayor"),AND(AF35="Alta",AH35="Moderado"),AND(AF35="Alta",AH35="Mayor"),AND(AF35="Muy Alta",AH35="Leve"),AND(AF35="Muy Alta",AH35="Menor"),AND(AF35="Muy Alta",AH35="Moderado"),AND(AF35="Muy Alta",AH35="Mayor")),"Alto",IF(OR(AND(AF35="Muy Baja",AH35="Catastrófico"),AND(AF35="Baja",AH35="Catastrófico"),AND(AF35="Media",AH35="Catastrófico"),AND(AF35="Alta",AH35="Catastrófico"),AND(AF35="Muy Alta",AH35="Catastrófico")),"Extremo","")))),"")</f>
        <v/>
      </c>
      <c r="AK35" s="189"/>
      <c r="AL35" s="180"/>
      <c r="AM35" s="190"/>
      <c r="AN35" s="190"/>
      <c r="AO35" s="191"/>
      <c r="AP35" s="322"/>
      <c r="AQ35" s="322"/>
      <c r="AR35" s="322"/>
    </row>
    <row r="36" spans="1:44" x14ac:dyDescent="0.2">
      <c r="A36" s="342"/>
      <c r="B36" s="340"/>
      <c r="C36" s="340"/>
      <c r="D36" s="340"/>
      <c r="E36" s="340"/>
      <c r="F36" s="340"/>
      <c r="G36" s="323"/>
      <c r="H36" s="323"/>
      <c r="I36" s="323"/>
      <c r="J36" s="323"/>
      <c r="K36" s="323"/>
      <c r="L36" s="323"/>
      <c r="M36" s="323"/>
      <c r="N36" s="329"/>
      <c r="O36" s="326"/>
      <c r="P36" s="325"/>
      <c r="Q36" s="315"/>
      <c r="R36" s="325">
        <f>IF(NOT(ISERROR(MATCH(Q36,_xlfn.ANCHORARRAY(E47),0))),P49&amp;"Por favor no seleccionar los criterios de impacto",Q36)</f>
        <v>0</v>
      </c>
      <c r="S36" s="326"/>
      <c r="T36" s="325"/>
      <c r="U36" s="324"/>
      <c r="V36" s="208">
        <v>6</v>
      </c>
      <c r="W36" s="181"/>
      <c r="X36" s="183" t="str">
        <f t="shared" si="33"/>
        <v/>
      </c>
      <c r="Y36" s="184"/>
      <c r="Z36" s="184"/>
      <c r="AA36" s="185" t="str">
        <f t="shared" si="28"/>
        <v/>
      </c>
      <c r="AB36" s="184"/>
      <c r="AC36" s="184"/>
      <c r="AD36" s="184"/>
      <c r="AE36" s="186" t="str">
        <f t="shared" si="34"/>
        <v/>
      </c>
      <c r="AF36" s="187" t="str">
        <f t="shared" si="2"/>
        <v/>
      </c>
      <c r="AG36" s="185" t="str">
        <f t="shared" si="29"/>
        <v/>
      </c>
      <c r="AH36" s="187" t="str">
        <f t="shared" si="4"/>
        <v/>
      </c>
      <c r="AI36" s="185" t="str">
        <f t="shared" si="14"/>
        <v/>
      </c>
      <c r="AJ36" s="188" t="str">
        <f t="shared" si="35"/>
        <v/>
      </c>
      <c r="AK36" s="189"/>
      <c r="AL36" s="180"/>
      <c r="AM36" s="190"/>
      <c r="AN36" s="190"/>
      <c r="AO36" s="191"/>
      <c r="AP36" s="323"/>
      <c r="AQ36" s="323"/>
      <c r="AR36" s="323"/>
    </row>
    <row r="37" spans="1:44" x14ac:dyDescent="0.2">
      <c r="A37" s="342">
        <v>5</v>
      </c>
      <c r="B37" s="340"/>
      <c r="C37" s="340"/>
      <c r="D37" s="340"/>
      <c r="E37" s="340"/>
      <c r="F37" s="340"/>
      <c r="G37" s="321"/>
      <c r="H37" s="321"/>
      <c r="I37" s="321"/>
      <c r="J37" s="321"/>
      <c r="K37" s="321"/>
      <c r="L37" s="321"/>
      <c r="M37" s="321"/>
      <c r="N37" s="329"/>
      <c r="O37" s="326" t="str">
        <f>IF(N37&lt;=0,"",IF(N37&lt;=2,"Muy Baja",IF(N37&lt;=24,"Baja",IF(N37&lt;=500,"Media",IF(N37&lt;=5000,"Alta","Muy Alta")))))</f>
        <v/>
      </c>
      <c r="P37" s="325" t="str">
        <f>IF(O37="","",IF(O37="Muy Baja",0.2,IF(O37="Baja",0.4,IF(O37="Media",0.6,IF(O37="Alta",0.8,IF(O37="Muy Alta",1,))))))</f>
        <v/>
      </c>
      <c r="Q37" s="315"/>
      <c r="R37" s="325">
        <f>IF(NOT(ISERROR(MATCH(Q37,'Tabla Impacto'!$B$222:$B$224,0))),'Tabla Impacto'!$F$224&amp;"Por favor no seleccionar los criterios de impacto(Afectación Económica o presupuestal y Pérdida Reputacional)",Q37)</f>
        <v>0</v>
      </c>
      <c r="S37" s="326" t="str">
        <f>IF(OR(R37='Tabla Impacto'!$C$12,R37='Tabla Impacto'!$D$12),"Leve",IF(OR(R37='Tabla Impacto'!$C$13,R37='Tabla Impacto'!$D$13),"Menor",IF(OR(R37='Tabla Impacto'!$C$14,R37='Tabla Impacto'!$D$14),"Moderado",IF(OR(R37='Tabla Impacto'!$C$15,R37='Tabla Impacto'!$D$15),"Mayor",IF(OR(R37='Tabla Impacto'!$C$16,R37='Tabla Impacto'!$D$16),"Catastrófico","")))))</f>
        <v/>
      </c>
      <c r="T37" s="325" t="str">
        <f>IF(S37="","",IF(S37="Leve",0.2,IF(S37="Menor",0.4,IF(S37="Moderado",0.6,IF(S37="Mayor",0.8,IF(S37="Catastrófico",1,))))))</f>
        <v/>
      </c>
      <c r="U37" s="324"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208">
        <v>1</v>
      </c>
      <c r="W37" s="181"/>
      <c r="X37" s="183" t="str">
        <f>IF(OR(Y37="Preventivo",Y37="Detectivo"),"Probabilidad",IF(Y37="Correctivo","Impacto",""))</f>
        <v/>
      </c>
      <c r="Y37" s="184"/>
      <c r="Z37" s="184"/>
      <c r="AA37" s="185" t="str">
        <f>IF(AND(Y37="Preventivo",Z37="Automático"),"50%",IF(AND(Y37="Preventivo",Z37="Manual"),"40%",IF(AND(Y37="Detectivo",Z37="Automático"),"40%",IF(AND(Y37="Detectivo",Z37="Manual"),"30%",IF(AND(Y37="Correctivo",Z37="Automático"),"35%",IF(AND(Y37="Correctivo",Z37="Manual"),"25%",""))))))</f>
        <v/>
      </c>
      <c r="AB37" s="184"/>
      <c r="AC37" s="184"/>
      <c r="AD37" s="184"/>
      <c r="AE37" s="186" t="str">
        <f>IFERROR(IF(X37="Probabilidad",(P37-(+P37*AA37)),IF(X37="Impacto",P37,"")),"")</f>
        <v/>
      </c>
      <c r="AF37" s="187" t="str">
        <f>IFERROR(IF(AE37="","",IF(AE37&lt;=0.2,"Muy Baja",IF(AE37&lt;=0.4,"Baja",IF(AE37&lt;=0.6,"Media",IF(AE37&lt;=0.8,"Alta","Muy Alta"))))),"")</f>
        <v/>
      </c>
      <c r="AG37" s="185" t="str">
        <f>+AE37</f>
        <v/>
      </c>
      <c r="AH37" s="187" t="str">
        <f>IFERROR(IF(AI37="","",IF(AI37&lt;=0.2,"Leve",IF(AI37&lt;=0.4,"Menor",IF(AI37&lt;=0.6,"Moderado",IF(AI37&lt;=0.8,"Mayor","Catastrófico"))))),"")</f>
        <v/>
      </c>
      <c r="AI37" s="185" t="str">
        <f t="shared" ref="AI37" si="36">IFERROR(IF(X37="Impacto",(T37-(+T37*AA37)),IF(X37="Probabilidad",T37,"")),"")</f>
        <v/>
      </c>
      <c r="AJ37" s="188" t="str">
        <f>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
      </c>
      <c r="AK37" s="189"/>
      <c r="AL37" s="180"/>
      <c r="AM37" s="190"/>
      <c r="AN37" s="190"/>
      <c r="AO37" s="191"/>
      <c r="AP37" s="329"/>
      <c r="AQ37" s="329"/>
      <c r="AR37" s="329"/>
    </row>
    <row r="38" spans="1:44" x14ac:dyDescent="0.2">
      <c r="A38" s="342"/>
      <c r="B38" s="340"/>
      <c r="C38" s="340"/>
      <c r="D38" s="340"/>
      <c r="E38" s="340"/>
      <c r="F38" s="340"/>
      <c r="G38" s="322"/>
      <c r="H38" s="322"/>
      <c r="I38" s="322"/>
      <c r="J38" s="322"/>
      <c r="K38" s="322"/>
      <c r="L38" s="322"/>
      <c r="M38" s="322"/>
      <c r="N38" s="329"/>
      <c r="O38" s="326"/>
      <c r="P38" s="325"/>
      <c r="Q38" s="315"/>
      <c r="R38" s="325">
        <f>IF(NOT(ISERROR(MATCH(Q38,_xlfn.ANCHORARRAY(E49),0))),P51&amp;"Por favor no seleccionar los criterios de impacto",Q38)</f>
        <v>0</v>
      </c>
      <c r="S38" s="326"/>
      <c r="T38" s="325"/>
      <c r="U38" s="324"/>
      <c r="V38" s="208">
        <v>2</v>
      </c>
      <c r="W38" s="181"/>
      <c r="X38" s="183" t="str">
        <f>IF(OR(Y38="Preventivo",Y38="Detectivo"),"Probabilidad",IF(Y38="Correctivo","Impacto",""))</f>
        <v/>
      </c>
      <c r="Y38" s="184"/>
      <c r="Z38" s="184"/>
      <c r="AA38" s="185" t="str">
        <f t="shared" ref="AA38:AA42" si="37">IF(AND(Y38="Preventivo",Z38="Automático"),"50%",IF(AND(Y38="Preventivo",Z38="Manual"),"40%",IF(AND(Y38="Detectivo",Z38="Automático"),"40%",IF(AND(Y38="Detectivo",Z38="Manual"),"30%",IF(AND(Y38="Correctivo",Z38="Automático"),"35%",IF(AND(Y38="Correctivo",Z38="Manual"),"25%",""))))))</f>
        <v/>
      </c>
      <c r="AB38" s="184"/>
      <c r="AC38" s="184"/>
      <c r="AD38" s="184"/>
      <c r="AE38" s="186" t="str">
        <f>IFERROR(IF(AND(X37="Probabilidad",X38="Probabilidad"),(AG37-(+AG37*AA38)),IF(X38="Probabilidad",(P37-(+P37*AA38)),IF(X38="Impacto",AG37,""))),"")</f>
        <v/>
      </c>
      <c r="AF38" s="187" t="str">
        <f t="shared" si="2"/>
        <v/>
      </c>
      <c r="AG38" s="185" t="str">
        <f t="shared" ref="AG38:AG42" si="38">+AE38</f>
        <v/>
      </c>
      <c r="AH38" s="187" t="str">
        <f t="shared" si="4"/>
        <v/>
      </c>
      <c r="AI38" s="185" t="str">
        <f t="shared" ref="AI38" si="39">IFERROR(IF(AND(X37="Impacto",X38="Impacto"),(AI37-(+AI37*AA38)),IF(X38="Impacto",($T$13-(+$T$13*AA38)),IF(X38="Probabilidad",AI37,""))),"")</f>
        <v/>
      </c>
      <c r="AJ38" s="188" t="str">
        <f t="shared" ref="AJ38:AJ39" si="40">IFERROR(IF(OR(AND(AF38="Muy Baja",AH38="Leve"),AND(AF38="Muy Baja",AH38="Menor"),AND(AF38="Baja",AH38="Leve")),"Bajo",IF(OR(AND(AF38="Muy baja",AH38="Moderado"),AND(AF38="Baja",AH38="Menor"),AND(AF38="Baja",AH38="Moderado"),AND(AF38="Media",AH38="Leve"),AND(AF38="Media",AH38="Menor"),AND(AF38="Media",AH38="Moderado"),AND(AF38="Alta",AH38="Leve"),AND(AF38="Alta",AH38="Menor")),"Moderado",IF(OR(AND(AF38="Muy Baja",AH38="Mayor"),AND(AF38="Baja",AH38="Mayor"),AND(AF38="Media",AH38="Mayor"),AND(AF38="Alta",AH38="Moderado"),AND(AF38="Alta",AH38="Mayor"),AND(AF38="Muy Alta",AH38="Leve"),AND(AF38="Muy Alta",AH38="Menor"),AND(AF38="Muy Alta",AH38="Moderado"),AND(AF38="Muy Alta",AH38="Mayor")),"Alto",IF(OR(AND(AF38="Muy Baja",AH38="Catastrófico"),AND(AF38="Baja",AH38="Catastrófico"),AND(AF38="Media",AH38="Catastrófico"),AND(AF38="Alta",AH38="Catastrófico"),AND(AF38="Muy Alta",AH38="Catastrófico")),"Extremo","")))),"")</f>
        <v/>
      </c>
      <c r="AK38" s="189"/>
      <c r="AL38" s="180"/>
      <c r="AM38" s="190"/>
      <c r="AN38" s="190"/>
      <c r="AO38" s="191"/>
      <c r="AP38" s="329"/>
      <c r="AQ38" s="329"/>
      <c r="AR38" s="329"/>
    </row>
    <row r="39" spans="1:44" x14ac:dyDescent="0.2">
      <c r="A39" s="342"/>
      <c r="B39" s="340"/>
      <c r="C39" s="340"/>
      <c r="D39" s="340"/>
      <c r="E39" s="340"/>
      <c r="F39" s="340"/>
      <c r="G39" s="322"/>
      <c r="H39" s="322"/>
      <c r="I39" s="322"/>
      <c r="J39" s="322"/>
      <c r="K39" s="322"/>
      <c r="L39" s="322"/>
      <c r="M39" s="322"/>
      <c r="N39" s="329"/>
      <c r="O39" s="326"/>
      <c r="P39" s="325"/>
      <c r="Q39" s="315"/>
      <c r="R39" s="325">
        <f>IF(NOT(ISERROR(MATCH(Q39,_xlfn.ANCHORARRAY(E50),0))),P52&amp;"Por favor no seleccionar los criterios de impacto",Q39)</f>
        <v>0</v>
      </c>
      <c r="S39" s="326"/>
      <c r="T39" s="325"/>
      <c r="U39" s="324"/>
      <c r="V39" s="208">
        <v>3</v>
      </c>
      <c r="W39" s="182"/>
      <c r="X39" s="183" t="str">
        <f>IF(OR(Y39="Preventivo",Y39="Detectivo"),"Probabilidad",IF(Y39="Correctivo","Impacto",""))</f>
        <v/>
      </c>
      <c r="Y39" s="184"/>
      <c r="Z39" s="184"/>
      <c r="AA39" s="185" t="str">
        <f t="shared" si="37"/>
        <v/>
      </c>
      <c r="AB39" s="184"/>
      <c r="AC39" s="184"/>
      <c r="AD39" s="184"/>
      <c r="AE39" s="186" t="str">
        <f>IFERROR(IF(AND(X38="Probabilidad",X39="Probabilidad"),(AG38-(+AG38*AA39)),IF(AND(X38="Impacto",X39="Probabilidad"),(AG37-(+AG37*AA39)),IF(X39="Impacto",AG38,""))),"")</f>
        <v/>
      </c>
      <c r="AF39" s="187" t="str">
        <f t="shared" si="2"/>
        <v/>
      </c>
      <c r="AG39" s="185" t="str">
        <f t="shared" si="38"/>
        <v/>
      </c>
      <c r="AH39" s="187" t="str">
        <f t="shared" si="4"/>
        <v/>
      </c>
      <c r="AI39" s="185" t="str">
        <f t="shared" ref="AI39" si="41">IFERROR(IF(AND(X38="Impacto",X39="Impacto"),(AI38-(+AI38*AA39)),IF(AND(X38="Probabilidad",X39="Impacto"),(AI37-(+AI37*AA39)),IF(X39="Probabilidad",AI38,""))),"")</f>
        <v/>
      </c>
      <c r="AJ39" s="188" t="str">
        <f t="shared" si="40"/>
        <v/>
      </c>
      <c r="AK39" s="189"/>
      <c r="AL39" s="180"/>
      <c r="AM39" s="190"/>
      <c r="AN39" s="190"/>
      <c r="AO39" s="191"/>
      <c r="AP39" s="329"/>
      <c r="AQ39" s="329"/>
      <c r="AR39" s="329"/>
    </row>
    <row r="40" spans="1:44" x14ac:dyDescent="0.2">
      <c r="A40" s="342"/>
      <c r="B40" s="340"/>
      <c r="C40" s="340"/>
      <c r="D40" s="340"/>
      <c r="E40" s="340"/>
      <c r="F40" s="340"/>
      <c r="G40" s="322"/>
      <c r="H40" s="322"/>
      <c r="I40" s="322"/>
      <c r="J40" s="322"/>
      <c r="K40" s="322"/>
      <c r="L40" s="322"/>
      <c r="M40" s="322"/>
      <c r="N40" s="329"/>
      <c r="O40" s="326"/>
      <c r="P40" s="325"/>
      <c r="Q40" s="315"/>
      <c r="R40" s="325">
        <f>IF(NOT(ISERROR(MATCH(Q40,_xlfn.ANCHORARRAY(E51),0))),P53&amp;"Por favor no seleccionar los criterios de impacto",Q40)</f>
        <v>0</v>
      </c>
      <c r="S40" s="326"/>
      <c r="T40" s="325"/>
      <c r="U40" s="324"/>
      <c r="V40" s="208">
        <v>4</v>
      </c>
      <c r="W40" s="181"/>
      <c r="X40" s="183" t="str">
        <f t="shared" ref="X40:X42" si="42">IF(OR(Y40="Preventivo",Y40="Detectivo"),"Probabilidad",IF(Y40="Correctivo","Impacto",""))</f>
        <v/>
      </c>
      <c r="Y40" s="184"/>
      <c r="Z40" s="184"/>
      <c r="AA40" s="185" t="str">
        <f t="shared" si="37"/>
        <v/>
      </c>
      <c r="AB40" s="184"/>
      <c r="AC40" s="184"/>
      <c r="AD40" s="184"/>
      <c r="AE40" s="186" t="str">
        <f t="shared" ref="AE40:AE42" si="43">IFERROR(IF(AND(X39="Probabilidad",X40="Probabilidad"),(AG39-(+AG39*AA40)),IF(AND(X39="Impacto",X40="Probabilidad"),(AG38-(+AG38*AA40)),IF(X40="Impacto",AG39,""))),"")</f>
        <v/>
      </c>
      <c r="AF40" s="187" t="str">
        <f t="shared" si="2"/>
        <v/>
      </c>
      <c r="AG40" s="185" t="str">
        <f t="shared" si="38"/>
        <v/>
      </c>
      <c r="AH40" s="187" t="str">
        <f t="shared" si="4"/>
        <v/>
      </c>
      <c r="AI40" s="185" t="str">
        <f t="shared" si="14"/>
        <v/>
      </c>
      <c r="AJ40" s="188" t="str">
        <f>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89"/>
      <c r="AL40" s="180"/>
      <c r="AM40" s="190"/>
      <c r="AN40" s="190"/>
      <c r="AO40" s="191"/>
      <c r="AP40" s="329"/>
      <c r="AQ40" s="329"/>
      <c r="AR40" s="329"/>
    </row>
    <row r="41" spans="1:44" x14ac:dyDescent="0.2">
      <c r="A41" s="342"/>
      <c r="B41" s="340"/>
      <c r="C41" s="340"/>
      <c r="D41" s="340"/>
      <c r="E41" s="340"/>
      <c r="F41" s="340"/>
      <c r="G41" s="322"/>
      <c r="H41" s="322"/>
      <c r="I41" s="322"/>
      <c r="J41" s="322"/>
      <c r="K41" s="322"/>
      <c r="L41" s="322"/>
      <c r="M41" s="322"/>
      <c r="N41" s="329"/>
      <c r="O41" s="326"/>
      <c r="P41" s="325"/>
      <c r="Q41" s="315"/>
      <c r="R41" s="325">
        <f>IF(NOT(ISERROR(MATCH(Q41,_xlfn.ANCHORARRAY(E52),0))),P54&amp;"Por favor no seleccionar los criterios de impacto",Q41)</f>
        <v>0</v>
      </c>
      <c r="S41" s="326"/>
      <c r="T41" s="325"/>
      <c r="U41" s="324"/>
      <c r="V41" s="208">
        <v>5</v>
      </c>
      <c r="W41" s="181"/>
      <c r="X41" s="183" t="str">
        <f t="shared" si="42"/>
        <v/>
      </c>
      <c r="Y41" s="184"/>
      <c r="Z41" s="184"/>
      <c r="AA41" s="185" t="str">
        <f t="shared" si="37"/>
        <v/>
      </c>
      <c r="AB41" s="184"/>
      <c r="AC41" s="184"/>
      <c r="AD41" s="184"/>
      <c r="AE41" s="186" t="str">
        <f t="shared" si="43"/>
        <v/>
      </c>
      <c r="AF41" s="187" t="str">
        <f t="shared" si="2"/>
        <v/>
      </c>
      <c r="AG41" s="185" t="str">
        <f t="shared" si="38"/>
        <v/>
      </c>
      <c r="AH41" s="187" t="str">
        <f t="shared" si="4"/>
        <v/>
      </c>
      <c r="AI41" s="185" t="str">
        <f t="shared" si="14"/>
        <v/>
      </c>
      <c r="AJ41" s="188" t="str">
        <f t="shared" ref="AJ41:AJ42" si="44">IFERROR(IF(OR(AND(AF41="Muy Baja",AH41="Leve"),AND(AF41="Muy Baja",AH41="Menor"),AND(AF41="Baja",AH41="Leve")),"Bajo",IF(OR(AND(AF41="Muy baja",AH41="Moderado"),AND(AF41="Baja",AH41="Menor"),AND(AF41="Baja",AH41="Moderado"),AND(AF41="Media",AH41="Leve"),AND(AF41="Media",AH41="Menor"),AND(AF41="Media",AH41="Moderado"),AND(AF41="Alta",AH41="Leve"),AND(AF41="Alta",AH41="Menor")),"Moderado",IF(OR(AND(AF41="Muy Baja",AH41="Mayor"),AND(AF41="Baja",AH41="Mayor"),AND(AF41="Media",AH41="Mayor"),AND(AF41="Alta",AH41="Moderado"),AND(AF41="Alta",AH41="Mayor"),AND(AF41="Muy Alta",AH41="Leve"),AND(AF41="Muy Alta",AH41="Menor"),AND(AF41="Muy Alta",AH41="Moderado"),AND(AF41="Muy Alta",AH41="Mayor")),"Alto",IF(OR(AND(AF41="Muy Baja",AH41="Catastrófico"),AND(AF41="Baja",AH41="Catastrófico"),AND(AF41="Media",AH41="Catastrófico"),AND(AF41="Alta",AH41="Catastrófico"),AND(AF41="Muy Alta",AH41="Catastrófico")),"Extremo","")))),"")</f>
        <v/>
      </c>
      <c r="AK41" s="189"/>
      <c r="AL41" s="180"/>
      <c r="AM41" s="190"/>
      <c r="AN41" s="190"/>
      <c r="AO41" s="191"/>
      <c r="AP41" s="329"/>
      <c r="AQ41" s="329"/>
      <c r="AR41" s="329"/>
    </row>
    <row r="42" spans="1:44" x14ac:dyDescent="0.2">
      <c r="A42" s="342"/>
      <c r="B42" s="340"/>
      <c r="C42" s="340"/>
      <c r="D42" s="340"/>
      <c r="E42" s="340"/>
      <c r="F42" s="340"/>
      <c r="G42" s="323"/>
      <c r="H42" s="323"/>
      <c r="I42" s="323"/>
      <c r="J42" s="323"/>
      <c r="K42" s="323"/>
      <c r="L42" s="323"/>
      <c r="M42" s="323"/>
      <c r="N42" s="329"/>
      <c r="O42" s="326"/>
      <c r="P42" s="325"/>
      <c r="Q42" s="315"/>
      <c r="R42" s="325">
        <f>IF(NOT(ISERROR(MATCH(Q42,_xlfn.ANCHORARRAY(E53),0))),P55&amp;"Por favor no seleccionar los criterios de impacto",Q42)</f>
        <v>0</v>
      </c>
      <c r="S42" s="326"/>
      <c r="T42" s="325"/>
      <c r="U42" s="324"/>
      <c r="V42" s="208">
        <v>6</v>
      </c>
      <c r="W42" s="181"/>
      <c r="X42" s="183" t="str">
        <f t="shared" si="42"/>
        <v/>
      </c>
      <c r="Y42" s="184"/>
      <c r="Z42" s="184"/>
      <c r="AA42" s="185" t="str">
        <f t="shared" si="37"/>
        <v/>
      </c>
      <c r="AB42" s="184"/>
      <c r="AC42" s="184"/>
      <c r="AD42" s="184"/>
      <c r="AE42" s="186" t="str">
        <f t="shared" si="43"/>
        <v/>
      </c>
      <c r="AF42" s="187" t="str">
        <f t="shared" si="2"/>
        <v/>
      </c>
      <c r="AG42" s="185" t="str">
        <f t="shared" si="38"/>
        <v/>
      </c>
      <c r="AH42" s="187" t="str">
        <f t="shared" si="4"/>
        <v/>
      </c>
      <c r="AI42" s="185" t="str">
        <f t="shared" si="14"/>
        <v/>
      </c>
      <c r="AJ42" s="188" t="str">
        <f t="shared" si="44"/>
        <v/>
      </c>
      <c r="AK42" s="189"/>
      <c r="AL42" s="180"/>
      <c r="AM42" s="190"/>
      <c r="AN42" s="190"/>
      <c r="AO42" s="191"/>
      <c r="AP42" s="329"/>
      <c r="AQ42" s="329"/>
      <c r="AR42" s="329"/>
    </row>
    <row r="43" spans="1:44" x14ac:dyDescent="0.2">
      <c r="A43" s="342">
        <v>6</v>
      </c>
      <c r="B43" s="340"/>
      <c r="C43" s="340"/>
      <c r="D43" s="340"/>
      <c r="E43" s="321"/>
      <c r="F43" s="340"/>
      <c r="G43" s="321"/>
      <c r="H43" s="321"/>
      <c r="I43" s="321"/>
      <c r="J43" s="321"/>
      <c r="K43" s="321"/>
      <c r="L43" s="321"/>
      <c r="M43" s="321"/>
      <c r="N43" s="329"/>
      <c r="O43" s="326" t="str">
        <f>IF(N43&lt;=0,"",IF(N43&lt;=2,"Muy Baja",IF(N43&lt;=24,"Baja",IF(N43&lt;=500,"Media",IF(N43&lt;=5000,"Alta","Muy Alta")))))</f>
        <v/>
      </c>
      <c r="P43" s="325" t="str">
        <f>IF(O43="","",IF(O43="Muy Baja",0.2,IF(O43="Baja",0.4,IF(O43="Media",0.6,IF(O43="Alta",0.8,IF(O43="Muy Alta",1,))))))</f>
        <v/>
      </c>
      <c r="Q43" s="315"/>
      <c r="R43" s="325">
        <f>IF(NOT(ISERROR(MATCH(Q43,'Tabla Impacto'!$B$222:$B$224,0))),'Tabla Impacto'!$F$224&amp;"Por favor no seleccionar los criterios de impacto(Afectación Económica o presupuestal y Pérdida Reputacional)",Q43)</f>
        <v>0</v>
      </c>
      <c r="S43" s="326" t="str">
        <f>IF(OR(R43='Tabla Impacto'!$C$12,R43='Tabla Impacto'!$D$12),"Leve",IF(OR(R43='Tabla Impacto'!$C$13,R43='Tabla Impacto'!$D$13),"Menor",IF(OR(R43='Tabla Impacto'!$C$14,R43='Tabla Impacto'!$D$14),"Moderado",IF(OR(R43='Tabla Impacto'!$C$15,R43='Tabla Impacto'!$D$15),"Mayor",IF(OR(R43='Tabla Impacto'!$C$16,R43='Tabla Impacto'!$D$16),"Catastrófico","")))))</f>
        <v/>
      </c>
      <c r="T43" s="325" t="str">
        <f>IF(S43="","",IF(S43="Leve",0.2,IF(S43="Menor",0.4,IF(S43="Moderado",0.6,IF(S43="Mayor",0.8,IF(S43="Catastrófico",1,))))))</f>
        <v/>
      </c>
      <c r="U43" s="324"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208">
        <v>1</v>
      </c>
      <c r="W43" s="181"/>
      <c r="X43" s="183" t="str">
        <f>IF(OR(Y43="Preventivo",Y43="Detectivo"),"Probabilidad",IF(Y43="Correctivo","Impacto",""))</f>
        <v/>
      </c>
      <c r="Y43" s="184"/>
      <c r="Z43" s="184"/>
      <c r="AA43" s="185" t="str">
        <f>IF(AND(Y43="Preventivo",Z43="Automático"),"50%",IF(AND(Y43="Preventivo",Z43="Manual"),"40%",IF(AND(Y43="Detectivo",Z43="Automático"),"40%",IF(AND(Y43="Detectivo",Z43="Manual"),"30%",IF(AND(Y43="Correctivo",Z43="Automático"),"35%",IF(AND(Y43="Correctivo",Z43="Manual"),"25%",""))))))</f>
        <v/>
      </c>
      <c r="AB43" s="184"/>
      <c r="AC43" s="184"/>
      <c r="AD43" s="184"/>
      <c r="AE43" s="186" t="str">
        <f>IFERROR(IF(X43="Probabilidad",(P43-(+P43*AA43)),IF(X43="Impacto",P43,"")),"")</f>
        <v/>
      </c>
      <c r="AF43" s="187" t="str">
        <f>IFERROR(IF(AE43="","",IF(AE43&lt;=0.2,"Muy Baja",IF(AE43&lt;=0.4,"Baja",IF(AE43&lt;=0.6,"Media",IF(AE43&lt;=0.8,"Alta","Muy Alta"))))),"")</f>
        <v/>
      </c>
      <c r="AG43" s="185" t="str">
        <f>+AE43</f>
        <v/>
      </c>
      <c r="AH43" s="187" t="str">
        <f>IFERROR(IF(AI43="","",IF(AI43&lt;=0.2,"Leve",IF(AI43&lt;=0.4,"Menor",IF(AI43&lt;=0.6,"Moderado",IF(AI43&lt;=0.8,"Mayor","Catastrófico"))))),"")</f>
        <v/>
      </c>
      <c r="AI43" s="185" t="str">
        <f t="shared" ref="AI43" si="45">IFERROR(IF(X43="Impacto",(T43-(+T43*AA43)),IF(X43="Probabilidad",T43,"")),"")</f>
        <v/>
      </c>
      <c r="AJ43" s="188" t="str">
        <f>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
      </c>
      <c r="AK43" s="184"/>
      <c r="AL43" s="180"/>
      <c r="AM43" s="190"/>
      <c r="AN43" s="190"/>
      <c r="AO43" s="191"/>
      <c r="AP43" s="329"/>
      <c r="AQ43" s="329"/>
      <c r="AR43" s="329"/>
    </row>
    <row r="44" spans="1:44" x14ac:dyDescent="0.2">
      <c r="A44" s="342"/>
      <c r="B44" s="340"/>
      <c r="C44" s="340"/>
      <c r="D44" s="340"/>
      <c r="E44" s="322"/>
      <c r="F44" s="340"/>
      <c r="G44" s="322"/>
      <c r="H44" s="322"/>
      <c r="I44" s="322"/>
      <c r="J44" s="322"/>
      <c r="K44" s="322"/>
      <c r="L44" s="322"/>
      <c r="M44" s="322"/>
      <c r="N44" s="329"/>
      <c r="O44" s="326"/>
      <c r="P44" s="325"/>
      <c r="Q44" s="315"/>
      <c r="R44" s="325">
        <f>IF(NOT(ISERROR(MATCH(Q44,_xlfn.ANCHORARRAY(E55),0))),P57&amp;"Por favor no seleccionar los criterios de impacto",Q44)</f>
        <v>0</v>
      </c>
      <c r="S44" s="326"/>
      <c r="T44" s="325"/>
      <c r="U44" s="324"/>
      <c r="V44" s="208">
        <v>2</v>
      </c>
      <c r="W44" s="181"/>
      <c r="X44" s="183" t="str">
        <f>IF(OR(Y44="Preventivo",Y44="Detectivo"),"Probabilidad",IF(Y44="Correctivo","Impacto",""))</f>
        <v/>
      </c>
      <c r="Y44" s="184"/>
      <c r="Z44" s="184"/>
      <c r="AA44" s="185" t="str">
        <f t="shared" ref="AA44:AA48" si="46">IF(AND(Y44="Preventivo",Z44="Automático"),"50%",IF(AND(Y44="Preventivo",Z44="Manual"),"40%",IF(AND(Y44="Detectivo",Z44="Automático"),"40%",IF(AND(Y44="Detectivo",Z44="Manual"),"30%",IF(AND(Y44="Correctivo",Z44="Automático"),"35%",IF(AND(Y44="Correctivo",Z44="Manual"),"25%",""))))))</f>
        <v/>
      </c>
      <c r="AB44" s="184"/>
      <c r="AC44" s="184"/>
      <c r="AD44" s="184"/>
      <c r="AE44" s="186" t="str">
        <f>IFERROR(IF(AND(X43="Probabilidad",X44="Probabilidad"),(AG43-(+AG43*AA44)),IF(X44="Probabilidad",(P43-(+P43*AA44)),IF(X44="Impacto",AG43,""))),"")</f>
        <v/>
      </c>
      <c r="AF44" s="187" t="str">
        <f t="shared" si="2"/>
        <v/>
      </c>
      <c r="AG44" s="185" t="str">
        <f t="shared" ref="AG44:AG48" si="47">+AE44</f>
        <v/>
      </c>
      <c r="AH44" s="187" t="str">
        <f t="shared" si="4"/>
        <v/>
      </c>
      <c r="AI44" s="185" t="str">
        <f t="shared" ref="AI44" si="48">IFERROR(IF(AND(X43="Impacto",X44="Impacto"),(AI43-(+AI43*AA44)),IF(X44="Impacto",($T$13-(+$T$13*AA44)),IF(X44="Probabilidad",AI43,""))),"")</f>
        <v/>
      </c>
      <c r="AJ44" s="188" t="str">
        <f t="shared" ref="AJ44:AJ45" si="49">IFERROR(IF(OR(AND(AF44="Muy Baja",AH44="Leve"),AND(AF44="Muy Baja",AH44="Menor"),AND(AF44="Baja",AH44="Leve")),"Bajo",IF(OR(AND(AF44="Muy baja",AH44="Moderado"),AND(AF44="Baja",AH44="Menor"),AND(AF44="Baja",AH44="Moderado"),AND(AF44="Media",AH44="Leve"),AND(AF44="Media",AH44="Menor"),AND(AF44="Media",AH44="Moderado"),AND(AF44="Alta",AH44="Leve"),AND(AF44="Alta",AH44="Menor")),"Moderado",IF(OR(AND(AF44="Muy Baja",AH44="Mayor"),AND(AF44="Baja",AH44="Mayor"),AND(AF44="Media",AH44="Mayor"),AND(AF44="Alta",AH44="Moderado"),AND(AF44="Alta",AH44="Mayor"),AND(AF44="Muy Alta",AH44="Leve"),AND(AF44="Muy Alta",AH44="Menor"),AND(AF44="Muy Alta",AH44="Moderado"),AND(AF44="Muy Alta",AH44="Mayor")),"Alto",IF(OR(AND(AF44="Muy Baja",AH44="Catastrófico"),AND(AF44="Baja",AH44="Catastrófico"),AND(AF44="Media",AH44="Catastrófico"),AND(AF44="Alta",AH44="Catastrófico"),AND(AF44="Muy Alta",AH44="Catastrófico")),"Extremo","")))),"")</f>
        <v/>
      </c>
      <c r="AK44" s="189"/>
      <c r="AL44" s="180"/>
      <c r="AM44" s="190"/>
      <c r="AN44" s="190"/>
      <c r="AO44" s="191"/>
      <c r="AP44" s="329"/>
      <c r="AQ44" s="329"/>
      <c r="AR44" s="329"/>
    </row>
    <row r="45" spans="1:44" x14ac:dyDescent="0.2">
      <c r="A45" s="342"/>
      <c r="B45" s="340"/>
      <c r="C45" s="340"/>
      <c r="D45" s="340"/>
      <c r="E45" s="322"/>
      <c r="F45" s="340"/>
      <c r="G45" s="322"/>
      <c r="H45" s="322"/>
      <c r="I45" s="322"/>
      <c r="J45" s="322"/>
      <c r="K45" s="322"/>
      <c r="L45" s="322"/>
      <c r="M45" s="322"/>
      <c r="N45" s="329"/>
      <c r="O45" s="326"/>
      <c r="P45" s="325"/>
      <c r="Q45" s="315"/>
      <c r="R45" s="325">
        <f>IF(NOT(ISERROR(MATCH(Q45,_xlfn.ANCHORARRAY(E56),0))),P58&amp;"Por favor no seleccionar los criterios de impacto",Q45)</f>
        <v>0</v>
      </c>
      <c r="S45" s="326"/>
      <c r="T45" s="325"/>
      <c r="U45" s="324"/>
      <c r="V45" s="208">
        <v>3</v>
      </c>
      <c r="W45" s="182"/>
      <c r="X45" s="183" t="str">
        <f>IF(OR(Y45="Preventivo",Y45="Detectivo"),"Probabilidad",IF(Y45="Correctivo","Impacto",""))</f>
        <v/>
      </c>
      <c r="Y45" s="184"/>
      <c r="Z45" s="184"/>
      <c r="AA45" s="185" t="str">
        <f t="shared" si="46"/>
        <v/>
      </c>
      <c r="AB45" s="184"/>
      <c r="AC45" s="184"/>
      <c r="AD45" s="184"/>
      <c r="AE45" s="186" t="str">
        <f>IFERROR(IF(AND(X44="Probabilidad",X45="Probabilidad"),(AG44-(+AG44*AA45)),IF(AND(X44="Impacto",X45="Probabilidad"),(AG43-(+AG43*AA45)),IF(X45="Impacto",AG44,""))),"")</f>
        <v/>
      </c>
      <c r="AF45" s="187" t="str">
        <f t="shared" si="2"/>
        <v/>
      </c>
      <c r="AG45" s="185" t="str">
        <f t="shared" si="47"/>
        <v/>
      </c>
      <c r="AH45" s="187" t="str">
        <f t="shared" si="4"/>
        <v/>
      </c>
      <c r="AI45" s="185" t="str">
        <f t="shared" ref="AI45" si="50">IFERROR(IF(AND(X44="Impacto",X45="Impacto"),(AI44-(+AI44*AA45)),IF(AND(X44="Probabilidad",X45="Impacto"),(AI43-(+AI43*AA45)),IF(X45="Probabilidad",AI44,""))),"")</f>
        <v/>
      </c>
      <c r="AJ45" s="188" t="str">
        <f t="shared" si="49"/>
        <v/>
      </c>
      <c r="AK45" s="189"/>
      <c r="AL45" s="180"/>
      <c r="AM45" s="190"/>
      <c r="AN45" s="190"/>
      <c r="AO45" s="191"/>
      <c r="AP45" s="329"/>
      <c r="AQ45" s="329"/>
      <c r="AR45" s="329"/>
    </row>
    <row r="46" spans="1:44" x14ac:dyDescent="0.2">
      <c r="A46" s="342"/>
      <c r="B46" s="340"/>
      <c r="C46" s="340"/>
      <c r="D46" s="340"/>
      <c r="E46" s="322"/>
      <c r="F46" s="340"/>
      <c r="G46" s="322"/>
      <c r="H46" s="322"/>
      <c r="I46" s="322"/>
      <c r="J46" s="322"/>
      <c r="K46" s="322"/>
      <c r="L46" s="322"/>
      <c r="M46" s="322"/>
      <c r="N46" s="329"/>
      <c r="O46" s="326"/>
      <c r="P46" s="325"/>
      <c r="Q46" s="315"/>
      <c r="R46" s="325">
        <f>IF(NOT(ISERROR(MATCH(Q46,_xlfn.ANCHORARRAY(E57),0))),P59&amp;"Por favor no seleccionar los criterios de impacto",Q46)</f>
        <v>0</v>
      </c>
      <c r="S46" s="326"/>
      <c r="T46" s="325"/>
      <c r="U46" s="324"/>
      <c r="V46" s="208">
        <v>4</v>
      </c>
      <c r="W46" s="181"/>
      <c r="X46" s="183" t="str">
        <f t="shared" ref="X46:X48" si="51">IF(OR(Y46="Preventivo",Y46="Detectivo"),"Probabilidad",IF(Y46="Correctivo","Impacto",""))</f>
        <v/>
      </c>
      <c r="Y46" s="184"/>
      <c r="Z46" s="184"/>
      <c r="AA46" s="185" t="str">
        <f t="shared" si="46"/>
        <v/>
      </c>
      <c r="AB46" s="184"/>
      <c r="AC46" s="184"/>
      <c r="AD46" s="184"/>
      <c r="AE46" s="186" t="str">
        <f t="shared" ref="AE46:AE48" si="52">IFERROR(IF(AND(X45="Probabilidad",X46="Probabilidad"),(AG45-(+AG45*AA46)),IF(AND(X45="Impacto",X46="Probabilidad"),(AG44-(+AG44*AA46)),IF(X46="Impacto",AG45,""))),"")</f>
        <v/>
      </c>
      <c r="AF46" s="187" t="str">
        <f t="shared" si="2"/>
        <v/>
      </c>
      <c r="AG46" s="185" t="str">
        <f t="shared" si="47"/>
        <v/>
      </c>
      <c r="AH46" s="187" t="str">
        <f t="shared" si="4"/>
        <v/>
      </c>
      <c r="AI46" s="185" t="str">
        <f t="shared" si="14"/>
        <v/>
      </c>
      <c r="AJ46" s="188" t="str">
        <f>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
      </c>
      <c r="AK46" s="189"/>
      <c r="AL46" s="180"/>
      <c r="AM46" s="190"/>
      <c r="AN46" s="190"/>
      <c r="AO46" s="191"/>
      <c r="AP46" s="329"/>
      <c r="AQ46" s="329"/>
      <c r="AR46" s="329"/>
    </row>
    <row r="47" spans="1:44" x14ac:dyDescent="0.2">
      <c r="A47" s="342"/>
      <c r="B47" s="340"/>
      <c r="C47" s="340"/>
      <c r="D47" s="340"/>
      <c r="E47" s="322"/>
      <c r="F47" s="340"/>
      <c r="G47" s="322"/>
      <c r="H47" s="322"/>
      <c r="I47" s="322"/>
      <c r="J47" s="322"/>
      <c r="K47" s="322"/>
      <c r="L47" s="322"/>
      <c r="M47" s="322"/>
      <c r="N47" s="329"/>
      <c r="O47" s="326"/>
      <c r="P47" s="325"/>
      <c r="Q47" s="315"/>
      <c r="R47" s="325">
        <f>IF(NOT(ISERROR(MATCH(Q47,_xlfn.ANCHORARRAY(E58),0))),P60&amp;"Por favor no seleccionar los criterios de impacto",Q47)</f>
        <v>0</v>
      </c>
      <c r="S47" s="326"/>
      <c r="T47" s="325"/>
      <c r="U47" s="324"/>
      <c r="V47" s="208">
        <v>5</v>
      </c>
      <c r="W47" s="181"/>
      <c r="X47" s="183" t="str">
        <f t="shared" si="51"/>
        <v/>
      </c>
      <c r="Y47" s="184"/>
      <c r="Z47" s="184"/>
      <c r="AA47" s="185" t="str">
        <f t="shared" si="46"/>
        <v/>
      </c>
      <c r="AB47" s="184"/>
      <c r="AC47" s="184"/>
      <c r="AD47" s="184"/>
      <c r="AE47" s="186" t="str">
        <f t="shared" si="52"/>
        <v/>
      </c>
      <c r="AF47" s="187" t="str">
        <f t="shared" si="2"/>
        <v/>
      </c>
      <c r="AG47" s="185" t="str">
        <f t="shared" si="47"/>
        <v/>
      </c>
      <c r="AH47" s="187" t="str">
        <f t="shared" si="4"/>
        <v/>
      </c>
      <c r="AI47" s="185" t="str">
        <f t="shared" si="14"/>
        <v/>
      </c>
      <c r="AJ47" s="188" t="str">
        <f t="shared" ref="AJ47" si="53">IFERROR(IF(OR(AND(AF47="Muy Baja",AH47="Leve"),AND(AF47="Muy Baja",AH47="Menor"),AND(AF47="Baja",AH47="Leve")),"Bajo",IF(OR(AND(AF47="Muy baja",AH47="Moderado"),AND(AF47="Baja",AH47="Menor"),AND(AF47="Baja",AH47="Moderado"),AND(AF47="Media",AH47="Leve"),AND(AF47="Media",AH47="Menor"),AND(AF47="Media",AH47="Moderado"),AND(AF47="Alta",AH47="Leve"),AND(AF47="Alta",AH47="Menor")),"Moderado",IF(OR(AND(AF47="Muy Baja",AH47="Mayor"),AND(AF47="Baja",AH47="Mayor"),AND(AF47="Media",AH47="Mayor"),AND(AF47="Alta",AH47="Moderado"),AND(AF47="Alta",AH47="Mayor"),AND(AF47="Muy Alta",AH47="Leve"),AND(AF47="Muy Alta",AH47="Menor"),AND(AF47="Muy Alta",AH47="Moderado"),AND(AF47="Muy Alta",AH47="Mayor")),"Alto",IF(OR(AND(AF47="Muy Baja",AH47="Catastrófico"),AND(AF47="Baja",AH47="Catastrófico"),AND(AF47="Media",AH47="Catastrófico"),AND(AF47="Alta",AH47="Catastrófico"),AND(AF47="Muy Alta",AH47="Catastrófico")),"Extremo","")))),"")</f>
        <v/>
      </c>
      <c r="AK47" s="189"/>
      <c r="AL47" s="180"/>
      <c r="AM47" s="190"/>
      <c r="AN47" s="190"/>
      <c r="AO47" s="191"/>
      <c r="AP47" s="329"/>
      <c r="AQ47" s="329"/>
      <c r="AR47" s="329"/>
    </row>
    <row r="48" spans="1:44" x14ac:dyDescent="0.2">
      <c r="A48" s="342"/>
      <c r="B48" s="340"/>
      <c r="C48" s="340"/>
      <c r="D48" s="340"/>
      <c r="E48" s="323"/>
      <c r="F48" s="340"/>
      <c r="G48" s="323"/>
      <c r="H48" s="323"/>
      <c r="I48" s="323"/>
      <c r="J48" s="323"/>
      <c r="K48" s="323"/>
      <c r="L48" s="323"/>
      <c r="M48" s="323"/>
      <c r="N48" s="329"/>
      <c r="O48" s="326"/>
      <c r="P48" s="325"/>
      <c r="Q48" s="315"/>
      <c r="R48" s="325">
        <f>IF(NOT(ISERROR(MATCH(Q48,_xlfn.ANCHORARRAY(E59),0))),P61&amp;"Por favor no seleccionar los criterios de impacto",Q48)</f>
        <v>0</v>
      </c>
      <c r="S48" s="326"/>
      <c r="T48" s="325"/>
      <c r="U48" s="324"/>
      <c r="V48" s="208">
        <v>6</v>
      </c>
      <c r="W48" s="181"/>
      <c r="X48" s="183" t="str">
        <f t="shared" si="51"/>
        <v/>
      </c>
      <c r="Y48" s="184"/>
      <c r="Z48" s="184"/>
      <c r="AA48" s="185" t="str">
        <f t="shared" si="46"/>
        <v/>
      </c>
      <c r="AB48" s="184"/>
      <c r="AC48" s="184"/>
      <c r="AD48" s="184"/>
      <c r="AE48" s="186" t="str">
        <f t="shared" si="52"/>
        <v/>
      </c>
      <c r="AF48" s="187" t="str">
        <f t="shared" si="2"/>
        <v/>
      </c>
      <c r="AG48" s="185" t="str">
        <f t="shared" si="47"/>
        <v/>
      </c>
      <c r="AH48" s="187" t="str">
        <f>IFERROR(IF(AI48="","",IF(AI48&lt;=0.2,"Leve",IF(AI48&lt;=0.4,"Menor",IF(AI48&lt;=0.6,"Moderado",IF(AI48&lt;=0.8,"Mayor","Catastrófico"))))),"")</f>
        <v/>
      </c>
      <c r="AI48" s="185" t="str">
        <f t="shared" si="14"/>
        <v/>
      </c>
      <c r="AJ48" s="188" t="str">
        <f>IFERROR(IF(OR(AND(AF48="Muy Baja",AH48="Leve"),AND(AF48="Muy Baja",AH48="Menor"),AND(AF48="Baja",AH48="Leve")),"Bajo",IF(OR(AND(AF48="Muy baja",AH48="Moderado"),AND(AF48="Baja",AH48="Menor"),AND(AF48="Baja",AH48="Moderado"),AND(AF48="Media",AH48="Leve"),AND(AF48="Media",AH48="Menor"),AND(AF48="Media",AH48="Moderado"),AND(AF48="Alta",AH48="Leve"),AND(AF48="Alta",AH48="Menor")),"Moderado",IF(OR(AND(AF48="Muy Baja",AH48="Mayor"),AND(AF48="Baja",AH48="Mayor"),AND(AF48="Media",AH48="Mayor"),AND(AF48="Alta",AH48="Moderado"),AND(AF48="Alta",AH48="Mayor"),AND(AF48="Muy Alta",AH48="Leve"),AND(AF48="Muy Alta",AH48="Menor"),AND(AF48="Muy Alta",AH48="Moderado"),AND(AF48="Muy Alta",AH48="Mayor")),"Alto",IF(OR(AND(AF48="Muy Baja",AH48="Catastrófico"),AND(AF48="Baja",AH48="Catastrófico"),AND(AF48="Media",AH48="Catastrófico"),AND(AF48="Alta",AH48="Catastrófico"),AND(AF48="Muy Alta",AH48="Catastrófico")),"Extremo","")))),"")</f>
        <v/>
      </c>
      <c r="AK48" s="189"/>
      <c r="AL48" s="180"/>
      <c r="AM48" s="190"/>
      <c r="AN48" s="190"/>
      <c r="AO48" s="191"/>
      <c r="AP48" s="329"/>
      <c r="AQ48" s="329"/>
      <c r="AR48" s="329"/>
    </row>
    <row r="49" spans="1:44" x14ac:dyDescent="0.2">
      <c r="A49" s="342">
        <v>7</v>
      </c>
      <c r="B49" s="340"/>
      <c r="C49" s="340"/>
      <c r="D49" s="348"/>
      <c r="E49" s="340"/>
      <c r="F49" s="340"/>
      <c r="G49" s="321"/>
      <c r="H49" s="321"/>
      <c r="I49" s="321"/>
      <c r="J49" s="321"/>
      <c r="K49" s="321"/>
      <c r="L49" s="321"/>
      <c r="M49" s="321"/>
      <c r="N49" s="329"/>
      <c r="O49" s="326" t="str">
        <f>IF(N49&lt;=0,"",IF(N49&lt;=2,"Muy Baja",IF(N49&lt;=24,"Baja",IF(N49&lt;=500,"Media",IF(N49&lt;=5000,"Alta","Muy Alta")))))</f>
        <v/>
      </c>
      <c r="P49" s="325" t="str">
        <f>IF(O49="","",IF(O49="Muy Baja",0.2,IF(O49="Baja",0.4,IF(O49="Media",0.6,IF(O49="Alta",0.8,IF(O49="Muy Alta",1,))))))</f>
        <v/>
      </c>
      <c r="Q49" s="315"/>
      <c r="R49" s="325">
        <f>IF(NOT(ISERROR(MATCH(Q49,'Tabla Impacto'!$B$222:$B$224,0))),'Tabla Impacto'!$F$224&amp;"Por favor no seleccionar los criterios de impacto(Afectación Económica o presupuestal y Pérdida Reputacional)",Q49)</f>
        <v>0</v>
      </c>
      <c r="S49" s="326" t="str">
        <f>IF(OR(R49='Tabla Impacto'!$C$12,R49='Tabla Impacto'!$D$12),"Leve",IF(OR(R49='Tabla Impacto'!$C$13,R49='Tabla Impacto'!$D$13),"Menor",IF(OR(R49='Tabla Impacto'!$C$14,R49='Tabla Impacto'!$D$14),"Moderado",IF(OR(R49='Tabla Impacto'!$C$15,R49='Tabla Impacto'!$D$15),"Mayor",IF(OR(R49='Tabla Impacto'!$C$16,R49='Tabla Impacto'!$D$16),"Catastrófico","")))))</f>
        <v/>
      </c>
      <c r="T49" s="325" t="str">
        <f>IF(S49="","",IF(S49="Leve",0.2,IF(S49="Menor",0.4,IF(S49="Moderado",0.6,IF(S49="Mayor",0.8,IF(S49="Catastrófico",1,))))))</f>
        <v/>
      </c>
      <c r="U49" s="324"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208">
        <v>1</v>
      </c>
      <c r="W49" s="193"/>
      <c r="X49" s="183" t="str">
        <f>IF(OR(Y49="Preventivo",Y49="Detectivo"),"Probabilidad",IF(Y49="Correctivo","Impacto",""))</f>
        <v/>
      </c>
      <c r="Y49" s="184"/>
      <c r="Z49" s="184"/>
      <c r="AA49" s="185" t="str">
        <f>IF(AND(Y49="Preventivo",Z49="Automático"),"50%",IF(AND(Y49="Preventivo",Z49="Manual"),"40%",IF(AND(Y49="Detectivo",Z49="Automático"),"40%",IF(AND(Y49="Detectivo",Z49="Manual"),"30%",IF(AND(Y49="Correctivo",Z49="Automático"),"35%",IF(AND(Y49="Correctivo",Z49="Manual"),"25%",""))))))</f>
        <v/>
      </c>
      <c r="AB49" s="184"/>
      <c r="AC49" s="184"/>
      <c r="AD49" s="184"/>
      <c r="AE49" s="186" t="str">
        <f>IFERROR(IF(X49="Probabilidad",(P49-(+P49*AA49)),IF(X49="Impacto",P49,"")),"")</f>
        <v/>
      </c>
      <c r="AF49" s="187" t="str">
        <f>IFERROR(IF(AE49="","",IF(AE49&lt;=0.2,"Muy Baja",IF(AE49&lt;=0.4,"Baja",IF(AE49&lt;=0.6,"Media",IF(AE49&lt;=0.8,"Alta","Muy Alta"))))),"")</f>
        <v/>
      </c>
      <c r="AG49" s="185" t="str">
        <f>+AE49</f>
        <v/>
      </c>
      <c r="AH49" s="187" t="str">
        <f>IFERROR(IF(AI49="","",IF(AI49&lt;=0.2,"Leve",IF(AI49&lt;=0.4,"Menor",IF(AI49&lt;=0.6,"Moderado",IF(AI49&lt;=0.8,"Mayor","Catastrófico"))))),"")</f>
        <v/>
      </c>
      <c r="AI49" s="185" t="str">
        <f t="shared" ref="AI49" si="54">IFERROR(IF(X49="Impacto",(T49-(+T49*AA49)),IF(X49="Probabilidad",T49,"")),"")</f>
        <v/>
      </c>
      <c r="AJ49" s="188" t="str">
        <f>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
      </c>
      <c r="AK49" s="189"/>
      <c r="AL49" s="180"/>
      <c r="AM49" s="190"/>
      <c r="AN49" s="190"/>
      <c r="AO49" s="191"/>
      <c r="AP49" s="329"/>
      <c r="AQ49" s="329"/>
      <c r="AR49" s="329"/>
    </row>
    <row r="50" spans="1:44" x14ac:dyDescent="0.2">
      <c r="A50" s="342"/>
      <c r="B50" s="340"/>
      <c r="C50" s="340"/>
      <c r="D50" s="348"/>
      <c r="E50" s="340"/>
      <c r="F50" s="340"/>
      <c r="G50" s="322"/>
      <c r="H50" s="322"/>
      <c r="I50" s="322"/>
      <c r="J50" s="322"/>
      <c r="K50" s="322"/>
      <c r="L50" s="322"/>
      <c r="M50" s="322"/>
      <c r="N50" s="329"/>
      <c r="O50" s="326"/>
      <c r="P50" s="325"/>
      <c r="Q50" s="315"/>
      <c r="R50" s="325">
        <f>IF(NOT(ISERROR(MATCH(Q50,_xlfn.ANCHORARRAY(E61),0))),P63&amp;"Por favor no seleccionar los criterios de impacto",Q50)</f>
        <v>0</v>
      </c>
      <c r="S50" s="326"/>
      <c r="T50" s="325"/>
      <c r="U50" s="324"/>
      <c r="V50" s="208">
        <v>2</v>
      </c>
      <c r="W50" s="181"/>
      <c r="X50" s="183" t="str">
        <f>IF(OR(Y50="Preventivo",Y50="Detectivo"),"Probabilidad",IF(Y50="Correctivo","Impacto",""))</f>
        <v/>
      </c>
      <c r="Y50" s="184"/>
      <c r="Z50" s="184"/>
      <c r="AA50" s="185" t="str">
        <f t="shared" ref="AA50:AA54" si="55">IF(AND(Y50="Preventivo",Z50="Automático"),"50%",IF(AND(Y50="Preventivo",Z50="Manual"),"40%",IF(AND(Y50="Detectivo",Z50="Automático"),"40%",IF(AND(Y50="Detectivo",Z50="Manual"),"30%",IF(AND(Y50="Correctivo",Z50="Automático"),"35%",IF(AND(Y50="Correctivo",Z50="Manual"),"25%",""))))))</f>
        <v/>
      </c>
      <c r="AB50" s="184"/>
      <c r="AC50" s="184"/>
      <c r="AD50" s="184"/>
      <c r="AE50" s="186" t="str">
        <f>IFERROR(IF(AND(X49="Probabilidad",X50="Probabilidad"),(AG49-(+AG49*AA50)),IF(X50="Probabilidad",(P49-(+P49*AA50)),IF(X50="Impacto",AG49,""))),"")</f>
        <v/>
      </c>
      <c r="AF50" s="187" t="str">
        <f t="shared" si="2"/>
        <v/>
      </c>
      <c r="AG50" s="185" t="str">
        <f t="shared" ref="AG50:AG54" si="56">+AE50</f>
        <v/>
      </c>
      <c r="AH50" s="187" t="str">
        <f t="shared" si="4"/>
        <v/>
      </c>
      <c r="AI50" s="185" t="str">
        <f t="shared" ref="AI50" si="57">IFERROR(IF(AND(X49="Impacto",X50="Impacto"),(AI49-(+AI49*AA50)),IF(X50="Impacto",($T$13-(+$T$13*AA50)),IF(X50="Probabilidad",AI49,""))),"")</f>
        <v/>
      </c>
      <c r="AJ50" s="188" t="str">
        <f t="shared" ref="AJ50:AJ51" si="58">IFERROR(IF(OR(AND(AF50="Muy Baja",AH50="Leve"),AND(AF50="Muy Baja",AH50="Menor"),AND(AF50="Baja",AH50="Leve")),"Bajo",IF(OR(AND(AF50="Muy baja",AH50="Moderado"),AND(AF50="Baja",AH50="Menor"),AND(AF50="Baja",AH50="Moderado"),AND(AF50="Media",AH50="Leve"),AND(AF50="Media",AH50="Menor"),AND(AF50="Media",AH50="Moderado"),AND(AF50="Alta",AH50="Leve"),AND(AF50="Alta",AH50="Menor")),"Moderado",IF(OR(AND(AF50="Muy Baja",AH50="Mayor"),AND(AF50="Baja",AH50="Mayor"),AND(AF50="Media",AH50="Mayor"),AND(AF50="Alta",AH50="Moderado"),AND(AF50="Alta",AH50="Mayor"),AND(AF50="Muy Alta",AH50="Leve"),AND(AF50="Muy Alta",AH50="Menor"),AND(AF50="Muy Alta",AH50="Moderado"),AND(AF50="Muy Alta",AH50="Mayor")),"Alto",IF(OR(AND(AF50="Muy Baja",AH50="Catastrófico"),AND(AF50="Baja",AH50="Catastrófico"),AND(AF50="Media",AH50="Catastrófico"),AND(AF50="Alta",AH50="Catastrófico"),AND(AF50="Muy Alta",AH50="Catastrófico")),"Extremo","")))),"")</f>
        <v/>
      </c>
      <c r="AK50" s="189"/>
      <c r="AL50" s="180"/>
      <c r="AM50" s="190"/>
      <c r="AN50" s="190"/>
      <c r="AO50" s="191"/>
      <c r="AP50" s="329"/>
      <c r="AQ50" s="329"/>
      <c r="AR50" s="329"/>
    </row>
    <row r="51" spans="1:44" x14ac:dyDescent="0.2">
      <c r="A51" s="342"/>
      <c r="B51" s="340"/>
      <c r="C51" s="340"/>
      <c r="D51" s="348"/>
      <c r="E51" s="340"/>
      <c r="F51" s="340"/>
      <c r="G51" s="322"/>
      <c r="H51" s="322"/>
      <c r="I51" s="322"/>
      <c r="J51" s="322"/>
      <c r="K51" s="322"/>
      <c r="L51" s="322"/>
      <c r="M51" s="322"/>
      <c r="N51" s="329"/>
      <c r="O51" s="326"/>
      <c r="P51" s="325"/>
      <c r="Q51" s="315"/>
      <c r="R51" s="325">
        <f>IF(NOT(ISERROR(MATCH(Q51,_xlfn.ANCHORARRAY(E62),0))),P64&amp;"Por favor no seleccionar los criterios de impacto",Q51)</f>
        <v>0</v>
      </c>
      <c r="S51" s="326"/>
      <c r="T51" s="325"/>
      <c r="U51" s="324"/>
      <c r="V51" s="208">
        <v>3</v>
      </c>
      <c r="W51" s="182"/>
      <c r="X51" s="183" t="str">
        <f>IF(OR(Y51="Preventivo",Y51="Detectivo"),"Probabilidad",IF(Y51="Correctivo","Impacto",""))</f>
        <v/>
      </c>
      <c r="Y51" s="184"/>
      <c r="Z51" s="184"/>
      <c r="AA51" s="185" t="str">
        <f t="shared" si="55"/>
        <v/>
      </c>
      <c r="AB51" s="184"/>
      <c r="AC51" s="184"/>
      <c r="AD51" s="184"/>
      <c r="AE51" s="186" t="str">
        <f>IFERROR(IF(AND(X50="Probabilidad",X51="Probabilidad"),(AG50-(+AG50*AA51)),IF(AND(X50="Impacto",X51="Probabilidad"),(AG49-(+AG49*AA51)),IF(X51="Impacto",AG50,""))),"")</f>
        <v/>
      </c>
      <c r="AF51" s="187" t="str">
        <f t="shared" si="2"/>
        <v/>
      </c>
      <c r="AG51" s="185" t="str">
        <f t="shared" si="56"/>
        <v/>
      </c>
      <c r="AH51" s="187" t="str">
        <f t="shared" si="4"/>
        <v/>
      </c>
      <c r="AI51" s="185" t="str">
        <f t="shared" ref="AI51" si="59">IFERROR(IF(AND(X50="Impacto",X51="Impacto"),(AI50-(+AI50*AA51)),IF(AND(X50="Probabilidad",X51="Impacto"),(AI49-(+AI49*AA51)),IF(X51="Probabilidad",AI50,""))),"")</f>
        <v/>
      </c>
      <c r="AJ51" s="188" t="str">
        <f t="shared" si="58"/>
        <v/>
      </c>
      <c r="AK51" s="189"/>
      <c r="AL51" s="180"/>
      <c r="AM51" s="190"/>
      <c r="AN51" s="190"/>
      <c r="AO51" s="191"/>
      <c r="AP51" s="329"/>
      <c r="AQ51" s="329"/>
      <c r="AR51" s="329"/>
    </row>
    <row r="52" spans="1:44" x14ac:dyDescent="0.2">
      <c r="A52" s="342"/>
      <c r="B52" s="340"/>
      <c r="C52" s="340"/>
      <c r="D52" s="348"/>
      <c r="E52" s="340"/>
      <c r="F52" s="340"/>
      <c r="G52" s="322"/>
      <c r="H52" s="322"/>
      <c r="I52" s="322"/>
      <c r="J52" s="322"/>
      <c r="K52" s="322"/>
      <c r="L52" s="322"/>
      <c r="M52" s="322"/>
      <c r="N52" s="329"/>
      <c r="O52" s="326"/>
      <c r="P52" s="325"/>
      <c r="Q52" s="315"/>
      <c r="R52" s="325">
        <f>IF(NOT(ISERROR(MATCH(Q52,_xlfn.ANCHORARRAY(E63),0))),P65&amp;"Por favor no seleccionar los criterios de impacto",Q52)</f>
        <v>0</v>
      </c>
      <c r="S52" s="326"/>
      <c r="T52" s="325"/>
      <c r="U52" s="324"/>
      <c r="V52" s="208">
        <v>4</v>
      </c>
      <c r="W52" s="181"/>
      <c r="X52" s="183" t="str">
        <f t="shared" ref="X52:X54" si="60">IF(OR(Y52="Preventivo",Y52="Detectivo"),"Probabilidad",IF(Y52="Correctivo","Impacto",""))</f>
        <v/>
      </c>
      <c r="Y52" s="184"/>
      <c r="Z52" s="184"/>
      <c r="AA52" s="185" t="str">
        <f t="shared" si="55"/>
        <v/>
      </c>
      <c r="AB52" s="184"/>
      <c r="AC52" s="184"/>
      <c r="AD52" s="184"/>
      <c r="AE52" s="186" t="str">
        <f t="shared" ref="AE52:AE54" si="61">IFERROR(IF(AND(X51="Probabilidad",X52="Probabilidad"),(AG51-(+AG51*AA52)),IF(AND(X51="Impacto",X52="Probabilidad"),(AG50-(+AG50*AA52)),IF(X52="Impacto",AG51,""))),"")</f>
        <v/>
      </c>
      <c r="AF52" s="187" t="str">
        <f t="shared" si="2"/>
        <v/>
      </c>
      <c r="AG52" s="185" t="str">
        <f t="shared" si="56"/>
        <v/>
      </c>
      <c r="AH52" s="187" t="str">
        <f t="shared" si="4"/>
        <v/>
      </c>
      <c r="AI52" s="185" t="str">
        <f t="shared" si="14"/>
        <v/>
      </c>
      <c r="AJ52" s="188" t="str">
        <f>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
      </c>
      <c r="AK52" s="189"/>
      <c r="AL52" s="180"/>
      <c r="AM52" s="190"/>
      <c r="AN52" s="190"/>
      <c r="AO52" s="191"/>
      <c r="AP52" s="329"/>
      <c r="AQ52" s="329"/>
      <c r="AR52" s="329"/>
    </row>
    <row r="53" spans="1:44" x14ac:dyDescent="0.2">
      <c r="A53" s="342"/>
      <c r="B53" s="340"/>
      <c r="C53" s="340"/>
      <c r="D53" s="348"/>
      <c r="E53" s="340"/>
      <c r="F53" s="340"/>
      <c r="G53" s="322"/>
      <c r="H53" s="322"/>
      <c r="I53" s="322"/>
      <c r="J53" s="322"/>
      <c r="K53" s="322"/>
      <c r="L53" s="322"/>
      <c r="M53" s="322"/>
      <c r="N53" s="329"/>
      <c r="O53" s="326"/>
      <c r="P53" s="325"/>
      <c r="Q53" s="315"/>
      <c r="R53" s="325">
        <f>IF(NOT(ISERROR(MATCH(Q53,_xlfn.ANCHORARRAY(E64),0))),P66&amp;"Por favor no seleccionar los criterios de impacto",Q53)</f>
        <v>0</v>
      </c>
      <c r="S53" s="326"/>
      <c r="T53" s="325"/>
      <c r="U53" s="324"/>
      <c r="V53" s="208">
        <v>5</v>
      </c>
      <c r="W53" s="181"/>
      <c r="X53" s="183" t="str">
        <f t="shared" si="60"/>
        <v/>
      </c>
      <c r="Y53" s="184"/>
      <c r="Z53" s="184"/>
      <c r="AA53" s="185" t="str">
        <f t="shared" si="55"/>
        <v/>
      </c>
      <c r="AB53" s="184"/>
      <c r="AC53" s="184"/>
      <c r="AD53" s="184"/>
      <c r="AE53" s="186" t="str">
        <f t="shared" si="61"/>
        <v/>
      </c>
      <c r="AF53" s="187" t="str">
        <f t="shared" si="2"/>
        <v/>
      </c>
      <c r="AG53" s="185" t="str">
        <f t="shared" si="56"/>
        <v/>
      </c>
      <c r="AH53" s="187" t="str">
        <f t="shared" si="4"/>
        <v/>
      </c>
      <c r="AI53" s="185" t="str">
        <f t="shared" si="14"/>
        <v/>
      </c>
      <c r="AJ53" s="188" t="str">
        <f t="shared" ref="AJ53:AJ54" si="62">IFERROR(IF(OR(AND(AF53="Muy Baja",AH53="Leve"),AND(AF53="Muy Baja",AH53="Menor"),AND(AF53="Baja",AH53="Leve")),"Bajo",IF(OR(AND(AF53="Muy baja",AH53="Moderado"),AND(AF53="Baja",AH53="Menor"),AND(AF53="Baja",AH53="Moderado"),AND(AF53="Media",AH53="Leve"),AND(AF53="Media",AH53="Menor"),AND(AF53="Media",AH53="Moderado"),AND(AF53="Alta",AH53="Leve"),AND(AF53="Alta",AH53="Menor")),"Moderado",IF(OR(AND(AF53="Muy Baja",AH53="Mayor"),AND(AF53="Baja",AH53="Mayor"),AND(AF53="Media",AH53="Mayor"),AND(AF53="Alta",AH53="Moderado"),AND(AF53="Alta",AH53="Mayor"),AND(AF53="Muy Alta",AH53="Leve"),AND(AF53="Muy Alta",AH53="Menor"),AND(AF53="Muy Alta",AH53="Moderado"),AND(AF53="Muy Alta",AH53="Mayor")),"Alto",IF(OR(AND(AF53="Muy Baja",AH53="Catastrófico"),AND(AF53="Baja",AH53="Catastrófico"),AND(AF53="Media",AH53="Catastrófico"),AND(AF53="Alta",AH53="Catastrófico"),AND(AF53="Muy Alta",AH53="Catastrófico")),"Extremo","")))),"")</f>
        <v/>
      </c>
      <c r="AK53" s="189"/>
      <c r="AL53" s="180"/>
      <c r="AM53" s="190"/>
      <c r="AN53" s="190"/>
      <c r="AO53" s="191"/>
      <c r="AP53" s="329"/>
      <c r="AQ53" s="329"/>
      <c r="AR53" s="329"/>
    </row>
    <row r="54" spans="1:44" x14ac:dyDescent="0.2">
      <c r="A54" s="342"/>
      <c r="B54" s="340"/>
      <c r="C54" s="340"/>
      <c r="D54" s="348"/>
      <c r="E54" s="340"/>
      <c r="F54" s="340"/>
      <c r="G54" s="323"/>
      <c r="H54" s="323"/>
      <c r="I54" s="323"/>
      <c r="J54" s="323"/>
      <c r="K54" s="323"/>
      <c r="L54" s="323"/>
      <c r="M54" s="323"/>
      <c r="N54" s="329"/>
      <c r="O54" s="326"/>
      <c r="P54" s="325"/>
      <c r="Q54" s="315"/>
      <c r="R54" s="325">
        <f>IF(NOT(ISERROR(MATCH(Q54,_xlfn.ANCHORARRAY(E65),0))),P67&amp;"Por favor no seleccionar los criterios de impacto",Q54)</f>
        <v>0</v>
      </c>
      <c r="S54" s="326"/>
      <c r="T54" s="325"/>
      <c r="U54" s="324"/>
      <c r="V54" s="208">
        <v>6</v>
      </c>
      <c r="W54" s="181"/>
      <c r="X54" s="183" t="str">
        <f t="shared" si="60"/>
        <v/>
      </c>
      <c r="Y54" s="184"/>
      <c r="Z54" s="184"/>
      <c r="AA54" s="185" t="str">
        <f t="shared" si="55"/>
        <v/>
      </c>
      <c r="AB54" s="184"/>
      <c r="AC54" s="184"/>
      <c r="AD54" s="184"/>
      <c r="AE54" s="186" t="str">
        <f t="shared" si="61"/>
        <v/>
      </c>
      <c r="AF54" s="187" t="str">
        <f t="shared" si="2"/>
        <v/>
      </c>
      <c r="AG54" s="185" t="str">
        <f t="shared" si="56"/>
        <v/>
      </c>
      <c r="AH54" s="187" t="str">
        <f t="shared" si="4"/>
        <v/>
      </c>
      <c r="AI54" s="185" t="str">
        <f t="shared" si="14"/>
        <v/>
      </c>
      <c r="AJ54" s="188" t="str">
        <f t="shared" si="62"/>
        <v/>
      </c>
      <c r="AK54" s="189"/>
      <c r="AL54" s="180"/>
      <c r="AM54" s="190"/>
      <c r="AN54" s="190"/>
      <c r="AO54" s="191"/>
      <c r="AP54" s="329"/>
      <c r="AQ54" s="329"/>
      <c r="AR54" s="329"/>
    </row>
    <row r="55" spans="1:44" x14ac:dyDescent="0.2">
      <c r="A55" s="342">
        <v>8</v>
      </c>
      <c r="B55" s="340"/>
      <c r="C55" s="340"/>
      <c r="D55" s="340"/>
      <c r="E55" s="340"/>
      <c r="F55" s="340"/>
      <c r="G55" s="321"/>
      <c r="H55" s="321"/>
      <c r="I55" s="321"/>
      <c r="J55" s="321"/>
      <c r="K55" s="321"/>
      <c r="L55" s="321"/>
      <c r="M55" s="321"/>
      <c r="N55" s="329"/>
      <c r="O55" s="326" t="str">
        <f>IF(N55&lt;=0,"",IF(N55&lt;=2,"Muy Baja",IF(N55&lt;=24,"Baja",IF(N55&lt;=500,"Media",IF(N55&lt;=5000,"Alta","Muy Alta")))))</f>
        <v/>
      </c>
      <c r="P55" s="325" t="str">
        <f>IF(O55="","",IF(O55="Muy Baja",0.2,IF(O55="Baja",0.4,IF(O55="Media",0.6,IF(O55="Alta",0.8,IF(O55="Muy Alta",1,))))))</f>
        <v/>
      </c>
      <c r="Q55" s="315"/>
      <c r="R55" s="325">
        <f>IF(NOT(ISERROR(MATCH(Q55,'Tabla Impacto'!$B$222:$B$224,0))),'Tabla Impacto'!$F$224&amp;"Por favor no seleccionar los criterios de impacto(Afectación Económica o presupuestal y Pérdida Reputacional)",Q55)</f>
        <v>0</v>
      </c>
      <c r="S55" s="326" t="str">
        <f>IF(OR(R55='Tabla Impacto'!$C$12,R55='Tabla Impacto'!$D$12),"Leve",IF(OR(R55='Tabla Impacto'!$C$13,R55='Tabla Impacto'!$D$13),"Menor",IF(OR(R55='Tabla Impacto'!$C$14,R55='Tabla Impacto'!$D$14),"Moderado",IF(OR(R55='Tabla Impacto'!$C$15,R55='Tabla Impacto'!$D$15),"Mayor",IF(OR(R55='Tabla Impacto'!$C$16,R55='Tabla Impacto'!$D$16),"Catastrófico","")))))</f>
        <v/>
      </c>
      <c r="T55" s="325" t="str">
        <f>IF(S55="","",IF(S55="Leve",0.2,IF(S55="Menor",0.4,IF(S55="Moderado",0.6,IF(S55="Mayor",0.8,IF(S55="Catastrófico",1,))))))</f>
        <v/>
      </c>
      <c r="U55" s="324"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208">
        <v>1</v>
      </c>
      <c r="W55" s="181"/>
      <c r="X55" s="183" t="str">
        <f>IF(OR(Y55="Preventivo",Y55="Detectivo"),"Probabilidad",IF(Y55="Correctivo","Impacto",""))</f>
        <v/>
      </c>
      <c r="Y55" s="184"/>
      <c r="Z55" s="184"/>
      <c r="AA55" s="185" t="str">
        <f>IF(AND(Y55="Preventivo",Z55="Automático"),"50%",IF(AND(Y55="Preventivo",Z55="Manual"),"40%",IF(AND(Y55="Detectivo",Z55="Automático"),"40%",IF(AND(Y55="Detectivo",Z55="Manual"),"30%",IF(AND(Y55="Correctivo",Z55="Automático"),"35%",IF(AND(Y55="Correctivo",Z55="Manual"),"25%",""))))))</f>
        <v/>
      </c>
      <c r="AB55" s="184"/>
      <c r="AC55" s="184"/>
      <c r="AD55" s="184"/>
      <c r="AE55" s="186" t="str">
        <f>IFERROR(IF(X55="Probabilidad",(P55-(+P55*AA55)),IF(X55="Impacto",P55,"")),"")</f>
        <v/>
      </c>
      <c r="AF55" s="187" t="str">
        <f>IFERROR(IF(AE55="","",IF(AE55&lt;=0.2,"Muy Baja",IF(AE55&lt;=0.4,"Baja",IF(AE55&lt;=0.6,"Media",IF(AE55&lt;=0.8,"Alta","Muy Alta"))))),"")</f>
        <v/>
      </c>
      <c r="AG55" s="185" t="str">
        <f>+AE55</f>
        <v/>
      </c>
      <c r="AH55" s="187" t="str">
        <f>IFERROR(IF(AI55="","",IF(AI55&lt;=0.2,"Leve",IF(AI55&lt;=0.4,"Menor",IF(AI55&lt;=0.6,"Moderado",IF(AI55&lt;=0.8,"Mayor","Catastrófico"))))),"")</f>
        <v/>
      </c>
      <c r="AI55" s="185" t="str">
        <f t="shared" ref="AI55" si="63">IFERROR(IF(X55="Impacto",(T55-(+T55*AA55)),IF(X55="Probabilidad",T55,"")),"")</f>
        <v/>
      </c>
      <c r="AJ55" s="188" t="str">
        <f>IFERROR(IF(OR(AND(AF55="Muy Baja",AH55="Leve"),AND(AF55="Muy Baja",AH55="Menor"),AND(AF55="Baja",AH55="Leve")),"Bajo",IF(OR(AND(AF55="Muy baja",AH55="Moderado"),AND(AF55="Baja",AH55="Menor"),AND(AF55="Baja",AH55="Moderado"),AND(AF55="Media",AH55="Leve"),AND(AF55="Media",AH55="Menor"),AND(AF55="Media",AH55="Moderado"),AND(AF55="Alta",AH55="Leve"),AND(AF55="Alta",AH55="Menor")),"Moderado",IF(OR(AND(AF55="Muy Baja",AH55="Mayor"),AND(AF55="Baja",AH55="Mayor"),AND(AF55="Media",AH55="Mayor"),AND(AF55="Alta",AH55="Moderado"),AND(AF55="Alta",AH55="Mayor"),AND(AF55="Muy Alta",AH55="Leve"),AND(AF55="Muy Alta",AH55="Menor"),AND(AF55="Muy Alta",AH55="Moderado"),AND(AF55="Muy Alta",AH55="Mayor")),"Alto",IF(OR(AND(AF55="Muy Baja",AH55="Catastrófico"),AND(AF55="Baja",AH55="Catastrófico"),AND(AF55="Media",AH55="Catastrófico"),AND(AF55="Alta",AH55="Catastrófico"),AND(AF55="Muy Alta",AH55="Catastrófico")),"Extremo","")))),"")</f>
        <v/>
      </c>
      <c r="AK55" s="189"/>
      <c r="AL55" s="180"/>
      <c r="AM55" s="190"/>
      <c r="AN55" s="190"/>
      <c r="AO55" s="191"/>
      <c r="AP55" s="329"/>
      <c r="AQ55" s="329"/>
      <c r="AR55" s="329"/>
    </row>
    <row r="56" spans="1:44" x14ac:dyDescent="0.2">
      <c r="A56" s="342"/>
      <c r="B56" s="340"/>
      <c r="C56" s="340"/>
      <c r="D56" s="340"/>
      <c r="E56" s="340"/>
      <c r="F56" s="340"/>
      <c r="G56" s="322"/>
      <c r="H56" s="322"/>
      <c r="I56" s="322"/>
      <c r="J56" s="322"/>
      <c r="K56" s="322"/>
      <c r="L56" s="322"/>
      <c r="M56" s="322"/>
      <c r="N56" s="329"/>
      <c r="O56" s="326"/>
      <c r="P56" s="325"/>
      <c r="Q56" s="315"/>
      <c r="R56" s="325">
        <f>IF(NOT(ISERROR(MATCH(Q56,_xlfn.ANCHORARRAY(E67),0))),P69&amp;"Por favor no seleccionar los criterios de impacto",Q56)</f>
        <v>0</v>
      </c>
      <c r="S56" s="326"/>
      <c r="T56" s="325"/>
      <c r="U56" s="324"/>
      <c r="V56" s="208">
        <v>2</v>
      </c>
      <c r="W56" s="181"/>
      <c r="X56" s="183" t="str">
        <f>IF(OR(Y56="Preventivo",Y56="Detectivo"),"Probabilidad",IF(Y56="Correctivo","Impacto",""))</f>
        <v/>
      </c>
      <c r="Y56" s="184"/>
      <c r="Z56" s="184"/>
      <c r="AA56" s="185" t="str">
        <f t="shared" ref="AA56:AA60" si="64">IF(AND(Y56="Preventivo",Z56="Automático"),"50%",IF(AND(Y56="Preventivo",Z56="Manual"),"40%",IF(AND(Y56="Detectivo",Z56="Automático"),"40%",IF(AND(Y56="Detectivo",Z56="Manual"),"30%",IF(AND(Y56="Correctivo",Z56="Automático"),"35%",IF(AND(Y56="Correctivo",Z56="Manual"),"25%",""))))))</f>
        <v/>
      </c>
      <c r="AB56" s="184"/>
      <c r="AC56" s="184"/>
      <c r="AD56" s="184"/>
      <c r="AE56" s="186" t="str">
        <f>IFERROR(IF(AND(X55="Probabilidad",X56="Probabilidad"),(AG55-(+AG55*AA56)),IF(X56="Probabilidad",(P55-(+P55*AA56)),IF(X56="Impacto",AG55,""))),"")</f>
        <v/>
      </c>
      <c r="AF56" s="187" t="str">
        <f t="shared" si="2"/>
        <v/>
      </c>
      <c r="AG56" s="185" t="str">
        <f t="shared" ref="AG56:AG60" si="65">+AE56</f>
        <v/>
      </c>
      <c r="AH56" s="187" t="str">
        <f t="shared" si="4"/>
        <v/>
      </c>
      <c r="AI56" s="185" t="str">
        <f t="shared" ref="AI56" si="66">IFERROR(IF(AND(X55="Impacto",X56="Impacto"),(AI55-(+AI55*AA56)),IF(X56="Impacto",($T$13-(+$T$13*AA56)),IF(X56="Probabilidad",AI55,""))),"")</f>
        <v/>
      </c>
      <c r="AJ56" s="188" t="str">
        <f t="shared" ref="AJ56:AJ57" si="67">IFERROR(IF(OR(AND(AF56="Muy Baja",AH56="Leve"),AND(AF56="Muy Baja",AH56="Menor"),AND(AF56="Baja",AH56="Leve")),"Bajo",IF(OR(AND(AF56="Muy baja",AH56="Moderado"),AND(AF56="Baja",AH56="Menor"),AND(AF56="Baja",AH56="Moderado"),AND(AF56="Media",AH56="Leve"),AND(AF56="Media",AH56="Menor"),AND(AF56="Media",AH56="Moderado"),AND(AF56="Alta",AH56="Leve"),AND(AF56="Alta",AH56="Menor")),"Moderado",IF(OR(AND(AF56="Muy Baja",AH56="Mayor"),AND(AF56="Baja",AH56="Mayor"),AND(AF56="Media",AH56="Mayor"),AND(AF56="Alta",AH56="Moderado"),AND(AF56="Alta",AH56="Mayor"),AND(AF56="Muy Alta",AH56="Leve"),AND(AF56="Muy Alta",AH56="Menor"),AND(AF56="Muy Alta",AH56="Moderado"),AND(AF56="Muy Alta",AH56="Mayor")),"Alto",IF(OR(AND(AF56="Muy Baja",AH56="Catastrófico"),AND(AF56="Baja",AH56="Catastrófico"),AND(AF56="Media",AH56="Catastrófico"),AND(AF56="Alta",AH56="Catastrófico"),AND(AF56="Muy Alta",AH56="Catastrófico")),"Extremo","")))),"")</f>
        <v/>
      </c>
      <c r="AK56" s="189"/>
      <c r="AL56" s="180"/>
      <c r="AM56" s="190"/>
      <c r="AN56" s="190"/>
      <c r="AO56" s="191"/>
      <c r="AP56" s="329"/>
      <c r="AQ56" s="329"/>
      <c r="AR56" s="329"/>
    </row>
    <row r="57" spans="1:44" x14ac:dyDescent="0.2">
      <c r="A57" s="342"/>
      <c r="B57" s="340"/>
      <c r="C57" s="340"/>
      <c r="D57" s="340"/>
      <c r="E57" s="340"/>
      <c r="F57" s="340"/>
      <c r="G57" s="322"/>
      <c r="H57" s="322"/>
      <c r="I57" s="322"/>
      <c r="J57" s="322"/>
      <c r="K57" s="322"/>
      <c r="L57" s="322"/>
      <c r="M57" s="322"/>
      <c r="N57" s="329"/>
      <c r="O57" s="326"/>
      <c r="P57" s="325"/>
      <c r="Q57" s="315"/>
      <c r="R57" s="325">
        <f>IF(NOT(ISERROR(MATCH(Q57,_xlfn.ANCHORARRAY(E68),0))),P70&amp;"Por favor no seleccionar los criterios de impacto",Q57)</f>
        <v>0</v>
      </c>
      <c r="S57" s="326"/>
      <c r="T57" s="325"/>
      <c r="U57" s="324"/>
      <c r="V57" s="208">
        <v>3</v>
      </c>
      <c r="W57" s="182"/>
      <c r="X57" s="183" t="str">
        <f>IF(OR(Y57="Preventivo",Y57="Detectivo"),"Probabilidad",IF(Y57="Correctivo","Impacto",""))</f>
        <v/>
      </c>
      <c r="Y57" s="184"/>
      <c r="Z57" s="184"/>
      <c r="AA57" s="185" t="str">
        <f t="shared" si="64"/>
        <v/>
      </c>
      <c r="AB57" s="184"/>
      <c r="AC57" s="184"/>
      <c r="AD57" s="184"/>
      <c r="AE57" s="186" t="str">
        <f>IFERROR(IF(AND(X56="Probabilidad",X57="Probabilidad"),(AG56-(+AG56*AA57)),IF(AND(X56="Impacto",X57="Probabilidad"),(AG55-(+AG55*AA57)),IF(X57="Impacto",AG56,""))),"")</f>
        <v/>
      </c>
      <c r="AF57" s="187" t="str">
        <f t="shared" si="2"/>
        <v/>
      </c>
      <c r="AG57" s="185" t="str">
        <f t="shared" si="65"/>
        <v/>
      </c>
      <c r="AH57" s="187" t="str">
        <f t="shared" si="4"/>
        <v/>
      </c>
      <c r="AI57" s="185" t="str">
        <f t="shared" ref="AI57" si="68">IFERROR(IF(AND(X56="Impacto",X57="Impacto"),(AI56-(+AI56*AA57)),IF(AND(X56="Probabilidad",X57="Impacto"),(AI55-(+AI55*AA57)),IF(X57="Probabilidad",AI56,""))),"")</f>
        <v/>
      </c>
      <c r="AJ57" s="188" t="str">
        <f t="shared" si="67"/>
        <v/>
      </c>
      <c r="AK57" s="189"/>
      <c r="AL57" s="180"/>
      <c r="AM57" s="190"/>
      <c r="AN57" s="190"/>
      <c r="AO57" s="191"/>
      <c r="AP57" s="329"/>
      <c r="AQ57" s="329"/>
      <c r="AR57" s="329"/>
    </row>
    <row r="58" spans="1:44" x14ac:dyDescent="0.2">
      <c r="A58" s="342"/>
      <c r="B58" s="340"/>
      <c r="C58" s="340"/>
      <c r="D58" s="340"/>
      <c r="E58" s="340"/>
      <c r="F58" s="340"/>
      <c r="G58" s="322"/>
      <c r="H58" s="322"/>
      <c r="I58" s="322"/>
      <c r="J58" s="322"/>
      <c r="K58" s="322"/>
      <c r="L58" s="322"/>
      <c r="M58" s="322"/>
      <c r="N58" s="329"/>
      <c r="O58" s="326"/>
      <c r="P58" s="325"/>
      <c r="Q58" s="315"/>
      <c r="R58" s="325">
        <f>IF(NOT(ISERROR(MATCH(Q58,_xlfn.ANCHORARRAY(E69),0))),P71&amp;"Por favor no seleccionar los criterios de impacto",Q58)</f>
        <v>0</v>
      </c>
      <c r="S58" s="326"/>
      <c r="T58" s="325"/>
      <c r="U58" s="324"/>
      <c r="V58" s="208">
        <v>4</v>
      </c>
      <c r="W58" s="181"/>
      <c r="X58" s="183" t="str">
        <f t="shared" ref="X58:X60" si="69">IF(OR(Y58="Preventivo",Y58="Detectivo"),"Probabilidad",IF(Y58="Correctivo","Impacto",""))</f>
        <v/>
      </c>
      <c r="Y58" s="184"/>
      <c r="Z58" s="184"/>
      <c r="AA58" s="185" t="str">
        <f t="shared" si="64"/>
        <v/>
      </c>
      <c r="AB58" s="184"/>
      <c r="AC58" s="184"/>
      <c r="AD58" s="184"/>
      <c r="AE58" s="186" t="str">
        <f t="shared" ref="AE58:AE60" si="70">IFERROR(IF(AND(X57="Probabilidad",X58="Probabilidad"),(AG57-(+AG57*AA58)),IF(AND(X57="Impacto",X58="Probabilidad"),(AG56-(+AG56*AA58)),IF(X58="Impacto",AG57,""))),"")</f>
        <v/>
      </c>
      <c r="AF58" s="187" t="str">
        <f t="shared" si="2"/>
        <v/>
      </c>
      <c r="AG58" s="185" t="str">
        <f t="shared" si="65"/>
        <v/>
      </c>
      <c r="AH58" s="187" t="str">
        <f t="shared" si="4"/>
        <v/>
      </c>
      <c r="AI58" s="185" t="str">
        <f t="shared" si="14"/>
        <v/>
      </c>
      <c r="AJ58" s="188" t="str">
        <f>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
      </c>
      <c r="AK58" s="189"/>
      <c r="AL58" s="180"/>
      <c r="AM58" s="190"/>
      <c r="AN58" s="190"/>
      <c r="AO58" s="191"/>
      <c r="AP58" s="329"/>
      <c r="AQ58" s="329"/>
      <c r="AR58" s="329"/>
    </row>
    <row r="59" spans="1:44" x14ac:dyDescent="0.2">
      <c r="A59" s="342"/>
      <c r="B59" s="340"/>
      <c r="C59" s="340"/>
      <c r="D59" s="340"/>
      <c r="E59" s="340"/>
      <c r="F59" s="340"/>
      <c r="G59" s="322"/>
      <c r="H59" s="322"/>
      <c r="I59" s="322"/>
      <c r="J59" s="322"/>
      <c r="K59" s="322"/>
      <c r="L59" s="322"/>
      <c r="M59" s="322"/>
      <c r="N59" s="329"/>
      <c r="O59" s="326"/>
      <c r="P59" s="325"/>
      <c r="Q59" s="315"/>
      <c r="R59" s="325">
        <f>IF(NOT(ISERROR(MATCH(Q59,_xlfn.ANCHORARRAY(E70),0))),P72&amp;"Por favor no seleccionar los criterios de impacto",Q59)</f>
        <v>0</v>
      </c>
      <c r="S59" s="326"/>
      <c r="T59" s="325"/>
      <c r="U59" s="324"/>
      <c r="V59" s="208">
        <v>5</v>
      </c>
      <c r="W59" s="181"/>
      <c r="X59" s="183" t="str">
        <f t="shared" si="69"/>
        <v/>
      </c>
      <c r="Y59" s="184"/>
      <c r="Z59" s="184"/>
      <c r="AA59" s="185" t="str">
        <f t="shared" si="64"/>
        <v/>
      </c>
      <c r="AB59" s="184"/>
      <c r="AC59" s="184"/>
      <c r="AD59" s="184"/>
      <c r="AE59" s="186" t="str">
        <f t="shared" si="70"/>
        <v/>
      </c>
      <c r="AF59" s="187" t="str">
        <f t="shared" si="2"/>
        <v/>
      </c>
      <c r="AG59" s="185" t="str">
        <f t="shared" si="65"/>
        <v/>
      </c>
      <c r="AH59" s="187" t="str">
        <f t="shared" si="4"/>
        <v/>
      </c>
      <c r="AI59" s="185" t="str">
        <f t="shared" si="14"/>
        <v/>
      </c>
      <c r="AJ59" s="188" t="str">
        <f t="shared" ref="AJ59:AJ60" si="71">IFERROR(IF(OR(AND(AF59="Muy Baja",AH59="Leve"),AND(AF59="Muy Baja",AH59="Menor"),AND(AF59="Baja",AH59="Leve")),"Bajo",IF(OR(AND(AF59="Muy baja",AH59="Moderado"),AND(AF59="Baja",AH59="Menor"),AND(AF59="Baja",AH59="Moderado"),AND(AF59="Media",AH59="Leve"),AND(AF59="Media",AH59="Menor"),AND(AF59="Media",AH59="Moderado"),AND(AF59="Alta",AH59="Leve"),AND(AF59="Alta",AH59="Menor")),"Moderado",IF(OR(AND(AF59="Muy Baja",AH59="Mayor"),AND(AF59="Baja",AH59="Mayor"),AND(AF59="Media",AH59="Mayor"),AND(AF59="Alta",AH59="Moderado"),AND(AF59="Alta",AH59="Mayor"),AND(AF59="Muy Alta",AH59="Leve"),AND(AF59="Muy Alta",AH59="Menor"),AND(AF59="Muy Alta",AH59="Moderado"),AND(AF59="Muy Alta",AH59="Mayor")),"Alto",IF(OR(AND(AF59="Muy Baja",AH59="Catastrófico"),AND(AF59="Baja",AH59="Catastrófico"),AND(AF59="Media",AH59="Catastrófico"),AND(AF59="Alta",AH59="Catastrófico"),AND(AF59="Muy Alta",AH59="Catastrófico")),"Extremo","")))),"")</f>
        <v/>
      </c>
      <c r="AK59" s="189"/>
      <c r="AL59" s="180"/>
      <c r="AM59" s="190"/>
      <c r="AN59" s="190"/>
      <c r="AO59" s="191"/>
      <c r="AP59" s="329"/>
      <c r="AQ59" s="329"/>
      <c r="AR59" s="329"/>
    </row>
    <row r="60" spans="1:44" x14ac:dyDescent="0.2">
      <c r="A60" s="342"/>
      <c r="B60" s="340"/>
      <c r="C60" s="340"/>
      <c r="D60" s="340"/>
      <c r="E60" s="340"/>
      <c r="F60" s="340"/>
      <c r="G60" s="323"/>
      <c r="H60" s="323"/>
      <c r="I60" s="323"/>
      <c r="J60" s="323"/>
      <c r="K60" s="323"/>
      <c r="L60" s="323"/>
      <c r="M60" s="323"/>
      <c r="N60" s="329"/>
      <c r="O60" s="326"/>
      <c r="P60" s="325"/>
      <c r="Q60" s="315"/>
      <c r="R60" s="325">
        <f>IF(NOT(ISERROR(MATCH(Q60,_xlfn.ANCHORARRAY(E71),0))),Q73&amp;"Por favor no seleccionar los criterios de impacto",Q60)</f>
        <v>0</v>
      </c>
      <c r="S60" s="326"/>
      <c r="T60" s="325"/>
      <c r="U60" s="324"/>
      <c r="V60" s="208">
        <v>6</v>
      </c>
      <c r="W60" s="181"/>
      <c r="X60" s="183" t="str">
        <f t="shared" si="69"/>
        <v/>
      </c>
      <c r="Y60" s="184"/>
      <c r="Z60" s="184"/>
      <c r="AA60" s="185" t="str">
        <f t="shared" si="64"/>
        <v/>
      </c>
      <c r="AB60" s="184"/>
      <c r="AC60" s="184"/>
      <c r="AD60" s="184"/>
      <c r="AE60" s="186" t="str">
        <f t="shared" si="70"/>
        <v/>
      </c>
      <c r="AF60" s="187" t="str">
        <f t="shared" si="2"/>
        <v/>
      </c>
      <c r="AG60" s="185" t="str">
        <f t="shared" si="65"/>
        <v/>
      </c>
      <c r="AH60" s="187" t="str">
        <f t="shared" si="4"/>
        <v/>
      </c>
      <c r="AI60" s="185" t="str">
        <f t="shared" si="14"/>
        <v/>
      </c>
      <c r="AJ60" s="188" t="str">
        <f t="shared" si="71"/>
        <v/>
      </c>
      <c r="AK60" s="189"/>
      <c r="AL60" s="180"/>
      <c r="AM60" s="190"/>
      <c r="AN60" s="190"/>
      <c r="AO60" s="191"/>
      <c r="AP60" s="329"/>
      <c r="AQ60" s="329"/>
      <c r="AR60" s="329"/>
    </row>
    <row r="61" spans="1:44" x14ac:dyDescent="0.2">
      <c r="A61" s="342">
        <v>9</v>
      </c>
      <c r="B61" s="340"/>
      <c r="C61" s="340"/>
      <c r="D61" s="340"/>
      <c r="E61" s="340"/>
      <c r="F61" s="340"/>
      <c r="G61" s="321"/>
      <c r="H61" s="321"/>
      <c r="I61" s="215"/>
      <c r="J61" s="215"/>
      <c r="K61" s="215"/>
      <c r="L61" s="321"/>
      <c r="M61" s="321"/>
      <c r="N61" s="329"/>
      <c r="O61" s="326" t="str">
        <f>IF(N61&lt;=0,"",IF(N61&lt;=2,"Muy Baja",IF(N61&lt;=24,"Baja",IF(N61&lt;=500,"Media",IF(N61&lt;=5000,"Alta","Muy Alta")))))</f>
        <v/>
      </c>
      <c r="P61" s="325" t="str">
        <f>IF(O61="","",IF(O61="Muy Baja",0.2,IF(O61="Baja",0.4,IF(O61="Media",0.6,IF(O61="Alta",0.8,IF(O61="Muy Alta",1,))))))</f>
        <v/>
      </c>
      <c r="Q61" s="315"/>
      <c r="R61" s="325">
        <f>IF(NOT(ISERROR(MATCH(Q61,'Tabla Impacto'!$B$222:$B$224,0))),'Tabla Impacto'!$F$224&amp;"Por favor no seleccionar los criterios de impacto(Afectación Económica o presupuestal y Pérdida Reputacional)",Q61)</f>
        <v>0</v>
      </c>
      <c r="S61" s="326" t="str">
        <f>IF(OR(R61='Tabla Impacto'!$C$12,R61='Tabla Impacto'!$D$12),"Leve",IF(OR(R61='Tabla Impacto'!$C$13,R61='Tabla Impacto'!$D$13),"Menor",IF(OR(R61='Tabla Impacto'!$C$14,R61='Tabla Impacto'!$D$14),"Moderado",IF(OR(R61='Tabla Impacto'!$C$15,R61='Tabla Impacto'!$D$15),"Mayor",IF(OR(R61='Tabla Impacto'!$C$16,R61='Tabla Impacto'!$D$16),"Catastrófico","")))))</f>
        <v/>
      </c>
      <c r="T61" s="325" t="str">
        <f>IF(S61="","",IF(S61="Leve",0.2,IF(S61="Menor",0.4,IF(S61="Moderado",0.6,IF(S61="Mayor",0.8,IF(S61="Catastrófico",1,))))))</f>
        <v/>
      </c>
      <c r="U61" s="324"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208">
        <v>1</v>
      </c>
      <c r="W61" s="181"/>
      <c r="X61" s="183" t="str">
        <f>IF(OR(Y61="Preventivo",Y61="Detectivo"),"Probabilidad",IF(Y61="Correctivo","Impacto",""))</f>
        <v/>
      </c>
      <c r="Y61" s="184"/>
      <c r="Z61" s="184"/>
      <c r="AA61" s="185" t="str">
        <f>IF(AND(Y61="Preventivo",Z61="Automático"),"50%",IF(AND(Y61="Preventivo",Z61="Manual"),"40%",IF(AND(Y61="Detectivo",Z61="Automático"),"40%",IF(AND(Y61="Detectivo",Z61="Manual"),"30%",IF(AND(Y61="Correctivo",Z61="Automático"),"35%",IF(AND(Y61="Correctivo",Z61="Manual"),"25%",""))))))</f>
        <v/>
      </c>
      <c r="AB61" s="184"/>
      <c r="AC61" s="184"/>
      <c r="AD61" s="184"/>
      <c r="AE61" s="186" t="str">
        <f>IFERROR(IF(X61="Probabilidad",(P61-(+P61*AA61)),IF(X61="Impacto",P61,"")),"")</f>
        <v/>
      </c>
      <c r="AF61" s="187" t="str">
        <f>IFERROR(IF(AE61="","",IF(AE61&lt;=0.2,"Muy Baja",IF(AE61&lt;=0.4,"Baja",IF(AE61&lt;=0.6,"Media",IF(AE61&lt;=0.8,"Alta","Muy Alta"))))),"")</f>
        <v/>
      </c>
      <c r="AG61" s="185" t="str">
        <f>+AE61</f>
        <v/>
      </c>
      <c r="AH61" s="187" t="str">
        <f>IFERROR(IF(AI61="","",IF(AI61&lt;=0.2,"Leve",IF(AI61&lt;=0.4,"Menor",IF(AI61&lt;=0.6,"Moderado",IF(AI61&lt;=0.8,"Mayor","Catastrófico"))))),"")</f>
        <v/>
      </c>
      <c r="AI61" s="185" t="str">
        <f t="shared" ref="AI61" si="72">IFERROR(IF(X61="Impacto",(T61-(+T61*AA61)),IF(X61="Probabilidad",T61,"")),"")</f>
        <v/>
      </c>
      <c r="AJ61" s="188" t="str">
        <f>IFERROR(IF(OR(AND(AF61="Muy Baja",AH61="Leve"),AND(AF61="Muy Baja",AH61="Menor"),AND(AF61="Baja",AH61="Leve")),"Bajo",IF(OR(AND(AF61="Muy baja",AH61="Moderado"),AND(AF61="Baja",AH61="Menor"),AND(AF61="Baja",AH61="Moderado"),AND(AF61="Media",AH61="Leve"),AND(AF61="Media",AH61="Menor"),AND(AF61="Media",AH61="Moderado"),AND(AF61="Alta",AH61="Leve"),AND(AF61="Alta",AH61="Menor")),"Moderado",IF(OR(AND(AF61="Muy Baja",AH61="Mayor"),AND(AF61="Baja",AH61="Mayor"),AND(AF61="Media",AH61="Mayor"),AND(AF61="Alta",AH61="Moderado"),AND(AF61="Alta",AH61="Mayor"),AND(AF61="Muy Alta",AH61="Leve"),AND(AF61="Muy Alta",AH61="Menor"),AND(AF61="Muy Alta",AH61="Moderado"),AND(AF61="Muy Alta",AH61="Mayor")),"Alto",IF(OR(AND(AF61="Muy Baja",AH61="Catastrófico"),AND(AF61="Baja",AH61="Catastrófico"),AND(AF61="Media",AH61="Catastrófico"),AND(AF61="Alta",AH61="Catastrófico"),AND(AF61="Muy Alta",AH61="Catastrófico")),"Extremo","")))),"")</f>
        <v/>
      </c>
      <c r="AK61" s="189"/>
      <c r="AL61" s="180"/>
      <c r="AM61" s="190"/>
      <c r="AN61" s="190"/>
      <c r="AO61" s="191"/>
      <c r="AP61" s="329"/>
      <c r="AQ61" s="329"/>
      <c r="AR61" s="329"/>
    </row>
    <row r="62" spans="1:44" x14ac:dyDescent="0.2">
      <c r="A62" s="342"/>
      <c r="B62" s="340"/>
      <c r="C62" s="340"/>
      <c r="D62" s="340"/>
      <c r="E62" s="340"/>
      <c r="F62" s="340"/>
      <c r="G62" s="322"/>
      <c r="H62" s="322"/>
      <c r="I62" s="216"/>
      <c r="J62" s="216"/>
      <c r="K62" s="216"/>
      <c r="L62" s="322"/>
      <c r="M62" s="322"/>
      <c r="N62" s="329"/>
      <c r="O62" s="326"/>
      <c r="P62" s="325"/>
      <c r="Q62" s="315"/>
      <c r="R62" s="325">
        <f>IF(NOT(ISERROR(MATCH(Q62,_xlfn.ANCHORARRAY(F73),0))),Q75&amp;"Por favor no seleccionar los criterios de impacto",Q62)</f>
        <v>0</v>
      </c>
      <c r="S62" s="326"/>
      <c r="T62" s="325"/>
      <c r="U62" s="324"/>
      <c r="V62" s="208">
        <v>2</v>
      </c>
      <c r="W62" s="181"/>
      <c r="X62" s="183" t="str">
        <f>IF(OR(Y62="Preventivo",Y62="Detectivo"),"Probabilidad",IF(Y62="Correctivo","Impacto",""))</f>
        <v/>
      </c>
      <c r="Y62" s="184"/>
      <c r="Z62" s="184"/>
      <c r="AA62" s="185" t="str">
        <f t="shared" ref="AA62:AA66" si="73">IF(AND(Y62="Preventivo",Z62="Automático"),"50%",IF(AND(Y62="Preventivo",Z62="Manual"),"40%",IF(AND(Y62="Detectivo",Z62="Automático"),"40%",IF(AND(Y62="Detectivo",Z62="Manual"),"30%",IF(AND(Y62="Correctivo",Z62="Automático"),"35%",IF(AND(Y62="Correctivo",Z62="Manual"),"25%",""))))))</f>
        <v/>
      </c>
      <c r="AB62" s="184"/>
      <c r="AC62" s="184"/>
      <c r="AD62" s="184"/>
      <c r="AE62" s="186" t="str">
        <f>IFERROR(IF(AND(X61="Probabilidad",X62="Probabilidad"),(AG61-(+AG61*AA62)),IF(X62="Probabilidad",(P61-(+P61*AA62)),IF(X62="Impacto",AG61,""))),"")</f>
        <v/>
      </c>
      <c r="AF62" s="187" t="str">
        <f t="shared" si="2"/>
        <v/>
      </c>
      <c r="AG62" s="185" t="str">
        <f t="shared" ref="AG62:AG66" si="74">+AE62</f>
        <v/>
      </c>
      <c r="AH62" s="187" t="str">
        <f t="shared" si="4"/>
        <v/>
      </c>
      <c r="AI62" s="185" t="str">
        <f t="shared" ref="AI62" si="75">IFERROR(IF(AND(X61="Impacto",X62="Impacto"),(AI61-(+AI61*AA62)),IF(X62="Impacto",($T$13-(+$T$13*AA62)),IF(X62="Probabilidad",AI61,""))),"")</f>
        <v/>
      </c>
      <c r="AJ62" s="188" t="str">
        <f t="shared" ref="AJ62:AJ63" si="76">IFERROR(IF(OR(AND(AF62="Muy Baja",AH62="Leve"),AND(AF62="Muy Baja",AH62="Menor"),AND(AF62="Baja",AH62="Leve")),"Bajo",IF(OR(AND(AF62="Muy baja",AH62="Moderado"),AND(AF62="Baja",AH62="Menor"),AND(AF62="Baja",AH62="Moderado"),AND(AF62="Media",AH62="Leve"),AND(AF62="Media",AH62="Menor"),AND(AF62="Media",AH62="Moderado"),AND(AF62="Alta",AH62="Leve"),AND(AF62="Alta",AH62="Menor")),"Moderado",IF(OR(AND(AF62="Muy Baja",AH62="Mayor"),AND(AF62="Baja",AH62="Mayor"),AND(AF62="Media",AH62="Mayor"),AND(AF62="Alta",AH62="Moderado"),AND(AF62="Alta",AH62="Mayor"),AND(AF62="Muy Alta",AH62="Leve"),AND(AF62="Muy Alta",AH62="Menor"),AND(AF62="Muy Alta",AH62="Moderado"),AND(AF62="Muy Alta",AH62="Mayor")),"Alto",IF(OR(AND(AF62="Muy Baja",AH62="Catastrófico"),AND(AF62="Baja",AH62="Catastrófico"),AND(AF62="Media",AH62="Catastrófico"),AND(AF62="Alta",AH62="Catastrófico"),AND(AF62="Muy Alta",AH62="Catastrófico")),"Extremo","")))),"")</f>
        <v/>
      </c>
      <c r="AK62" s="189"/>
      <c r="AL62" s="180"/>
      <c r="AM62" s="190"/>
      <c r="AN62" s="190"/>
      <c r="AO62" s="191"/>
      <c r="AP62" s="329"/>
      <c r="AQ62" s="329"/>
      <c r="AR62" s="329"/>
    </row>
    <row r="63" spans="1:44" x14ac:dyDescent="0.2">
      <c r="A63" s="342"/>
      <c r="B63" s="340"/>
      <c r="C63" s="340"/>
      <c r="D63" s="340"/>
      <c r="E63" s="340"/>
      <c r="F63" s="340"/>
      <c r="G63" s="322"/>
      <c r="H63" s="322"/>
      <c r="I63" s="216"/>
      <c r="J63" s="216"/>
      <c r="K63" s="216"/>
      <c r="L63" s="322"/>
      <c r="M63" s="322"/>
      <c r="N63" s="329"/>
      <c r="O63" s="326"/>
      <c r="P63" s="325"/>
      <c r="Q63" s="315"/>
      <c r="R63" s="325">
        <f>IF(NOT(ISERROR(MATCH(Q63,_xlfn.ANCHORARRAY(F74),0))),Q76&amp;"Por favor no seleccionar los criterios de impacto",Q63)</f>
        <v>0</v>
      </c>
      <c r="S63" s="326"/>
      <c r="T63" s="325"/>
      <c r="U63" s="324"/>
      <c r="V63" s="208">
        <v>3</v>
      </c>
      <c r="W63" s="181"/>
      <c r="X63" s="183" t="str">
        <f>IF(OR(Y63="Preventivo",Y63="Detectivo"),"Probabilidad",IF(Y63="Correctivo","Impacto",""))</f>
        <v/>
      </c>
      <c r="Y63" s="184"/>
      <c r="Z63" s="184"/>
      <c r="AA63" s="185" t="str">
        <f t="shared" si="73"/>
        <v/>
      </c>
      <c r="AB63" s="184"/>
      <c r="AC63" s="184"/>
      <c r="AD63" s="184"/>
      <c r="AE63" s="186" t="str">
        <f>IFERROR(IF(AND(X62="Probabilidad",X63="Probabilidad"),(AG62-(+AG62*AA63)),IF(AND(X62="Impacto",X63="Probabilidad"),(AG61-(+AG61*AA63)),IF(X63="Impacto",AG62,""))),"")</f>
        <v/>
      </c>
      <c r="AF63" s="187" t="str">
        <f t="shared" si="2"/>
        <v/>
      </c>
      <c r="AG63" s="185" t="str">
        <f t="shared" si="74"/>
        <v/>
      </c>
      <c r="AH63" s="187" t="str">
        <f t="shared" si="4"/>
        <v/>
      </c>
      <c r="AI63" s="185" t="str">
        <f t="shared" ref="AI63" si="77">IFERROR(IF(AND(X62="Impacto",X63="Impacto"),(AI62-(+AI62*AA63)),IF(AND(X62="Probabilidad",X63="Impacto"),(AI61-(+AI61*AA63)),IF(X63="Probabilidad",AI62,""))),"")</f>
        <v/>
      </c>
      <c r="AJ63" s="188" t="str">
        <f t="shared" si="76"/>
        <v/>
      </c>
      <c r="AK63" s="189"/>
      <c r="AL63" s="180"/>
      <c r="AM63" s="190"/>
      <c r="AN63" s="190"/>
      <c r="AO63" s="191"/>
      <c r="AP63" s="329"/>
      <c r="AQ63" s="329"/>
      <c r="AR63" s="329"/>
    </row>
    <row r="64" spans="1:44" x14ac:dyDescent="0.2">
      <c r="A64" s="342"/>
      <c r="B64" s="340"/>
      <c r="C64" s="340"/>
      <c r="D64" s="340"/>
      <c r="E64" s="340"/>
      <c r="F64" s="340"/>
      <c r="G64" s="322"/>
      <c r="H64" s="322"/>
      <c r="I64" s="216"/>
      <c r="J64" s="216"/>
      <c r="K64" s="216"/>
      <c r="L64" s="322"/>
      <c r="M64" s="322"/>
      <c r="N64" s="329"/>
      <c r="O64" s="326"/>
      <c r="P64" s="325"/>
      <c r="Q64" s="315"/>
      <c r="R64" s="325">
        <f>IF(NOT(ISERROR(MATCH(Q64,_xlfn.ANCHORARRAY(F75),0))),Q77&amp;"Por favor no seleccionar los criterios de impacto",Q64)</f>
        <v>0</v>
      </c>
      <c r="S64" s="326"/>
      <c r="T64" s="325"/>
      <c r="U64" s="324"/>
      <c r="V64" s="208">
        <v>4</v>
      </c>
      <c r="W64" s="181"/>
      <c r="X64" s="183" t="str">
        <f t="shared" ref="X64:X66" si="78">IF(OR(Y64="Preventivo",Y64="Detectivo"),"Probabilidad",IF(Y64="Correctivo","Impacto",""))</f>
        <v/>
      </c>
      <c r="Y64" s="184"/>
      <c r="Z64" s="184"/>
      <c r="AA64" s="185" t="str">
        <f t="shared" si="73"/>
        <v/>
      </c>
      <c r="AB64" s="184"/>
      <c r="AC64" s="184"/>
      <c r="AD64" s="184"/>
      <c r="AE64" s="186" t="str">
        <f t="shared" ref="AE64:AE66" si="79">IFERROR(IF(AND(X63="Probabilidad",X64="Probabilidad"),(AG63-(+AG63*AA64)),IF(AND(X63="Impacto",X64="Probabilidad"),(AG62-(+AG62*AA64)),IF(X64="Impacto",AG63,""))),"")</f>
        <v/>
      </c>
      <c r="AF64" s="187" t="str">
        <f t="shared" si="2"/>
        <v/>
      </c>
      <c r="AG64" s="185" t="str">
        <f t="shared" si="74"/>
        <v/>
      </c>
      <c r="AH64" s="187" t="str">
        <f t="shared" si="4"/>
        <v/>
      </c>
      <c r="AI64" s="185" t="str">
        <f t="shared" si="14"/>
        <v/>
      </c>
      <c r="AJ64" s="188" t="str">
        <f>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
      </c>
      <c r="AK64" s="189"/>
      <c r="AL64" s="180"/>
      <c r="AM64" s="190"/>
      <c r="AN64" s="190"/>
      <c r="AO64" s="191"/>
      <c r="AP64" s="329"/>
      <c r="AQ64" s="329"/>
      <c r="AR64" s="329"/>
    </row>
    <row r="65" spans="1:44" x14ac:dyDescent="0.2">
      <c r="A65" s="342"/>
      <c r="B65" s="340"/>
      <c r="C65" s="340"/>
      <c r="D65" s="340"/>
      <c r="E65" s="340"/>
      <c r="F65" s="340"/>
      <c r="G65" s="322"/>
      <c r="H65" s="322"/>
      <c r="I65" s="216"/>
      <c r="J65" s="216"/>
      <c r="K65" s="216"/>
      <c r="L65" s="322"/>
      <c r="M65" s="322"/>
      <c r="N65" s="329"/>
      <c r="O65" s="326"/>
      <c r="P65" s="325"/>
      <c r="Q65" s="315"/>
      <c r="R65" s="325">
        <f>IF(NOT(ISERROR(MATCH(Q65,_xlfn.ANCHORARRAY(F76),0))),Q78&amp;"Por favor no seleccionar los criterios de impacto",Q65)</f>
        <v>0</v>
      </c>
      <c r="S65" s="326"/>
      <c r="T65" s="325"/>
      <c r="U65" s="324"/>
      <c r="V65" s="208">
        <v>5</v>
      </c>
      <c r="W65" s="181"/>
      <c r="X65" s="183" t="str">
        <f t="shared" si="78"/>
        <v/>
      </c>
      <c r="Y65" s="184"/>
      <c r="Z65" s="184"/>
      <c r="AA65" s="185" t="str">
        <f t="shared" si="73"/>
        <v/>
      </c>
      <c r="AB65" s="184"/>
      <c r="AC65" s="184"/>
      <c r="AD65" s="184"/>
      <c r="AE65" s="186" t="str">
        <f t="shared" si="79"/>
        <v/>
      </c>
      <c r="AF65" s="187" t="str">
        <f t="shared" si="2"/>
        <v/>
      </c>
      <c r="AG65" s="185" t="str">
        <f t="shared" si="74"/>
        <v/>
      </c>
      <c r="AH65" s="187" t="str">
        <f t="shared" si="4"/>
        <v/>
      </c>
      <c r="AI65" s="185" t="str">
        <f t="shared" si="14"/>
        <v/>
      </c>
      <c r="AJ65" s="188" t="str">
        <f t="shared" ref="AJ65:AJ66" si="80">IFERROR(IF(OR(AND(AF65="Muy Baja",AH65="Leve"),AND(AF65="Muy Baja",AH65="Menor"),AND(AF65="Baja",AH65="Leve")),"Bajo",IF(OR(AND(AF65="Muy baja",AH65="Moderado"),AND(AF65="Baja",AH65="Menor"),AND(AF65="Baja",AH65="Moderado"),AND(AF65="Media",AH65="Leve"),AND(AF65="Media",AH65="Menor"),AND(AF65="Media",AH65="Moderado"),AND(AF65="Alta",AH65="Leve"),AND(AF65="Alta",AH65="Menor")),"Moderado",IF(OR(AND(AF65="Muy Baja",AH65="Mayor"),AND(AF65="Baja",AH65="Mayor"),AND(AF65="Media",AH65="Mayor"),AND(AF65="Alta",AH65="Moderado"),AND(AF65="Alta",AH65="Mayor"),AND(AF65="Muy Alta",AH65="Leve"),AND(AF65="Muy Alta",AH65="Menor"),AND(AF65="Muy Alta",AH65="Moderado"),AND(AF65="Muy Alta",AH65="Mayor")),"Alto",IF(OR(AND(AF65="Muy Baja",AH65="Catastrófico"),AND(AF65="Baja",AH65="Catastrófico"),AND(AF65="Media",AH65="Catastrófico"),AND(AF65="Alta",AH65="Catastrófico"),AND(AF65="Muy Alta",AH65="Catastrófico")),"Extremo","")))),"")</f>
        <v/>
      </c>
      <c r="AK65" s="189"/>
      <c r="AL65" s="180"/>
      <c r="AM65" s="190"/>
      <c r="AN65" s="190"/>
      <c r="AO65" s="191"/>
      <c r="AP65" s="329"/>
      <c r="AQ65" s="329"/>
      <c r="AR65" s="329"/>
    </row>
    <row r="66" spans="1:44" x14ac:dyDescent="0.2">
      <c r="A66" s="342"/>
      <c r="B66" s="340"/>
      <c r="C66" s="340"/>
      <c r="D66" s="340"/>
      <c r="E66" s="340"/>
      <c r="F66" s="340"/>
      <c r="G66" s="323"/>
      <c r="H66" s="323"/>
      <c r="I66" s="217"/>
      <c r="J66" s="217"/>
      <c r="K66" s="217"/>
      <c r="L66" s="323"/>
      <c r="M66" s="323"/>
      <c r="N66" s="329"/>
      <c r="O66" s="326"/>
      <c r="P66" s="325"/>
      <c r="Q66" s="315"/>
      <c r="R66" s="325">
        <f>IF(NOT(ISERROR(MATCH(Q66,_xlfn.ANCHORARRAY(F77),0))),Q79&amp;"Por favor no seleccionar los criterios de impacto",Q66)</f>
        <v>0</v>
      </c>
      <c r="S66" s="326"/>
      <c r="T66" s="325"/>
      <c r="U66" s="324"/>
      <c r="V66" s="208">
        <v>6</v>
      </c>
      <c r="W66" s="181"/>
      <c r="X66" s="183" t="str">
        <f t="shared" si="78"/>
        <v/>
      </c>
      <c r="Y66" s="184"/>
      <c r="Z66" s="184"/>
      <c r="AA66" s="185" t="str">
        <f t="shared" si="73"/>
        <v/>
      </c>
      <c r="AB66" s="184"/>
      <c r="AC66" s="184"/>
      <c r="AD66" s="184"/>
      <c r="AE66" s="186" t="str">
        <f t="shared" si="79"/>
        <v/>
      </c>
      <c r="AF66" s="187" t="str">
        <f t="shared" si="2"/>
        <v/>
      </c>
      <c r="AG66" s="185" t="str">
        <f t="shared" si="74"/>
        <v/>
      </c>
      <c r="AH66" s="187" t="str">
        <f t="shared" si="4"/>
        <v/>
      </c>
      <c r="AI66" s="185" t="str">
        <f t="shared" si="14"/>
        <v/>
      </c>
      <c r="AJ66" s="188" t="str">
        <f t="shared" si="80"/>
        <v/>
      </c>
      <c r="AK66" s="189"/>
      <c r="AL66" s="180"/>
      <c r="AM66" s="190"/>
      <c r="AN66" s="190"/>
      <c r="AO66" s="191"/>
      <c r="AP66" s="329"/>
      <c r="AQ66" s="329"/>
      <c r="AR66" s="329"/>
    </row>
    <row r="67" spans="1:44" x14ac:dyDescent="0.2">
      <c r="A67" s="342">
        <v>10</v>
      </c>
      <c r="B67" s="340"/>
      <c r="C67" s="340"/>
      <c r="D67" s="340"/>
      <c r="E67" s="340"/>
      <c r="F67" s="340"/>
      <c r="G67" s="321"/>
      <c r="H67" s="321"/>
      <c r="I67" s="215"/>
      <c r="J67" s="215"/>
      <c r="K67" s="215"/>
      <c r="L67" s="321"/>
      <c r="M67" s="321"/>
      <c r="N67" s="329"/>
      <c r="O67" s="326" t="str">
        <f>IF(N67&lt;=0,"",IF(N67&lt;=2,"Muy Baja",IF(N67&lt;=24,"Baja",IF(N67&lt;=500,"Media",IF(N67&lt;=5000,"Alta","Muy Alta")))))</f>
        <v/>
      </c>
      <c r="P67" s="325" t="str">
        <f>IF(O67="","",IF(O67="Muy Baja",0.2,IF(O67="Baja",0.4,IF(O67="Media",0.6,IF(O67="Alta",0.8,IF(O67="Muy Alta",1,))))))</f>
        <v/>
      </c>
      <c r="Q67" s="315"/>
      <c r="R67" s="325">
        <f>IF(NOT(ISERROR(MATCH(Q67,'Tabla Impacto'!$B$222:$B$224,0))),'Tabla Impacto'!$F$224&amp;"Por favor no seleccionar los criterios de impacto(Afectación Económica o presupuestal y Pérdida Reputacional)",Q67)</f>
        <v>0</v>
      </c>
      <c r="S67" s="326" t="str">
        <f>IF(OR(R67='Tabla Impacto'!$C$12,R67='Tabla Impacto'!$D$12),"Leve",IF(OR(R67='Tabla Impacto'!$C$13,R67='Tabla Impacto'!$D$13),"Menor",IF(OR(R67='Tabla Impacto'!$C$14,R67='Tabla Impacto'!$D$14),"Moderado",IF(OR(R67='Tabla Impacto'!$C$15,R67='Tabla Impacto'!$D$15),"Mayor",IF(OR(R67='Tabla Impacto'!$C$16,R67='Tabla Impacto'!$D$16),"Catastrófico","")))))</f>
        <v/>
      </c>
      <c r="T67" s="325" t="str">
        <f>IF(S67="","",IF(S67="Leve",0.2,IF(S67="Menor",0.4,IF(S67="Moderado",0.6,IF(S67="Mayor",0.8,IF(S67="Catastrófico",1,))))))</f>
        <v/>
      </c>
      <c r="U67" s="324"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208">
        <v>1</v>
      </c>
      <c r="W67" s="181"/>
      <c r="X67" s="183" t="str">
        <f>IF(OR(Y67="Preventivo",Y67="Detectivo"),"Probabilidad",IF(Y67="Correctivo","Impacto",""))</f>
        <v/>
      </c>
      <c r="Y67" s="184"/>
      <c r="Z67" s="184"/>
      <c r="AA67" s="185" t="str">
        <f>IF(AND(Y67="Preventivo",Z67="Automático"),"50%",IF(AND(Y67="Preventivo",Z67="Manual"),"40%",IF(AND(Y67="Detectivo",Z67="Automático"),"40%",IF(AND(Y67="Detectivo",Z67="Manual"),"30%",IF(AND(Y67="Correctivo",Z67="Automático"),"35%",IF(AND(Y67="Correctivo",Z67="Manual"),"25%",""))))))</f>
        <v/>
      </c>
      <c r="AB67" s="184"/>
      <c r="AC67" s="184"/>
      <c r="AD67" s="184"/>
      <c r="AE67" s="186" t="str">
        <f>IFERROR(IF(X67="Probabilidad",(P67-(+P67*AA67)),IF(X67="Impacto",P67,"")),"")</f>
        <v/>
      </c>
      <c r="AF67" s="187" t="str">
        <f>IFERROR(IF(AE67="","",IF(AE67&lt;=0.2,"Muy Baja",IF(AE67&lt;=0.4,"Baja",IF(AE67&lt;=0.6,"Media",IF(AE67&lt;=0.8,"Alta","Muy Alta"))))),"")</f>
        <v/>
      </c>
      <c r="AG67" s="185" t="str">
        <f>+AE67</f>
        <v/>
      </c>
      <c r="AH67" s="187" t="str">
        <f>IFERROR(IF(AI67="","",IF(AI67&lt;=0.2,"Leve",IF(AI67&lt;=0.4,"Menor",IF(AI67&lt;=0.6,"Moderado",IF(AI67&lt;=0.8,"Mayor","Catastrófico"))))),"")</f>
        <v/>
      </c>
      <c r="AI67" s="185" t="str">
        <f t="shared" ref="AI67" si="81">IFERROR(IF(X67="Impacto",(T67-(+T67*AA67)),IF(X67="Probabilidad",T67,"")),"")</f>
        <v/>
      </c>
      <c r="AJ67" s="188" t="str">
        <f>IFERROR(IF(OR(AND(AF67="Muy Baja",AH67="Leve"),AND(AF67="Muy Baja",AH67="Menor"),AND(AF67="Baja",AH67="Leve")),"Bajo",IF(OR(AND(AF67="Muy baja",AH67="Moderado"),AND(AF67="Baja",AH67="Menor"),AND(AF67="Baja",AH67="Moderado"),AND(AF67="Media",AH67="Leve"),AND(AF67="Media",AH67="Menor"),AND(AF67="Media",AH67="Moderado"),AND(AF67="Alta",AH67="Leve"),AND(AF67="Alta",AH67="Menor")),"Moderado",IF(OR(AND(AF67="Muy Baja",AH67="Mayor"),AND(AF67="Baja",AH67="Mayor"),AND(AF67="Media",AH67="Mayor"),AND(AF67="Alta",AH67="Moderado"),AND(AF67="Alta",AH67="Mayor"),AND(AF67="Muy Alta",AH67="Leve"),AND(AF67="Muy Alta",AH67="Menor"),AND(AF67="Muy Alta",AH67="Moderado"),AND(AF67="Muy Alta",AH67="Mayor")),"Alto",IF(OR(AND(AF67="Muy Baja",AH67="Catastrófico"),AND(AF67="Baja",AH67="Catastrófico"),AND(AF67="Media",AH67="Catastrófico"),AND(AF67="Alta",AH67="Catastrófico"),AND(AF67="Muy Alta",AH67="Catastrófico")),"Extremo","")))),"")</f>
        <v/>
      </c>
      <c r="AK67" s="189"/>
      <c r="AL67" s="180"/>
      <c r="AM67" s="190"/>
      <c r="AN67" s="190"/>
      <c r="AO67" s="191"/>
      <c r="AP67" s="329"/>
      <c r="AQ67" s="329"/>
      <c r="AR67" s="329"/>
    </row>
    <row r="68" spans="1:44" x14ac:dyDescent="0.2">
      <c r="A68" s="342"/>
      <c r="B68" s="340"/>
      <c r="C68" s="340"/>
      <c r="D68" s="340"/>
      <c r="E68" s="340"/>
      <c r="F68" s="340"/>
      <c r="G68" s="322"/>
      <c r="H68" s="322"/>
      <c r="I68" s="216"/>
      <c r="J68" s="216"/>
      <c r="K68" s="216"/>
      <c r="L68" s="322"/>
      <c r="M68" s="322"/>
      <c r="N68" s="329"/>
      <c r="O68" s="326"/>
      <c r="P68" s="325"/>
      <c r="Q68" s="315"/>
      <c r="R68" s="325">
        <f>IF(NOT(ISERROR(MATCH(Q68,_xlfn.ANCHORARRAY(F79),0))),Q81&amp;"Por favor no seleccionar los criterios de impacto",Q68)</f>
        <v>0</v>
      </c>
      <c r="S68" s="326"/>
      <c r="T68" s="325"/>
      <c r="U68" s="324"/>
      <c r="V68" s="208">
        <v>2</v>
      </c>
      <c r="W68" s="181"/>
      <c r="X68" s="183" t="str">
        <f>IF(OR(Y68="Preventivo",Y68="Detectivo"),"Probabilidad",IF(Y68="Correctivo","Impacto",""))</f>
        <v/>
      </c>
      <c r="Y68" s="184"/>
      <c r="Z68" s="184"/>
      <c r="AA68" s="185" t="str">
        <f t="shared" ref="AA68:AA72" si="82">IF(AND(Y68="Preventivo",Z68="Automático"),"50%",IF(AND(Y68="Preventivo",Z68="Manual"),"40%",IF(AND(Y68="Detectivo",Z68="Automático"),"40%",IF(AND(Y68="Detectivo",Z68="Manual"),"30%",IF(AND(Y68="Correctivo",Z68="Automático"),"35%",IF(AND(Y68="Correctivo",Z68="Manual"),"25%",""))))))</f>
        <v/>
      </c>
      <c r="AB68" s="184"/>
      <c r="AC68" s="184"/>
      <c r="AD68" s="184"/>
      <c r="AE68" s="186" t="str">
        <f>IFERROR(IF(AND(X67="Probabilidad",X68="Probabilidad"),(AG67-(+AG67*AA68)),IF(X68="Probabilidad",(P67-(+P67*AA68)),IF(X68="Impacto",AG67,""))),"")</f>
        <v/>
      </c>
      <c r="AF68" s="187" t="str">
        <f t="shared" si="2"/>
        <v/>
      </c>
      <c r="AG68" s="185" t="str">
        <f t="shared" ref="AG68:AG72" si="83">+AE68</f>
        <v/>
      </c>
      <c r="AH68" s="187" t="str">
        <f t="shared" si="4"/>
        <v/>
      </c>
      <c r="AI68" s="185" t="str">
        <f t="shared" ref="AI68" si="84">IFERROR(IF(AND(X67="Impacto",X68="Impacto"),(AI67-(+AI67*AA68)),IF(X68="Impacto",($T$13-(+$T$13*AA68)),IF(X68="Probabilidad",AI67,""))),"")</f>
        <v/>
      </c>
      <c r="AJ68" s="188" t="str">
        <f t="shared" ref="AJ68:AJ69" si="85">IFERROR(IF(OR(AND(AF68="Muy Baja",AH68="Leve"),AND(AF68="Muy Baja",AH68="Menor"),AND(AF68="Baja",AH68="Leve")),"Bajo",IF(OR(AND(AF68="Muy baja",AH68="Moderado"),AND(AF68="Baja",AH68="Menor"),AND(AF68="Baja",AH68="Moderado"),AND(AF68="Media",AH68="Leve"),AND(AF68="Media",AH68="Menor"),AND(AF68="Media",AH68="Moderado"),AND(AF68="Alta",AH68="Leve"),AND(AF68="Alta",AH68="Menor")),"Moderado",IF(OR(AND(AF68="Muy Baja",AH68="Mayor"),AND(AF68="Baja",AH68="Mayor"),AND(AF68="Media",AH68="Mayor"),AND(AF68="Alta",AH68="Moderado"),AND(AF68="Alta",AH68="Mayor"),AND(AF68="Muy Alta",AH68="Leve"),AND(AF68="Muy Alta",AH68="Menor"),AND(AF68="Muy Alta",AH68="Moderado"),AND(AF68="Muy Alta",AH68="Mayor")),"Alto",IF(OR(AND(AF68="Muy Baja",AH68="Catastrófico"),AND(AF68="Baja",AH68="Catastrófico"),AND(AF68="Media",AH68="Catastrófico"),AND(AF68="Alta",AH68="Catastrófico"),AND(AF68="Muy Alta",AH68="Catastrófico")),"Extremo","")))),"")</f>
        <v/>
      </c>
      <c r="AK68" s="189"/>
      <c r="AL68" s="180"/>
      <c r="AM68" s="190"/>
      <c r="AN68" s="190"/>
      <c r="AO68" s="191"/>
      <c r="AP68" s="329"/>
      <c r="AQ68" s="329"/>
      <c r="AR68" s="329"/>
    </row>
    <row r="69" spans="1:44" x14ac:dyDescent="0.2">
      <c r="A69" s="342"/>
      <c r="B69" s="340"/>
      <c r="C69" s="340"/>
      <c r="D69" s="340"/>
      <c r="E69" s="340"/>
      <c r="F69" s="340"/>
      <c r="G69" s="322"/>
      <c r="H69" s="322"/>
      <c r="I69" s="216"/>
      <c r="J69" s="216"/>
      <c r="K69" s="216"/>
      <c r="L69" s="322"/>
      <c r="M69" s="322"/>
      <c r="N69" s="329"/>
      <c r="O69" s="326"/>
      <c r="P69" s="325"/>
      <c r="Q69" s="315"/>
      <c r="R69" s="325">
        <f>IF(NOT(ISERROR(MATCH(Q69,_xlfn.ANCHORARRAY(F80),0))),Q82&amp;"Por favor no seleccionar los criterios de impacto",Q69)</f>
        <v>0</v>
      </c>
      <c r="S69" s="326"/>
      <c r="T69" s="325"/>
      <c r="U69" s="324"/>
      <c r="V69" s="208">
        <v>3</v>
      </c>
      <c r="W69" s="181"/>
      <c r="X69" s="183" t="str">
        <f>IF(OR(Y69="Preventivo",Y69="Detectivo"),"Probabilidad",IF(Y69="Correctivo","Impacto",""))</f>
        <v/>
      </c>
      <c r="Y69" s="184"/>
      <c r="Z69" s="184"/>
      <c r="AA69" s="185" t="str">
        <f t="shared" si="82"/>
        <v/>
      </c>
      <c r="AB69" s="184"/>
      <c r="AC69" s="184"/>
      <c r="AD69" s="184"/>
      <c r="AE69" s="186" t="str">
        <f>IFERROR(IF(AND(X68="Probabilidad",X69="Probabilidad"),(AG68-(+AG68*AA69)),IF(AND(X68="Impacto",X69="Probabilidad"),(AG67-(+AG67*AA69)),IF(X69="Impacto",AG68,""))),"")</f>
        <v/>
      </c>
      <c r="AF69" s="187" t="str">
        <f t="shared" si="2"/>
        <v/>
      </c>
      <c r="AG69" s="185" t="str">
        <f t="shared" si="83"/>
        <v/>
      </c>
      <c r="AH69" s="187" t="str">
        <f t="shared" si="4"/>
        <v/>
      </c>
      <c r="AI69" s="185" t="str">
        <f t="shared" ref="AI69" si="86">IFERROR(IF(AND(X68="Impacto",X69="Impacto"),(AI68-(+AI68*AA69)),IF(AND(X68="Probabilidad",X69="Impacto"),(AI67-(+AI67*AA69)),IF(X69="Probabilidad",AI68,""))),"")</f>
        <v/>
      </c>
      <c r="AJ69" s="188" t="str">
        <f t="shared" si="85"/>
        <v/>
      </c>
      <c r="AK69" s="189"/>
      <c r="AL69" s="180"/>
      <c r="AM69" s="190"/>
      <c r="AN69" s="190"/>
      <c r="AO69" s="191"/>
      <c r="AP69" s="329"/>
      <c r="AQ69" s="329"/>
      <c r="AR69" s="329"/>
    </row>
    <row r="70" spans="1:44" x14ac:dyDescent="0.2">
      <c r="A70" s="342"/>
      <c r="B70" s="340"/>
      <c r="C70" s="340"/>
      <c r="D70" s="340"/>
      <c r="E70" s="340"/>
      <c r="F70" s="340"/>
      <c r="G70" s="322"/>
      <c r="H70" s="322"/>
      <c r="I70" s="216"/>
      <c r="J70" s="216"/>
      <c r="K70" s="216"/>
      <c r="L70" s="322"/>
      <c r="M70" s="322"/>
      <c r="N70" s="329"/>
      <c r="O70" s="326"/>
      <c r="P70" s="325"/>
      <c r="Q70" s="315"/>
      <c r="R70" s="325">
        <f>IF(NOT(ISERROR(MATCH(Q70,_xlfn.ANCHORARRAY(F81),0))),Q83&amp;"Por favor no seleccionar los criterios de impacto",Q70)</f>
        <v>0</v>
      </c>
      <c r="S70" s="326"/>
      <c r="T70" s="325"/>
      <c r="U70" s="324"/>
      <c r="V70" s="208">
        <v>4</v>
      </c>
      <c r="W70" s="181"/>
      <c r="X70" s="183" t="str">
        <f t="shared" ref="X70:X72" si="87">IF(OR(Y70="Preventivo",Y70="Detectivo"),"Probabilidad",IF(Y70="Correctivo","Impacto",""))</f>
        <v/>
      </c>
      <c r="Y70" s="184"/>
      <c r="Z70" s="184"/>
      <c r="AA70" s="185" t="str">
        <f t="shared" si="82"/>
        <v/>
      </c>
      <c r="AB70" s="184"/>
      <c r="AC70" s="184"/>
      <c r="AD70" s="184"/>
      <c r="AE70" s="186" t="str">
        <f t="shared" ref="AE70:AE72" si="88">IFERROR(IF(AND(X69="Probabilidad",X70="Probabilidad"),(AG69-(+AG69*AA70)),IF(AND(X69="Impacto",X70="Probabilidad"),(AG68-(+AG68*AA70)),IF(X70="Impacto",AG69,""))),"")</f>
        <v/>
      </c>
      <c r="AF70" s="187" t="str">
        <f t="shared" si="2"/>
        <v/>
      </c>
      <c r="AG70" s="185" t="str">
        <f t="shared" si="83"/>
        <v/>
      </c>
      <c r="AH70" s="187" t="str">
        <f t="shared" si="4"/>
        <v/>
      </c>
      <c r="AI70" s="185" t="str">
        <f t="shared" si="14"/>
        <v/>
      </c>
      <c r="AJ70" s="188" t="str">
        <f>IFERROR(IF(OR(AND(AF70="Muy Baja",AH70="Leve"),AND(AF70="Muy Baja",AH70="Menor"),AND(AF70="Baja",AH70="Leve")),"Bajo",IF(OR(AND(AF70="Muy baja",AH70="Moderado"),AND(AF70="Baja",AH70="Menor"),AND(AF70="Baja",AH70="Moderado"),AND(AF70="Media",AH70="Leve"),AND(AF70="Media",AH70="Menor"),AND(AF70="Media",AH70="Moderado"),AND(AF70="Alta",AH70="Leve"),AND(AF70="Alta",AH70="Menor")),"Moderado",IF(OR(AND(AF70="Muy Baja",AH70="Mayor"),AND(AF70="Baja",AH70="Mayor"),AND(AF70="Media",AH70="Mayor"),AND(AF70="Alta",AH70="Moderado"),AND(AF70="Alta",AH70="Mayor"),AND(AF70="Muy Alta",AH70="Leve"),AND(AF70="Muy Alta",AH70="Menor"),AND(AF70="Muy Alta",AH70="Moderado"),AND(AF70="Muy Alta",AH70="Mayor")),"Alto",IF(OR(AND(AF70="Muy Baja",AH70="Catastrófico"),AND(AF70="Baja",AH70="Catastrófico"),AND(AF70="Media",AH70="Catastrófico"),AND(AF70="Alta",AH70="Catastrófico"),AND(AF70="Muy Alta",AH70="Catastrófico")),"Extremo","")))),"")</f>
        <v/>
      </c>
      <c r="AK70" s="189"/>
      <c r="AL70" s="180"/>
      <c r="AM70" s="190"/>
      <c r="AN70" s="190"/>
      <c r="AO70" s="191"/>
      <c r="AP70" s="329"/>
      <c r="AQ70" s="329"/>
      <c r="AR70" s="329"/>
    </row>
    <row r="71" spans="1:44" x14ac:dyDescent="0.2">
      <c r="A71" s="342"/>
      <c r="B71" s="340"/>
      <c r="C71" s="340"/>
      <c r="D71" s="340"/>
      <c r="E71" s="340"/>
      <c r="F71" s="340"/>
      <c r="G71" s="322"/>
      <c r="H71" s="322"/>
      <c r="I71" s="216"/>
      <c r="J71" s="216"/>
      <c r="K71" s="216"/>
      <c r="L71" s="322"/>
      <c r="M71" s="322"/>
      <c r="N71" s="329"/>
      <c r="O71" s="326"/>
      <c r="P71" s="325"/>
      <c r="Q71" s="315"/>
      <c r="R71" s="325">
        <f>IF(NOT(ISERROR(MATCH(Q71,_xlfn.ANCHORARRAY(F82),0))),Q84&amp;"Por favor no seleccionar los criterios de impacto",Q71)</f>
        <v>0</v>
      </c>
      <c r="S71" s="326"/>
      <c r="T71" s="325"/>
      <c r="U71" s="324"/>
      <c r="V71" s="208">
        <v>5</v>
      </c>
      <c r="W71" s="181"/>
      <c r="X71" s="183" t="str">
        <f t="shared" si="87"/>
        <v/>
      </c>
      <c r="Y71" s="184"/>
      <c r="Z71" s="184"/>
      <c r="AA71" s="185" t="str">
        <f t="shared" si="82"/>
        <v/>
      </c>
      <c r="AB71" s="184"/>
      <c r="AC71" s="184"/>
      <c r="AD71" s="184"/>
      <c r="AE71" s="186" t="str">
        <f t="shared" si="88"/>
        <v/>
      </c>
      <c r="AF71" s="187" t="str">
        <f t="shared" si="2"/>
        <v/>
      </c>
      <c r="AG71" s="185" t="str">
        <f t="shared" si="83"/>
        <v/>
      </c>
      <c r="AH71" s="187" t="str">
        <f t="shared" si="4"/>
        <v/>
      </c>
      <c r="AI71" s="185" t="str">
        <f t="shared" si="14"/>
        <v/>
      </c>
      <c r="AJ71" s="188" t="str">
        <f t="shared" ref="AJ71:AJ72" si="89">IFERROR(IF(OR(AND(AF71="Muy Baja",AH71="Leve"),AND(AF71="Muy Baja",AH71="Menor"),AND(AF71="Baja",AH71="Leve")),"Bajo",IF(OR(AND(AF71="Muy baja",AH71="Moderado"),AND(AF71="Baja",AH71="Menor"),AND(AF71="Baja",AH71="Moderado"),AND(AF71="Media",AH71="Leve"),AND(AF71="Media",AH71="Menor"),AND(AF71="Media",AH71="Moderado"),AND(AF71="Alta",AH71="Leve"),AND(AF71="Alta",AH71="Menor")),"Moderado",IF(OR(AND(AF71="Muy Baja",AH71="Mayor"),AND(AF71="Baja",AH71="Mayor"),AND(AF71="Media",AH71="Mayor"),AND(AF71="Alta",AH71="Moderado"),AND(AF71="Alta",AH71="Mayor"),AND(AF71="Muy Alta",AH71="Leve"),AND(AF71="Muy Alta",AH71="Menor"),AND(AF71="Muy Alta",AH71="Moderado"),AND(AF71="Muy Alta",AH71="Mayor")),"Alto",IF(OR(AND(AF71="Muy Baja",AH71="Catastrófico"),AND(AF71="Baja",AH71="Catastrófico"),AND(AF71="Media",AH71="Catastrófico"),AND(AF71="Alta",AH71="Catastrófico"),AND(AF71="Muy Alta",AH71="Catastrófico")),"Extremo","")))),"")</f>
        <v/>
      </c>
      <c r="AK71" s="189"/>
      <c r="AL71" s="180"/>
      <c r="AM71" s="190"/>
      <c r="AN71" s="190"/>
      <c r="AO71" s="191"/>
      <c r="AP71" s="329"/>
      <c r="AQ71" s="329"/>
      <c r="AR71" s="329"/>
    </row>
    <row r="72" spans="1:44" x14ac:dyDescent="0.2">
      <c r="A72" s="342"/>
      <c r="B72" s="340"/>
      <c r="C72" s="340"/>
      <c r="D72" s="340"/>
      <c r="E72" s="340"/>
      <c r="F72" s="340"/>
      <c r="G72" s="323"/>
      <c r="H72" s="323"/>
      <c r="I72" s="217"/>
      <c r="J72" s="217"/>
      <c r="K72" s="217"/>
      <c r="L72" s="323"/>
      <c r="M72" s="323"/>
      <c r="N72" s="329"/>
      <c r="O72" s="326"/>
      <c r="P72" s="325"/>
      <c r="Q72" s="315"/>
      <c r="R72" s="325">
        <f>IF(NOT(ISERROR(MATCH(Q72,_xlfn.ANCHORARRAY(F83),0))),Q85&amp;"Por favor no seleccionar los criterios de impacto",Q72)</f>
        <v>0</v>
      </c>
      <c r="S72" s="326"/>
      <c r="T72" s="325"/>
      <c r="U72" s="324"/>
      <c r="V72" s="208">
        <v>6</v>
      </c>
      <c r="W72" s="181"/>
      <c r="X72" s="183" t="str">
        <f t="shared" si="87"/>
        <v/>
      </c>
      <c r="Y72" s="184"/>
      <c r="Z72" s="184"/>
      <c r="AA72" s="185" t="str">
        <f t="shared" si="82"/>
        <v/>
      </c>
      <c r="AB72" s="184"/>
      <c r="AC72" s="184"/>
      <c r="AD72" s="184"/>
      <c r="AE72" s="186" t="str">
        <f t="shared" si="88"/>
        <v/>
      </c>
      <c r="AF72" s="187" t="str">
        <f t="shared" si="2"/>
        <v/>
      </c>
      <c r="AG72" s="185" t="str">
        <f t="shared" si="83"/>
        <v/>
      </c>
      <c r="AH72" s="187" t="str">
        <f t="shared" si="4"/>
        <v/>
      </c>
      <c r="AI72" s="185" t="str">
        <f t="shared" si="14"/>
        <v/>
      </c>
      <c r="AJ72" s="188" t="str">
        <f t="shared" si="89"/>
        <v/>
      </c>
      <c r="AK72" s="189"/>
      <c r="AL72" s="180"/>
      <c r="AM72" s="190"/>
      <c r="AN72" s="190"/>
      <c r="AO72" s="191"/>
      <c r="AP72" s="329"/>
      <c r="AQ72" s="329"/>
      <c r="AR72" s="329"/>
    </row>
    <row r="73" spans="1:44" x14ac:dyDescent="0.2">
      <c r="A73" s="210"/>
      <c r="B73" s="349" t="s">
        <v>261</v>
      </c>
      <c r="C73" s="350"/>
      <c r="D73" s="350"/>
      <c r="E73" s="350"/>
      <c r="F73" s="350"/>
      <c r="G73" s="350"/>
      <c r="H73" s="350"/>
      <c r="I73" s="350"/>
      <c r="J73" s="350"/>
      <c r="K73" s="350"/>
      <c r="L73" s="350"/>
      <c r="M73" s="350"/>
      <c r="N73" s="350"/>
      <c r="O73" s="350"/>
      <c r="P73" s="350"/>
      <c r="Q73" s="350"/>
      <c r="R73" s="350"/>
      <c r="S73" s="350"/>
      <c r="T73" s="350"/>
      <c r="U73" s="350"/>
      <c r="V73" s="350"/>
      <c r="W73" s="350"/>
      <c r="X73" s="350"/>
      <c r="Y73" s="350"/>
      <c r="Z73" s="350"/>
      <c r="AA73" s="350"/>
      <c r="AB73" s="350"/>
      <c r="AC73" s="350"/>
      <c r="AD73" s="350"/>
      <c r="AE73" s="350"/>
      <c r="AF73" s="350"/>
      <c r="AG73" s="350"/>
      <c r="AH73" s="350"/>
      <c r="AI73" s="350"/>
      <c r="AJ73" s="350"/>
      <c r="AK73" s="350"/>
      <c r="AL73" s="350"/>
      <c r="AM73" s="350"/>
      <c r="AN73" s="350"/>
      <c r="AO73" s="350"/>
      <c r="AP73" s="350"/>
    </row>
    <row r="75" spans="1:44" ht="15.75" x14ac:dyDescent="0.2">
      <c r="A75" s="192"/>
      <c r="B75" s="200" t="s">
        <v>262</v>
      </c>
      <c r="C75" s="192"/>
      <c r="D75" s="192"/>
      <c r="E75" s="192"/>
      <c r="N75" s="192"/>
    </row>
    <row r="76" spans="1:44" s="253" customFormat="1" x14ac:dyDescent="0.2">
      <c r="A76" s="252"/>
      <c r="B76" s="252"/>
      <c r="C76" s="252"/>
      <c r="D76" s="252"/>
      <c r="E76" s="252"/>
      <c r="N76" s="254"/>
      <c r="AL76" s="255"/>
    </row>
  </sheetData>
  <dataConsolidate/>
  <mergeCells count="299">
    <mergeCell ref="C8:T8"/>
    <mergeCell ref="D1:T2"/>
    <mergeCell ref="D4:T4"/>
    <mergeCell ref="J3:T3"/>
    <mergeCell ref="D3:I3"/>
    <mergeCell ref="A25:A30"/>
    <mergeCell ref="B25:B30"/>
    <mergeCell ref="C25:C30"/>
    <mergeCell ref="D25:D30"/>
    <mergeCell ref="A1:C4"/>
    <mergeCell ref="N25:N30"/>
    <mergeCell ref="O25:O30"/>
    <mergeCell ref="P25:P30"/>
    <mergeCell ref="F25:F30"/>
    <mergeCell ref="N19:N24"/>
    <mergeCell ref="O19:O24"/>
    <mergeCell ref="P19:P24"/>
    <mergeCell ref="G19:G24"/>
    <mergeCell ref="G25:G30"/>
    <mergeCell ref="L19:L24"/>
    <mergeCell ref="M19:M24"/>
    <mergeCell ref="A19:A24"/>
    <mergeCell ref="B19:B24"/>
    <mergeCell ref="C19:C24"/>
    <mergeCell ref="D19:D24"/>
    <mergeCell ref="Z6:AR6"/>
    <mergeCell ref="Z7:AR7"/>
    <mergeCell ref="Z8:AR8"/>
    <mergeCell ref="X1:AR2"/>
    <mergeCell ref="X3:AL3"/>
    <mergeCell ref="X4:AR4"/>
    <mergeCell ref="AM3:AR3"/>
    <mergeCell ref="A6:B6"/>
    <mergeCell ref="A7:B7"/>
    <mergeCell ref="A8:B8"/>
    <mergeCell ref="W6:Y6"/>
    <mergeCell ref="C6:T6"/>
    <mergeCell ref="C7:T7"/>
    <mergeCell ref="U13:U18"/>
    <mergeCell ref="P13:P18"/>
    <mergeCell ref="Q13:Q18"/>
    <mergeCell ref="R13:R18"/>
    <mergeCell ref="S13:S18"/>
    <mergeCell ref="G13:G18"/>
    <mergeCell ref="A10:F10"/>
    <mergeCell ref="I13:I18"/>
    <mergeCell ref="T11:T12"/>
    <mergeCell ref="F11:F12"/>
    <mergeCell ref="U37:U42"/>
    <mergeCell ref="T43:T48"/>
    <mergeCell ref="U43:U48"/>
    <mergeCell ref="Q49:Q54"/>
    <mergeCell ref="R49:R54"/>
    <mergeCell ref="S49:S54"/>
    <mergeCell ref="F37:F42"/>
    <mergeCell ref="F43:F48"/>
    <mergeCell ref="G37:G42"/>
    <mergeCell ref="Q43:Q48"/>
    <mergeCell ref="R43:R48"/>
    <mergeCell ref="S43:S48"/>
    <mergeCell ref="N37:N42"/>
    <mergeCell ref="O37:O42"/>
    <mergeCell ref="G49:G54"/>
    <mergeCell ref="I49:I54"/>
    <mergeCell ref="J49:J54"/>
    <mergeCell ref="K49:K54"/>
    <mergeCell ref="L37:L42"/>
    <mergeCell ref="G43:G48"/>
    <mergeCell ref="I37:I42"/>
    <mergeCell ref="J37:J42"/>
    <mergeCell ref="K37:K42"/>
    <mergeCell ref="I43:I48"/>
    <mergeCell ref="E61:E66"/>
    <mergeCell ref="N61:N66"/>
    <mergeCell ref="O61:O66"/>
    <mergeCell ref="P61:P66"/>
    <mergeCell ref="P37:P42"/>
    <mergeCell ref="Q37:Q42"/>
    <mergeCell ref="N43:N48"/>
    <mergeCell ref="O43:O48"/>
    <mergeCell ref="P43:P48"/>
    <mergeCell ref="F49:F54"/>
    <mergeCell ref="F55:F60"/>
    <mergeCell ref="G55:G60"/>
    <mergeCell ref="I55:I60"/>
    <mergeCell ref="J55:J60"/>
    <mergeCell ref="K55:K60"/>
    <mergeCell ref="J43:J48"/>
    <mergeCell ref="K43:K48"/>
    <mergeCell ref="H37:H42"/>
    <mergeCell ref="H43:H48"/>
    <mergeCell ref="B73:AP73"/>
    <mergeCell ref="T61:T66"/>
    <mergeCell ref="U61:U66"/>
    <mergeCell ref="A67:A72"/>
    <mergeCell ref="B67:B72"/>
    <mergeCell ref="C67:C72"/>
    <mergeCell ref="D67:D72"/>
    <mergeCell ref="E67:E72"/>
    <mergeCell ref="N67:N72"/>
    <mergeCell ref="O67:O72"/>
    <mergeCell ref="P67:P72"/>
    <mergeCell ref="Q67:Q72"/>
    <mergeCell ref="R67:R72"/>
    <mergeCell ref="S67:S72"/>
    <mergeCell ref="T67:T72"/>
    <mergeCell ref="U67:U72"/>
    <mergeCell ref="Q61:Q66"/>
    <mergeCell ref="R61:R66"/>
    <mergeCell ref="S61:S66"/>
    <mergeCell ref="A61:A66"/>
    <mergeCell ref="B61:B66"/>
    <mergeCell ref="C61:C66"/>
    <mergeCell ref="D61:D66"/>
    <mergeCell ref="F61:F66"/>
    <mergeCell ref="F67:F72"/>
    <mergeCell ref="T49:T54"/>
    <mergeCell ref="U49:U54"/>
    <mergeCell ref="N55:N60"/>
    <mergeCell ref="O55:O60"/>
    <mergeCell ref="P55:P60"/>
    <mergeCell ref="Q55:Q60"/>
    <mergeCell ref="N49:N54"/>
    <mergeCell ref="O49:O54"/>
    <mergeCell ref="P49:P54"/>
    <mergeCell ref="R55:R60"/>
    <mergeCell ref="S55:S60"/>
    <mergeCell ref="T55:T60"/>
    <mergeCell ref="U55:U60"/>
    <mergeCell ref="G61:G66"/>
    <mergeCell ref="G67:G72"/>
    <mergeCell ref="H67:H72"/>
    <mergeCell ref="H49:H54"/>
    <mergeCell ref="H55:H60"/>
    <mergeCell ref="H61:H66"/>
    <mergeCell ref="B55:B60"/>
    <mergeCell ref="C55:C60"/>
    <mergeCell ref="D55:D60"/>
    <mergeCell ref="E55:E60"/>
    <mergeCell ref="A49:A54"/>
    <mergeCell ref="B49:B54"/>
    <mergeCell ref="C49:C54"/>
    <mergeCell ref="D49:D54"/>
    <mergeCell ref="E49:E54"/>
    <mergeCell ref="A55:A60"/>
    <mergeCell ref="A37:A42"/>
    <mergeCell ref="B37:B42"/>
    <mergeCell ref="C37:C42"/>
    <mergeCell ref="A43:A48"/>
    <mergeCell ref="B43:B48"/>
    <mergeCell ref="C43:C48"/>
    <mergeCell ref="D43:D48"/>
    <mergeCell ref="E43:E48"/>
    <mergeCell ref="D37:D42"/>
    <mergeCell ref="E37:E42"/>
    <mergeCell ref="C31:C36"/>
    <mergeCell ref="D31:D36"/>
    <mergeCell ref="E31:E36"/>
    <mergeCell ref="N31:N36"/>
    <mergeCell ref="O31:O36"/>
    <mergeCell ref="P31:P36"/>
    <mergeCell ref="F31:F36"/>
    <mergeCell ref="G31:G36"/>
    <mergeCell ref="I31:I36"/>
    <mergeCell ref="J31:J36"/>
    <mergeCell ref="K31:K36"/>
    <mergeCell ref="L31:L36"/>
    <mergeCell ref="M31:M36"/>
    <mergeCell ref="H31:H36"/>
    <mergeCell ref="A13:A18"/>
    <mergeCell ref="B13:B18"/>
    <mergeCell ref="A11:A12"/>
    <mergeCell ref="E11:E12"/>
    <mergeCell ref="D11:D12"/>
    <mergeCell ref="C11:C12"/>
    <mergeCell ref="AP37:AP42"/>
    <mergeCell ref="T31:T36"/>
    <mergeCell ref="R37:R42"/>
    <mergeCell ref="S37:S42"/>
    <mergeCell ref="T37:T42"/>
    <mergeCell ref="E19:E24"/>
    <mergeCell ref="E25:E30"/>
    <mergeCell ref="B11:B12"/>
    <mergeCell ref="F13:F18"/>
    <mergeCell ref="G11:G12"/>
    <mergeCell ref="H11:H12"/>
    <mergeCell ref="I11:I12"/>
    <mergeCell ref="J11:J12"/>
    <mergeCell ref="K11:K12"/>
    <mergeCell ref="H13:H18"/>
    <mergeCell ref="H19:H24"/>
    <mergeCell ref="A31:A36"/>
    <mergeCell ref="B31:B36"/>
    <mergeCell ref="AQ37:AQ42"/>
    <mergeCell ref="AR37:AR42"/>
    <mergeCell ref="T13:T18"/>
    <mergeCell ref="N11:N12"/>
    <mergeCell ref="O11:O12"/>
    <mergeCell ref="U11:U12"/>
    <mergeCell ref="Q11:Q12"/>
    <mergeCell ref="R11:R12"/>
    <mergeCell ref="AP11:AP12"/>
    <mergeCell ref="AQ11:AQ12"/>
    <mergeCell ref="AR11:AR12"/>
    <mergeCell ref="AP13:AP18"/>
    <mergeCell ref="AQ13:AQ18"/>
    <mergeCell ref="AR13:AR18"/>
    <mergeCell ref="AK11:AK12"/>
    <mergeCell ref="AN11:AN12"/>
    <mergeCell ref="V11:V12"/>
    <mergeCell ref="AJ11:AJ12"/>
    <mergeCell ref="AI11:AI12"/>
    <mergeCell ref="AE11:AE12"/>
    <mergeCell ref="W11:W12"/>
    <mergeCell ref="AH11:AH12"/>
    <mergeCell ref="AF11:AF12"/>
    <mergeCell ref="S31:S36"/>
    <mergeCell ref="AR61:AR66"/>
    <mergeCell ref="T25:T30"/>
    <mergeCell ref="U25:U30"/>
    <mergeCell ref="AP67:AP72"/>
    <mergeCell ref="AQ67:AQ72"/>
    <mergeCell ref="AR67:AR72"/>
    <mergeCell ref="AP43:AP48"/>
    <mergeCell ref="AQ43:AQ48"/>
    <mergeCell ref="AP19:AP24"/>
    <mergeCell ref="AQ19:AQ24"/>
    <mergeCell ref="AR19:AR24"/>
    <mergeCell ref="AR43:AR48"/>
    <mergeCell ref="AP49:AP54"/>
    <mergeCell ref="AQ49:AQ54"/>
    <mergeCell ref="AR49:AR54"/>
    <mergeCell ref="AP55:AP60"/>
    <mergeCell ref="AQ55:AQ60"/>
    <mergeCell ref="AR55:AR60"/>
    <mergeCell ref="AP25:AP30"/>
    <mergeCell ref="AQ25:AQ30"/>
    <mergeCell ref="AR25:AR30"/>
    <mergeCell ref="AP31:AP36"/>
    <mergeCell ref="AQ31:AQ36"/>
    <mergeCell ref="AR31:AR36"/>
    <mergeCell ref="H25:H30"/>
    <mergeCell ref="J13:J18"/>
    <mergeCell ref="K13:K18"/>
    <mergeCell ref="I19:I24"/>
    <mergeCell ref="J19:J24"/>
    <mergeCell ref="K19:K24"/>
    <mergeCell ref="I25:I30"/>
    <mergeCell ref="F19:F24"/>
    <mergeCell ref="J25:J30"/>
    <mergeCell ref="K25:K30"/>
    <mergeCell ref="G10:K10"/>
    <mergeCell ref="C13:C18"/>
    <mergeCell ref="D13:D18"/>
    <mergeCell ref="E13:E18"/>
    <mergeCell ref="L67:L72"/>
    <mergeCell ref="M67:M72"/>
    <mergeCell ref="AP10:AR10"/>
    <mergeCell ref="AF10:AJ10"/>
    <mergeCell ref="AK10:AO10"/>
    <mergeCell ref="M37:M42"/>
    <mergeCell ref="L43:L48"/>
    <mergeCell ref="M43:M48"/>
    <mergeCell ref="L49:L54"/>
    <mergeCell ref="M49:M54"/>
    <mergeCell ref="L55:L60"/>
    <mergeCell ref="M55:M60"/>
    <mergeCell ref="L61:L66"/>
    <mergeCell ref="M61:M66"/>
    <mergeCell ref="AP61:AP66"/>
    <mergeCell ref="AQ61:AQ66"/>
    <mergeCell ref="P11:P12"/>
    <mergeCell ref="S11:S12"/>
    <mergeCell ref="AL11:AL12"/>
    <mergeCell ref="AO11:AO12"/>
    <mergeCell ref="AM11:AM12"/>
    <mergeCell ref="Q31:Q36"/>
    <mergeCell ref="L10:M11"/>
    <mergeCell ref="N10:V10"/>
    <mergeCell ref="L13:L18"/>
    <mergeCell ref="M13:M18"/>
    <mergeCell ref="U31:U36"/>
    <mergeCell ref="R19:R24"/>
    <mergeCell ref="S19:S24"/>
    <mergeCell ref="T19:T24"/>
    <mergeCell ref="U19:U24"/>
    <mergeCell ref="AG11:AG12"/>
    <mergeCell ref="X11:X12"/>
    <mergeCell ref="Y11:AD11"/>
    <mergeCell ref="L25:L30"/>
    <mergeCell ref="M25:M30"/>
    <mergeCell ref="Q19:Q24"/>
    <mergeCell ref="W10:AE10"/>
    <mergeCell ref="Q25:Q30"/>
    <mergeCell ref="R25:R30"/>
    <mergeCell ref="S25:S30"/>
    <mergeCell ref="R31:R36"/>
    <mergeCell ref="N13:N18"/>
    <mergeCell ref="O13:O18"/>
  </mergeCells>
  <conditionalFormatting sqref="O13 O19">
    <cfRule type="cellIs" dxfId="700" priority="324" operator="equal">
      <formula>"Muy Alta"</formula>
    </cfRule>
    <cfRule type="cellIs" dxfId="699" priority="325" operator="equal">
      <formula>"Alta"</formula>
    </cfRule>
    <cfRule type="cellIs" dxfId="698" priority="326" operator="equal">
      <formula>"Media"</formula>
    </cfRule>
    <cfRule type="cellIs" dxfId="697" priority="327" operator="equal">
      <formula>"Baja"</formula>
    </cfRule>
    <cfRule type="cellIs" dxfId="696" priority="328" operator="equal">
      <formula>"Muy Baja"</formula>
    </cfRule>
  </conditionalFormatting>
  <conditionalFormatting sqref="S13 S19 S25 S31 S37 S43 S49 S55 S61 S67">
    <cfRule type="cellIs" dxfId="695" priority="319" operator="equal">
      <formula>"Catastrófico"</formula>
    </cfRule>
    <cfRule type="cellIs" dxfId="694" priority="320" operator="equal">
      <formula>"Mayor"</formula>
    </cfRule>
    <cfRule type="cellIs" dxfId="693" priority="321" operator="equal">
      <formula>"Moderado"</formula>
    </cfRule>
    <cfRule type="cellIs" dxfId="692" priority="322" operator="equal">
      <formula>"Menor"</formula>
    </cfRule>
    <cfRule type="cellIs" dxfId="691" priority="323" operator="equal">
      <formula>"Leve"</formula>
    </cfRule>
  </conditionalFormatting>
  <conditionalFormatting sqref="U13">
    <cfRule type="cellIs" dxfId="690" priority="315" operator="equal">
      <formula>"Extremo"</formula>
    </cfRule>
    <cfRule type="cellIs" dxfId="689" priority="316" operator="equal">
      <formula>"Alto"</formula>
    </cfRule>
    <cfRule type="cellIs" dxfId="688" priority="317" operator="equal">
      <formula>"Moderado"</formula>
    </cfRule>
    <cfRule type="cellIs" dxfId="687" priority="318" operator="equal">
      <formula>"Bajo"</formula>
    </cfRule>
  </conditionalFormatting>
  <conditionalFormatting sqref="AF13:AF18">
    <cfRule type="cellIs" dxfId="686" priority="310" operator="equal">
      <formula>"Muy Alta"</formula>
    </cfRule>
    <cfRule type="cellIs" dxfId="685" priority="311" operator="equal">
      <formula>"Alta"</formula>
    </cfRule>
    <cfRule type="cellIs" dxfId="684" priority="312" operator="equal">
      <formula>"Media"</formula>
    </cfRule>
    <cfRule type="cellIs" dxfId="683" priority="313" operator="equal">
      <formula>"Baja"</formula>
    </cfRule>
    <cfRule type="cellIs" dxfId="682" priority="314" operator="equal">
      <formula>"Muy Baja"</formula>
    </cfRule>
  </conditionalFormatting>
  <conditionalFormatting sqref="AH13:AH18">
    <cfRule type="cellIs" dxfId="681" priority="305" operator="equal">
      <formula>"Catastrófico"</formula>
    </cfRule>
    <cfRule type="cellIs" dxfId="680" priority="306" operator="equal">
      <formula>"Mayor"</formula>
    </cfRule>
    <cfRule type="cellIs" dxfId="679" priority="307" operator="equal">
      <formula>"Moderado"</formula>
    </cfRule>
    <cfRule type="cellIs" dxfId="678" priority="308" operator="equal">
      <formula>"Menor"</formula>
    </cfRule>
    <cfRule type="cellIs" dxfId="677" priority="309" operator="equal">
      <formula>"Leve"</formula>
    </cfRule>
  </conditionalFormatting>
  <conditionalFormatting sqref="AJ13:AJ18">
    <cfRule type="cellIs" dxfId="676" priority="301" operator="equal">
      <formula>"Extremo"</formula>
    </cfRule>
    <cfRule type="cellIs" dxfId="675" priority="302" operator="equal">
      <formula>"Alto"</formula>
    </cfRule>
    <cfRule type="cellIs" dxfId="674" priority="303" operator="equal">
      <formula>"Moderado"</formula>
    </cfRule>
    <cfRule type="cellIs" dxfId="673" priority="304" operator="equal">
      <formula>"Bajo"</formula>
    </cfRule>
  </conditionalFormatting>
  <conditionalFormatting sqref="O61">
    <cfRule type="cellIs" dxfId="672" priority="58" operator="equal">
      <formula>"Muy Alta"</formula>
    </cfRule>
    <cfRule type="cellIs" dxfId="671" priority="59" operator="equal">
      <formula>"Alta"</formula>
    </cfRule>
    <cfRule type="cellIs" dxfId="670" priority="60" operator="equal">
      <formula>"Media"</formula>
    </cfRule>
    <cfRule type="cellIs" dxfId="669" priority="61" operator="equal">
      <formula>"Baja"</formula>
    </cfRule>
    <cfRule type="cellIs" dxfId="668" priority="62" operator="equal">
      <formula>"Muy Baja"</formula>
    </cfRule>
  </conditionalFormatting>
  <conditionalFormatting sqref="U19">
    <cfRule type="cellIs" dxfId="667" priority="245" operator="equal">
      <formula>"Extremo"</formula>
    </cfRule>
    <cfRule type="cellIs" dxfId="666" priority="246" operator="equal">
      <formula>"Alto"</formula>
    </cfRule>
    <cfRule type="cellIs" dxfId="665" priority="247" operator="equal">
      <formula>"Moderado"</formula>
    </cfRule>
    <cfRule type="cellIs" dxfId="664" priority="248" operator="equal">
      <formula>"Bajo"</formula>
    </cfRule>
  </conditionalFormatting>
  <conditionalFormatting sqref="AF19:AF24">
    <cfRule type="cellIs" dxfId="663" priority="240" operator="equal">
      <formula>"Muy Alta"</formula>
    </cfRule>
    <cfRule type="cellIs" dxfId="662" priority="241" operator="equal">
      <formula>"Alta"</formula>
    </cfRule>
    <cfRule type="cellIs" dxfId="661" priority="242" operator="equal">
      <formula>"Media"</formula>
    </cfRule>
    <cfRule type="cellIs" dxfId="660" priority="243" operator="equal">
      <formula>"Baja"</formula>
    </cfRule>
    <cfRule type="cellIs" dxfId="659" priority="244" operator="equal">
      <formula>"Muy Baja"</formula>
    </cfRule>
  </conditionalFormatting>
  <conditionalFormatting sqref="AH19:AH24">
    <cfRule type="cellIs" dxfId="658" priority="235" operator="equal">
      <formula>"Catastrófico"</formula>
    </cfRule>
    <cfRule type="cellIs" dxfId="657" priority="236" operator="equal">
      <formula>"Mayor"</formula>
    </cfRule>
    <cfRule type="cellIs" dxfId="656" priority="237" operator="equal">
      <formula>"Moderado"</formula>
    </cfRule>
    <cfRule type="cellIs" dxfId="655" priority="238" operator="equal">
      <formula>"Menor"</formula>
    </cfRule>
    <cfRule type="cellIs" dxfId="654" priority="239" operator="equal">
      <formula>"Leve"</formula>
    </cfRule>
  </conditionalFormatting>
  <conditionalFormatting sqref="AJ19:AJ24">
    <cfRule type="cellIs" dxfId="653" priority="231" operator="equal">
      <formula>"Extremo"</formula>
    </cfRule>
    <cfRule type="cellIs" dxfId="652" priority="232" operator="equal">
      <formula>"Alto"</formula>
    </cfRule>
    <cfRule type="cellIs" dxfId="651" priority="233" operator="equal">
      <formula>"Moderado"</formula>
    </cfRule>
    <cfRule type="cellIs" dxfId="650" priority="234" operator="equal">
      <formula>"Bajo"</formula>
    </cfRule>
  </conditionalFormatting>
  <conditionalFormatting sqref="O25">
    <cfRule type="cellIs" dxfId="649" priority="226" operator="equal">
      <formula>"Muy Alta"</formula>
    </cfRule>
    <cfRule type="cellIs" dxfId="648" priority="227" operator="equal">
      <formula>"Alta"</formula>
    </cfRule>
    <cfRule type="cellIs" dxfId="647" priority="228" operator="equal">
      <formula>"Media"</formula>
    </cfRule>
    <cfRule type="cellIs" dxfId="646" priority="229" operator="equal">
      <formula>"Baja"</formula>
    </cfRule>
    <cfRule type="cellIs" dxfId="645" priority="230" operator="equal">
      <formula>"Muy Baja"</formula>
    </cfRule>
  </conditionalFormatting>
  <conditionalFormatting sqref="U25">
    <cfRule type="cellIs" dxfId="644" priority="217" operator="equal">
      <formula>"Extremo"</formula>
    </cfRule>
    <cfRule type="cellIs" dxfId="643" priority="218" operator="equal">
      <formula>"Alto"</formula>
    </cfRule>
    <cfRule type="cellIs" dxfId="642" priority="219" operator="equal">
      <formula>"Moderado"</formula>
    </cfRule>
    <cfRule type="cellIs" dxfId="641" priority="220" operator="equal">
      <formula>"Bajo"</formula>
    </cfRule>
  </conditionalFormatting>
  <conditionalFormatting sqref="AF25:AF30">
    <cfRule type="cellIs" dxfId="640" priority="212" operator="equal">
      <formula>"Muy Alta"</formula>
    </cfRule>
    <cfRule type="cellIs" dxfId="639" priority="213" operator="equal">
      <formula>"Alta"</formula>
    </cfRule>
    <cfRule type="cellIs" dxfId="638" priority="214" operator="equal">
      <formula>"Media"</formula>
    </cfRule>
    <cfRule type="cellIs" dxfId="637" priority="215" operator="equal">
      <formula>"Baja"</formula>
    </cfRule>
    <cfRule type="cellIs" dxfId="636" priority="216" operator="equal">
      <formula>"Muy Baja"</formula>
    </cfRule>
  </conditionalFormatting>
  <conditionalFormatting sqref="AH25:AH30">
    <cfRule type="cellIs" dxfId="635" priority="207" operator="equal">
      <formula>"Catastrófico"</formula>
    </cfRule>
    <cfRule type="cellIs" dxfId="634" priority="208" operator="equal">
      <formula>"Mayor"</formula>
    </cfRule>
    <cfRule type="cellIs" dxfId="633" priority="209" operator="equal">
      <formula>"Moderado"</formula>
    </cfRule>
    <cfRule type="cellIs" dxfId="632" priority="210" operator="equal">
      <formula>"Menor"</formula>
    </cfRule>
    <cfRule type="cellIs" dxfId="631" priority="211" operator="equal">
      <formula>"Leve"</formula>
    </cfRule>
  </conditionalFormatting>
  <conditionalFormatting sqref="AJ25:AJ30">
    <cfRule type="cellIs" dxfId="630" priority="203" operator="equal">
      <formula>"Extremo"</formula>
    </cfRule>
    <cfRule type="cellIs" dxfId="629" priority="204" operator="equal">
      <formula>"Alto"</formula>
    </cfRule>
    <cfRule type="cellIs" dxfId="628" priority="205" operator="equal">
      <formula>"Moderado"</formula>
    </cfRule>
    <cfRule type="cellIs" dxfId="627" priority="206" operator="equal">
      <formula>"Bajo"</formula>
    </cfRule>
  </conditionalFormatting>
  <conditionalFormatting sqref="O31">
    <cfRule type="cellIs" dxfId="626" priority="198" operator="equal">
      <formula>"Muy Alta"</formula>
    </cfRule>
    <cfRule type="cellIs" dxfId="625" priority="199" operator="equal">
      <formula>"Alta"</formula>
    </cfRule>
    <cfRule type="cellIs" dxfId="624" priority="200" operator="equal">
      <formula>"Media"</formula>
    </cfRule>
    <cfRule type="cellIs" dxfId="623" priority="201" operator="equal">
      <formula>"Baja"</formula>
    </cfRule>
    <cfRule type="cellIs" dxfId="622" priority="202" operator="equal">
      <formula>"Muy Baja"</formula>
    </cfRule>
  </conditionalFormatting>
  <conditionalFormatting sqref="U31">
    <cfRule type="cellIs" dxfId="621" priority="189" operator="equal">
      <formula>"Extremo"</formula>
    </cfRule>
    <cfRule type="cellIs" dxfId="620" priority="190" operator="equal">
      <formula>"Alto"</formula>
    </cfRule>
    <cfRule type="cellIs" dxfId="619" priority="191" operator="equal">
      <formula>"Moderado"</formula>
    </cfRule>
    <cfRule type="cellIs" dxfId="618" priority="192" operator="equal">
      <formula>"Bajo"</formula>
    </cfRule>
  </conditionalFormatting>
  <conditionalFormatting sqref="AF31:AF36">
    <cfRule type="cellIs" dxfId="617" priority="184" operator="equal">
      <formula>"Muy Alta"</formula>
    </cfRule>
    <cfRule type="cellIs" dxfId="616" priority="185" operator="equal">
      <formula>"Alta"</formula>
    </cfRule>
    <cfRule type="cellIs" dxfId="615" priority="186" operator="equal">
      <formula>"Media"</formula>
    </cfRule>
    <cfRule type="cellIs" dxfId="614" priority="187" operator="equal">
      <formula>"Baja"</formula>
    </cfRule>
    <cfRule type="cellIs" dxfId="613" priority="188" operator="equal">
      <formula>"Muy Baja"</formula>
    </cfRule>
  </conditionalFormatting>
  <conditionalFormatting sqref="AH31:AH36">
    <cfRule type="cellIs" dxfId="612" priority="179" operator="equal">
      <formula>"Catastrófico"</formula>
    </cfRule>
    <cfRule type="cellIs" dxfId="611" priority="180" operator="equal">
      <formula>"Mayor"</formula>
    </cfRule>
    <cfRule type="cellIs" dxfId="610" priority="181" operator="equal">
      <formula>"Moderado"</formula>
    </cfRule>
    <cfRule type="cellIs" dxfId="609" priority="182" operator="equal">
      <formula>"Menor"</formula>
    </cfRule>
    <cfRule type="cellIs" dxfId="608" priority="183" operator="equal">
      <formula>"Leve"</formula>
    </cfRule>
  </conditionalFormatting>
  <conditionalFormatting sqref="AJ31:AJ36">
    <cfRule type="cellIs" dxfId="607" priority="175" operator="equal">
      <formula>"Extremo"</formula>
    </cfRule>
    <cfRule type="cellIs" dxfId="606" priority="176" operator="equal">
      <formula>"Alto"</formula>
    </cfRule>
    <cfRule type="cellIs" dxfId="605" priority="177" operator="equal">
      <formula>"Moderado"</formula>
    </cfRule>
    <cfRule type="cellIs" dxfId="604" priority="178" operator="equal">
      <formula>"Bajo"</formula>
    </cfRule>
  </conditionalFormatting>
  <conditionalFormatting sqref="O37">
    <cfRule type="cellIs" dxfId="603" priority="170" operator="equal">
      <formula>"Muy Alta"</formula>
    </cfRule>
    <cfRule type="cellIs" dxfId="602" priority="171" operator="equal">
      <formula>"Alta"</formula>
    </cfRule>
    <cfRule type="cellIs" dxfId="601" priority="172" operator="equal">
      <formula>"Media"</formula>
    </cfRule>
    <cfRule type="cellIs" dxfId="600" priority="173" operator="equal">
      <formula>"Baja"</formula>
    </cfRule>
    <cfRule type="cellIs" dxfId="599" priority="174" operator="equal">
      <formula>"Muy Baja"</formula>
    </cfRule>
  </conditionalFormatting>
  <conditionalFormatting sqref="U37">
    <cfRule type="cellIs" dxfId="598" priority="161" operator="equal">
      <formula>"Extremo"</formula>
    </cfRule>
    <cfRule type="cellIs" dxfId="597" priority="162" operator="equal">
      <formula>"Alto"</formula>
    </cfRule>
    <cfRule type="cellIs" dxfId="596" priority="163" operator="equal">
      <formula>"Moderado"</formula>
    </cfRule>
    <cfRule type="cellIs" dxfId="595" priority="164" operator="equal">
      <formula>"Bajo"</formula>
    </cfRule>
  </conditionalFormatting>
  <conditionalFormatting sqref="AF37:AF42">
    <cfRule type="cellIs" dxfId="594" priority="156" operator="equal">
      <formula>"Muy Alta"</formula>
    </cfRule>
    <cfRule type="cellIs" dxfId="593" priority="157" operator="equal">
      <formula>"Alta"</formula>
    </cfRule>
    <cfRule type="cellIs" dxfId="592" priority="158" operator="equal">
      <formula>"Media"</formula>
    </cfRule>
    <cfRule type="cellIs" dxfId="591" priority="159" operator="equal">
      <formula>"Baja"</formula>
    </cfRule>
    <cfRule type="cellIs" dxfId="590" priority="160" operator="equal">
      <formula>"Muy Baja"</formula>
    </cfRule>
  </conditionalFormatting>
  <conditionalFormatting sqref="AH37:AH42">
    <cfRule type="cellIs" dxfId="589" priority="151" operator="equal">
      <formula>"Catastrófico"</formula>
    </cfRule>
    <cfRule type="cellIs" dxfId="588" priority="152" operator="equal">
      <formula>"Mayor"</formula>
    </cfRule>
    <cfRule type="cellIs" dxfId="587" priority="153" operator="equal">
      <formula>"Moderado"</formula>
    </cfRule>
    <cfRule type="cellIs" dxfId="586" priority="154" operator="equal">
      <formula>"Menor"</formula>
    </cfRule>
    <cfRule type="cellIs" dxfId="585" priority="155" operator="equal">
      <formula>"Leve"</formula>
    </cfRule>
  </conditionalFormatting>
  <conditionalFormatting sqref="AJ37:AJ42">
    <cfRule type="cellIs" dxfId="584" priority="147" operator="equal">
      <formula>"Extremo"</formula>
    </cfRule>
    <cfRule type="cellIs" dxfId="583" priority="148" operator="equal">
      <formula>"Alto"</formula>
    </cfRule>
    <cfRule type="cellIs" dxfId="582" priority="149" operator="equal">
      <formula>"Moderado"</formula>
    </cfRule>
    <cfRule type="cellIs" dxfId="581" priority="150" operator="equal">
      <formula>"Bajo"</formula>
    </cfRule>
  </conditionalFormatting>
  <conditionalFormatting sqref="O43">
    <cfRule type="cellIs" dxfId="580" priority="142" operator="equal">
      <formula>"Muy Alta"</formula>
    </cfRule>
    <cfRule type="cellIs" dxfId="579" priority="143" operator="equal">
      <formula>"Alta"</formula>
    </cfRule>
    <cfRule type="cellIs" dxfId="578" priority="144" operator="equal">
      <formula>"Media"</formula>
    </cfRule>
    <cfRule type="cellIs" dxfId="577" priority="145" operator="equal">
      <formula>"Baja"</formula>
    </cfRule>
    <cfRule type="cellIs" dxfId="576" priority="146" operator="equal">
      <formula>"Muy Baja"</formula>
    </cfRule>
  </conditionalFormatting>
  <conditionalFormatting sqref="U43">
    <cfRule type="cellIs" dxfId="575" priority="133" operator="equal">
      <formula>"Extremo"</formula>
    </cfRule>
    <cfRule type="cellIs" dxfId="574" priority="134" operator="equal">
      <formula>"Alto"</formula>
    </cfRule>
    <cfRule type="cellIs" dxfId="573" priority="135" operator="equal">
      <formula>"Moderado"</formula>
    </cfRule>
    <cfRule type="cellIs" dxfId="572" priority="136" operator="equal">
      <formula>"Bajo"</formula>
    </cfRule>
  </conditionalFormatting>
  <conditionalFormatting sqref="AF43:AF48">
    <cfRule type="cellIs" dxfId="571" priority="128" operator="equal">
      <formula>"Muy Alta"</formula>
    </cfRule>
    <cfRule type="cellIs" dxfId="570" priority="129" operator="equal">
      <formula>"Alta"</formula>
    </cfRule>
    <cfRule type="cellIs" dxfId="569" priority="130" operator="equal">
      <formula>"Media"</formula>
    </cfRule>
    <cfRule type="cellIs" dxfId="568" priority="131" operator="equal">
      <formula>"Baja"</formula>
    </cfRule>
    <cfRule type="cellIs" dxfId="567" priority="132" operator="equal">
      <formula>"Muy Baja"</formula>
    </cfRule>
  </conditionalFormatting>
  <conditionalFormatting sqref="AH43:AH48">
    <cfRule type="cellIs" dxfId="566" priority="123" operator="equal">
      <formula>"Catastrófico"</formula>
    </cfRule>
    <cfRule type="cellIs" dxfId="565" priority="124" operator="equal">
      <formula>"Mayor"</formula>
    </cfRule>
    <cfRule type="cellIs" dxfId="564" priority="125" operator="equal">
      <formula>"Moderado"</formula>
    </cfRule>
    <cfRule type="cellIs" dxfId="563" priority="126" operator="equal">
      <formula>"Menor"</formula>
    </cfRule>
    <cfRule type="cellIs" dxfId="562" priority="127" operator="equal">
      <formula>"Leve"</formula>
    </cfRule>
  </conditionalFormatting>
  <conditionalFormatting sqref="AJ43:AJ48">
    <cfRule type="cellIs" dxfId="561" priority="119" operator="equal">
      <formula>"Extremo"</formula>
    </cfRule>
    <cfRule type="cellIs" dxfId="560" priority="120" operator="equal">
      <formula>"Alto"</formula>
    </cfRule>
    <cfRule type="cellIs" dxfId="559" priority="121" operator="equal">
      <formula>"Moderado"</formula>
    </cfRule>
    <cfRule type="cellIs" dxfId="558" priority="122" operator="equal">
      <formula>"Bajo"</formula>
    </cfRule>
  </conditionalFormatting>
  <conditionalFormatting sqref="O49">
    <cfRule type="cellIs" dxfId="557" priority="114" operator="equal">
      <formula>"Muy Alta"</formula>
    </cfRule>
    <cfRule type="cellIs" dxfId="556" priority="115" operator="equal">
      <formula>"Alta"</formula>
    </cfRule>
    <cfRule type="cellIs" dxfId="555" priority="116" operator="equal">
      <formula>"Media"</formula>
    </cfRule>
    <cfRule type="cellIs" dxfId="554" priority="117" operator="equal">
      <formula>"Baja"</formula>
    </cfRule>
    <cfRule type="cellIs" dxfId="553" priority="118" operator="equal">
      <formula>"Muy Baja"</formula>
    </cfRule>
  </conditionalFormatting>
  <conditionalFormatting sqref="U49">
    <cfRule type="cellIs" dxfId="552" priority="105" operator="equal">
      <formula>"Extremo"</formula>
    </cfRule>
    <cfRule type="cellIs" dxfId="551" priority="106" operator="equal">
      <formula>"Alto"</formula>
    </cfRule>
    <cfRule type="cellIs" dxfId="550" priority="107" operator="equal">
      <formula>"Moderado"</formula>
    </cfRule>
    <cfRule type="cellIs" dxfId="549" priority="108" operator="equal">
      <formula>"Bajo"</formula>
    </cfRule>
  </conditionalFormatting>
  <conditionalFormatting sqref="AF49:AF54">
    <cfRule type="cellIs" dxfId="548" priority="100" operator="equal">
      <formula>"Muy Alta"</formula>
    </cfRule>
    <cfRule type="cellIs" dxfId="547" priority="101" operator="equal">
      <formula>"Alta"</formula>
    </cfRule>
    <cfRule type="cellIs" dxfId="546" priority="102" operator="equal">
      <formula>"Media"</formula>
    </cfRule>
    <cfRule type="cellIs" dxfId="545" priority="103" operator="equal">
      <formula>"Baja"</formula>
    </cfRule>
    <cfRule type="cellIs" dxfId="544" priority="104" operator="equal">
      <formula>"Muy Baja"</formula>
    </cfRule>
  </conditionalFormatting>
  <conditionalFormatting sqref="AH49:AH54">
    <cfRule type="cellIs" dxfId="543" priority="95" operator="equal">
      <formula>"Catastrófico"</formula>
    </cfRule>
    <cfRule type="cellIs" dxfId="542" priority="96" operator="equal">
      <formula>"Mayor"</formula>
    </cfRule>
    <cfRule type="cellIs" dxfId="541" priority="97" operator="equal">
      <formula>"Moderado"</formula>
    </cfRule>
    <cfRule type="cellIs" dxfId="540" priority="98" operator="equal">
      <formula>"Menor"</formula>
    </cfRule>
    <cfRule type="cellIs" dxfId="539" priority="99" operator="equal">
      <formula>"Leve"</formula>
    </cfRule>
  </conditionalFormatting>
  <conditionalFormatting sqref="AJ49:AJ54">
    <cfRule type="cellIs" dxfId="538" priority="91" operator="equal">
      <formula>"Extremo"</formula>
    </cfRule>
    <cfRule type="cellIs" dxfId="537" priority="92" operator="equal">
      <formula>"Alto"</formula>
    </cfRule>
    <cfRule type="cellIs" dxfId="536" priority="93" operator="equal">
      <formula>"Moderado"</formula>
    </cfRule>
    <cfRule type="cellIs" dxfId="535" priority="94" operator="equal">
      <formula>"Bajo"</formula>
    </cfRule>
  </conditionalFormatting>
  <conditionalFormatting sqref="U55">
    <cfRule type="cellIs" dxfId="534" priority="77" operator="equal">
      <formula>"Extremo"</formula>
    </cfRule>
    <cfRule type="cellIs" dxfId="533" priority="78" operator="equal">
      <formula>"Alto"</formula>
    </cfRule>
    <cfRule type="cellIs" dxfId="532" priority="79" operator="equal">
      <formula>"Moderado"</formula>
    </cfRule>
    <cfRule type="cellIs" dxfId="531" priority="80" operator="equal">
      <formula>"Bajo"</formula>
    </cfRule>
  </conditionalFormatting>
  <conditionalFormatting sqref="AF55:AF60">
    <cfRule type="cellIs" dxfId="530" priority="72" operator="equal">
      <formula>"Muy Alta"</formula>
    </cfRule>
    <cfRule type="cellIs" dxfId="529" priority="73" operator="equal">
      <formula>"Alta"</formula>
    </cfRule>
    <cfRule type="cellIs" dxfId="528" priority="74" operator="equal">
      <formula>"Media"</formula>
    </cfRule>
    <cfRule type="cellIs" dxfId="527" priority="75" operator="equal">
      <formula>"Baja"</formula>
    </cfRule>
    <cfRule type="cellIs" dxfId="526" priority="76" operator="equal">
      <formula>"Muy Baja"</formula>
    </cfRule>
  </conditionalFormatting>
  <conditionalFormatting sqref="AH55:AH60">
    <cfRule type="cellIs" dxfId="525" priority="67" operator="equal">
      <formula>"Catastrófico"</formula>
    </cfRule>
    <cfRule type="cellIs" dxfId="524" priority="68" operator="equal">
      <formula>"Mayor"</formula>
    </cfRule>
    <cfRule type="cellIs" dxfId="523" priority="69" operator="equal">
      <formula>"Moderado"</formula>
    </cfRule>
    <cfRule type="cellIs" dxfId="522" priority="70" operator="equal">
      <formula>"Menor"</formula>
    </cfRule>
    <cfRule type="cellIs" dxfId="521" priority="71" operator="equal">
      <formula>"Leve"</formula>
    </cfRule>
  </conditionalFormatting>
  <conditionalFormatting sqref="AJ55:AJ60">
    <cfRule type="cellIs" dxfId="520" priority="63" operator="equal">
      <formula>"Extremo"</formula>
    </cfRule>
    <cfRule type="cellIs" dxfId="519" priority="64" operator="equal">
      <formula>"Alto"</formula>
    </cfRule>
    <cfRule type="cellIs" dxfId="518" priority="65" operator="equal">
      <formula>"Moderado"</formula>
    </cfRule>
    <cfRule type="cellIs" dxfId="517" priority="66" operator="equal">
      <formula>"Bajo"</formula>
    </cfRule>
  </conditionalFormatting>
  <conditionalFormatting sqref="U61">
    <cfRule type="cellIs" dxfId="516" priority="49" operator="equal">
      <formula>"Extremo"</formula>
    </cfRule>
    <cfRule type="cellIs" dxfId="515" priority="50" operator="equal">
      <formula>"Alto"</formula>
    </cfRule>
    <cfRule type="cellIs" dxfId="514" priority="51" operator="equal">
      <formula>"Moderado"</formula>
    </cfRule>
    <cfRule type="cellIs" dxfId="513" priority="52" operator="equal">
      <formula>"Bajo"</formula>
    </cfRule>
  </conditionalFormatting>
  <conditionalFormatting sqref="AF61:AF66">
    <cfRule type="cellIs" dxfId="512" priority="44" operator="equal">
      <formula>"Muy Alta"</formula>
    </cfRule>
    <cfRule type="cellIs" dxfId="511" priority="45" operator="equal">
      <formula>"Alta"</formula>
    </cfRule>
    <cfRule type="cellIs" dxfId="510" priority="46" operator="equal">
      <formula>"Media"</formula>
    </cfRule>
    <cfRule type="cellIs" dxfId="509" priority="47" operator="equal">
      <formula>"Baja"</formula>
    </cfRule>
    <cfRule type="cellIs" dxfId="508" priority="48" operator="equal">
      <formula>"Muy Baja"</formula>
    </cfRule>
  </conditionalFormatting>
  <conditionalFormatting sqref="AH61:AH66">
    <cfRule type="cellIs" dxfId="507" priority="39" operator="equal">
      <formula>"Catastrófico"</formula>
    </cfRule>
    <cfRule type="cellIs" dxfId="506" priority="40" operator="equal">
      <formula>"Mayor"</formula>
    </cfRule>
    <cfRule type="cellIs" dxfId="505" priority="41" operator="equal">
      <formula>"Moderado"</formula>
    </cfRule>
    <cfRule type="cellIs" dxfId="504" priority="42" operator="equal">
      <formula>"Menor"</formula>
    </cfRule>
    <cfRule type="cellIs" dxfId="503" priority="43" operator="equal">
      <formula>"Leve"</formula>
    </cfRule>
  </conditionalFormatting>
  <conditionalFormatting sqref="AJ61:AJ66">
    <cfRule type="cellIs" dxfId="502" priority="35" operator="equal">
      <formula>"Extremo"</formula>
    </cfRule>
    <cfRule type="cellIs" dxfId="501" priority="36" operator="equal">
      <formula>"Alto"</formula>
    </cfRule>
    <cfRule type="cellIs" dxfId="500" priority="37" operator="equal">
      <formula>"Moderado"</formula>
    </cfRule>
    <cfRule type="cellIs" dxfId="499" priority="38" operator="equal">
      <formula>"Bajo"</formula>
    </cfRule>
  </conditionalFormatting>
  <conditionalFormatting sqref="O67">
    <cfRule type="cellIs" dxfId="498" priority="30" operator="equal">
      <formula>"Muy Alta"</formula>
    </cfRule>
    <cfRule type="cellIs" dxfId="497" priority="31" operator="equal">
      <formula>"Alta"</formula>
    </cfRule>
    <cfRule type="cellIs" dxfId="496" priority="32" operator="equal">
      <formula>"Media"</formula>
    </cfRule>
    <cfRule type="cellIs" dxfId="495" priority="33" operator="equal">
      <formula>"Baja"</formula>
    </cfRule>
    <cfRule type="cellIs" dxfId="494" priority="34" operator="equal">
      <formula>"Muy Baja"</formula>
    </cfRule>
  </conditionalFormatting>
  <conditionalFormatting sqref="U67">
    <cfRule type="cellIs" dxfId="493" priority="21" operator="equal">
      <formula>"Extremo"</formula>
    </cfRule>
    <cfRule type="cellIs" dxfId="492" priority="22" operator="equal">
      <formula>"Alto"</formula>
    </cfRule>
    <cfRule type="cellIs" dxfId="491" priority="23" operator="equal">
      <formula>"Moderado"</formula>
    </cfRule>
    <cfRule type="cellIs" dxfId="490" priority="24" operator="equal">
      <formula>"Bajo"</formula>
    </cfRule>
  </conditionalFormatting>
  <conditionalFormatting sqref="AF67:AF72">
    <cfRule type="cellIs" dxfId="489" priority="16" operator="equal">
      <formula>"Muy Alta"</formula>
    </cfRule>
    <cfRule type="cellIs" dxfId="488" priority="17" operator="equal">
      <formula>"Alta"</formula>
    </cfRule>
    <cfRule type="cellIs" dxfId="487" priority="18" operator="equal">
      <formula>"Media"</formula>
    </cfRule>
    <cfRule type="cellIs" dxfId="486" priority="19" operator="equal">
      <formula>"Baja"</formula>
    </cfRule>
    <cfRule type="cellIs" dxfId="485" priority="20" operator="equal">
      <formula>"Muy Baja"</formula>
    </cfRule>
  </conditionalFormatting>
  <conditionalFormatting sqref="AH67:AH72">
    <cfRule type="cellIs" dxfId="484" priority="11" operator="equal">
      <formula>"Catastrófico"</formula>
    </cfRule>
    <cfRule type="cellIs" dxfId="483" priority="12" operator="equal">
      <formula>"Mayor"</formula>
    </cfRule>
    <cfRule type="cellIs" dxfId="482" priority="13" operator="equal">
      <formula>"Moderado"</formula>
    </cfRule>
    <cfRule type="cellIs" dxfId="481" priority="14" operator="equal">
      <formula>"Menor"</formula>
    </cfRule>
    <cfRule type="cellIs" dxfId="480" priority="15" operator="equal">
      <formula>"Leve"</formula>
    </cfRule>
  </conditionalFormatting>
  <conditionalFormatting sqref="AJ67:AJ72">
    <cfRule type="cellIs" dxfId="479" priority="7" operator="equal">
      <formula>"Extremo"</formula>
    </cfRule>
    <cfRule type="cellIs" dxfId="478" priority="8" operator="equal">
      <formula>"Alto"</formula>
    </cfRule>
    <cfRule type="cellIs" dxfId="477" priority="9" operator="equal">
      <formula>"Moderado"</formula>
    </cfRule>
    <cfRule type="cellIs" dxfId="476" priority="10" operator="equal">
      <formula>"Bajo"</formula>
    </cfRule>
  </conditionalFormatting>
  <conditionalFormatting sqref="R13:R72">
    <cfRule type="containsText" dxfId="475" priority="6" operator="containsText" text="❌">
      <formula>NOT(ISERROR(SEARCH("❌",R13)))</formula>
    </cfRule>
  </conditionalFormatting>
  <conditionalFormatting sqref="O55">
    <cfRule type="cellIs" dxfId="474" priority="1" operator="equal">
      <formula>"Muy Alta"</formula>
    </cfRule>
    <cfRule type="cellIs" dxfId="473" priority="2" operator="equal">
      <formula>"Alta"</formula>
    </cfRule>
    <cfRule type="cellIs" dxfId="472" priority="3" operator="equal">
      <formula>"Media"</formula>
    </cfRule>
    <cfRule type="cellIs" dxfId="471" priority="4" operator="equal">
      <formula>"Baja"</formula>
    </cfRule>
    <cfRule type="cellIs" dxfId="470"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www.umv.gov.co&amp;CDESI-FM-018
Página &amp;P de &amp;N</oddFooter>
  </headerFooter>
  <colBreaks count="1" manualBreakCount="1">
    <brk id="20" max="75" man="1"/>
  </colBreaks>
  <ignoredErrors>
    <ignoredError sqref="AI15" formula="1"/>
  </ignoredError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300-000000000000}">
          <x14:formula1>
            <xm:f>'Tabla Valoración controles'!$D$4:$D$6</xm:f>
          </x14:formula1>
          <xm:sqref>Y13:Y72</xm:sqref>
        </x14:dataValidation>
        <x14:dataValidation type="list" allowBlank="1" showInputMessage="1" showErrorMessage="1" xr:uid="{00000000-0002-0000-0300-000001000000}">
          <x14:formula1>
            <xm:f>'Tabla Valoración controles'!$D$7:$D$8</xm:f>
          </x14:formula1>
          <xm:sqref>Z13:Z72</xm:sqref>
        </x14:dataValidation>
        <x14:dataValidation type="list" allowBlank="1" showInputMessage="1" showErrorMessage="1" xr:uid="{00000000-0002-0000-0300-000002000000}">
          <x14:formula1>
            <xm:f>'Tabla Valoración controles'!$D$9:$D$10</xm:f>
          </x14:formula1>
          <xm:sqref>AB13:AB72</xm:sqref>
        </x14:dataValidation>
        <x14:dataValidation type="list" allowBlank="1" showInputMessage="1" showErrorMessage="1" xr:uid="{00000000-0002-0000-0300-000003000000}">
          <x14:formula1>
            <xm:f>'Tabla Valoración controles'!$D$11:$D$12</xm:f>
          </x14:formula1>
          <xm:sqref>AC13:AC72</xm:sqref>
        </x14:dataValidation>
        <x14:dataValidation type="list" allowBlank="1" showInputMessage="1" showErrorMessage="1" xr:uid="{00000000-0002-0000-0300-000004000000}">
          <x14:formula1>
            <xm:f>'Tabla Valoración controles'!$D$13:$D$14</xm:f>
          </x14:formula1>
          <xm:sqref>AD13:AD72</xm:sqref>
        </x14:dataValidation>
        <x14:dataValidation type="list" allowBlank="1" showInputMessage="1" showErrorMessage="1" xr:uid="{00000000-0002-0000-0300-000005000000}">
          <x14:formula1>
            <xm:f>Listas!$E$2:$E$4</xm:f>
          </x14:formula1>
          <xm:sqref>B37:B72</xm:sqref>
        </x14:dataValidation>
        <x14:dataValidation type="list" allowBlank="1" showInputMessage="1" showErrorMessage="1" xr:uid="{00000000-0002-0000-0300-000006000000}">
          <x14:formula1>
            <xm:f>Listas!$B$2:$B$5</xm:f>
          </x14:formula1>
          <xm:sqref>AK13:AK72</xm:sqref>
        </x14:dataValidation>
        <x14:dataValidation type="list" allowBlank="1" showInputMessage="1" showErrorMessage="1" xr:uid="{00000000-0002-0000-0300-000007000000}">
          <x14:formula1>
            <xm:f>'Tabla Impacto'!$F$211:$F$222</xm:f>
          </x14:formula1>
          <xm:sqref>Q13:Q72</xm:sqref>
        </x14:dataValidation>
        <x14:dataValidation type="custom" allowBlank="1" showInputMessage="1" showErrorMessage="1" error="Recuerde que las acciones se generan bajo la medida de mitigar el riesgo" xr:uid="{00000000-0002-0000-0300-000008000000}">
          <x14:formula1>
            <xm:f>IF(OR(#REF!=Listas!$B$2,#REF!=Listas!$B$3,#REF!=Listas!$B$4),ISBLANK(#REF!),ISTEXT(#REF!))</xm:f>
          </x14:formula1>
          <xm:sqref>AP37:AR37 AP67:AR67 AP61:AR61 AP55:AR55 AP49:AR49 AP43:AR43</xm:sqref>
        </x14:dataValidation>
        <x14:dataValidation type="list" allowBlank="1" showInputMessage="1" showErrorMessage="1" xr:uid="{00000000-0002-0000-0300-000009000000}">
          <x14:formula1>
            <xm:f>Listas!$B$12:$B$16</xm:f>
          </x14:formula1>
          <xm:sqref>F13:F72</xm:sqref>
        </x14:dataValidation>
        <x14:dataValidation type="list" allowBlank="1" showInputMessage="1" showErrorMessage="1" xr:uid="{00000000-0002-0000-0300-00000A000000}">
          <x14:formula1>
            <xm:f>Listas!$F$8:$F$9</xm:f>
          </x14:formula1>
          <xm:sqref>G13:G72</xm:sqref>
        </x14:dataValidation>
        <x14:dataValidation type="list" allowBlank="1" showInputMessage="1" showErrorMessage="1" xr:uid="{00000000-0002-0000-0300-00000B000000}">
          <x14:formula1>
            <xm:f>Intructivo!$C$300:$C$316</xm:f>
          </x14:formula1>
          <xm:sqref>C6 U6:V6</xm:sqref>
        </x14:dataValidation>
        <x14:dataValidation type="list" allowBlank="1" showInputMessage="1" showErrorMessage="1" xr:uid="{00000000-0002-0000-0300-00000C000000}">
          <x14:formula1>
            <xm:f>Listas!$H$8:$H$12</xm:f>
          </x14:formula1>
          <xm:sqref>L13:L72</xm:sqref>
        </x14:dataValidation>
        <x14:dataValidation type="list" allowBlank="1" showInputMessage="1" showErrorMessage="1" xr:uid="{00000000-0002-0000-0300-00000D000000}">
          <x14:formula1>
            <xm:f>Listas!$H$14:$H$18</xm:f>
          </x14:formula1>
          <xm:sqref>M13:M72</xm:sqref>
        </x14:dataValidation>
        <x14:dataValidation type="list" allowBlank="1" showInputMessage="1" showErrorMessage="1" xr:uid="{00000000-0002-0000-0300-00000E000000}">
          <x14:formula1>
            <xm:f>'https://uaermv-my.sharepoint.com/personal/nelson_ovalle_umv_gov_co/Documents/Contrato 410 de 2022/Pago 11/1. implementación MIPG/Mapas de riesgos/[9_GCON_MR_2022_V4.xlsx]Opciones Tratamiento'!#REF!</xm:f>
          </x14:formula1>
          <xm:sqref>B13:B18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topLeftCell="A2" zoomScale="40" zoomScaleNormal="40" workbookViewId="0">
      <selection activeCell="Z14" sqref="Z14:AA15"/>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388" t="s">
        <v>263</v>
      </c>
      <c r="C2" s="388"/>
      <c r="D2" s="388"/>
      <c r="E2" s="388"/>
      <c r="F2" s="388"/>
      <c r="G2" s="388"/>
      <c r="H2" s="388"/>
      <c r="I2" s="388"/>
      <c r="J2" s="425" t="s">
        <v>15</v>
      </c>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388"/>
      <c r="C3" s="388"/>
      <c r="D3" s="388"/>
      <c r="E3" s="388"/>
      <c r="F3" s="388"/>
      <c r="G3" s="388"/>
      <c r="H3" s="388"/>
      <c r="I3" s="388"/>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388"/>
      <c r="C4" s="388"/>
      <c r="D4" s="388"/>
      <c r="E4" s="388"/>
      <c r="F4" s="388"/>
      <c r="G4" s="388"/>
      <c r="H4" s="388"/>
      <c r="I4" s="388"/>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436" t="s">
        <v>264</v>
      </c>
      <c r="C6" s="436"/>
      <c r="D6" s="437"/>
      <c r="E6" s="426" t="s">
        <v>265</v>
      </c>
      <c r="F6" s="427"/>
      <c r="G6" s="427"/>
      <c r="H6" s="427"/>
      <c r="I6" s="428"/>
      <c r="J6" s="422" t="str">
        <f>IF(AND('Riesgos de Gestión'!$O$13="Muy Alta",'Riesgos de Gestión'!$S$13="Leve"),CONCATENATE("R",'Riesgos de Gestión'!$A$13),"")</f>
        <v/>
      </c>
      <c r="K6" s="423"/>
      <c r="L6" s="423" t="str">
        <f>IF(AND('Riesgos de Gestión'!$O$19="Muy Alta",'Riesgos de Gestión'!$S$19="Leve"),CONCATENATE("R",'Riesgos de Gestión'!$A$19),"")</f>
        <v/>
      </c>
      <c r="M6" s="423"/>
      <c r="N6" s="423" t="str">
        <f>IF(AND('Riesgos de Gestión'!$O$25="Muy Alta",'Riesgos de Gestión'!$S$25="Leve"),CONCATENATE("R",'Riesgos de Gestión'!$A$25),"")</f>
        <v/>
      </c>
      <c r="O6" s="424"/>
      <c r="P6" s="422" t="str">
        <f>IF(AND('Riesgos de Gestión'!$O$13="Muy Alta",'Riesgos de Gestión'!$S$13="Menor"),CONCATENATE("R",'Riesgos de Gestión'!$A$13),"")</f>
        <v/>
      </c>
      <c r="Q6" s="423"/>
      <c r="R6" s="423" t="str">
        <f>IF(AND('Riesgos de Gestión'!$O$19="Muy Alta",'Riesgos de Gestión'!$S$19="Menor"),CONCATENATE("R",'Riesgos de Gestión'!$A$19),"")</f>
        <v/>
      </c>
      <c r="S6" s="423"/>
      <c r="T6" s="423" t="str">
        <f>IF(AND('Riesgos de Gestión'!$O$25="Muy Alta",'Riesgos de Gestión'!$S$25="Menor"),CONCATENATE("R",'Riesgos de Gestión'!$A$25),"")</f>
        <v/>
      </c>
      <c r="U6" s="424"/>
      <c r="V6" s="422" t="str">
        <f>IF(AND('Riesgos de Gestión'!$O$13="Muy Alta",'Riesgos de Gestión'!$S$13="Moderado"),CONCATENATE("R",'Riesgos de Gestión'!$A$13),"")</f>
        <v/>
      </c>
      <c r="W6" s="423"/>
      <c r="X6" s="423" t="str">
        <f>IF(AND('Riesgos de Gestión'!$O$19="Muy Alta",'Riesgos de Gestión'!$S$19="Moderado"),CONCATENATE("R",'Riesgos de Gestión'!$A$19),"")</f>
        <v/>
      </c>
      <c r="Y6" s="423"/>
      <c r="Z6" s="423" t="str">
        <f>IF(AND('Riesgos de Gestión'!$O$25="Muy Alta",'Riesgos de Gestión'!$S$25="Moderado"),CONCATENATE("R",'Riesgos de Gestión'!$A$25),"")</f>
        <v/>
      </c>
      <c r="AA6" s="424"/>
      <c r="AB6" s="422" t="str">
        <f>IF(AND('Riesgos de Gestión'!$O$13="Muy Alta",'Riesgos de Gestión'!$S$13="Mayor"),CONCATENATE("R",'Riesgos de Gestión'!$A$13),"")</f>
        <v/>
      </c>
      <c r="AC6" s="423"/>
      <c r="AD6" s="423" t="str">
        <f>IF(AND('Riesgos de Gestión'!$O$19="Muy Alta",'Riesgos de Gestión'!$S$19="Mayor"),CONCATENATE("R",'Riesgos de Gestión'!$A$19),"")</f>
        <v/>
      </c>
      <c r="AE6" s="423"/>
      <c r="AF6" s="423" t="str">
        <f>IF(AND('Riesgos de Gestión'!$O$25="Muy Alta",'Riesgos de Gestión'!$S$25="Mayor"),CONCATENATE("R",'Riesgos de Gestión'!$A$25),"")</f>
        <v/>
      </c>
      <c r="AG6" s="424"/>
      <c r="AH6" s="413" t="str">
        <f>IF(AND('Riesgos de Gestión'!$O$13="Muy Alta",'Riesgos de Gestión'!$S$13="Catastrófico"),CONCATENATE("R",'Riesgos de Gestión'!$A$13),"")</f>
        <v/>
      </c>
      <c r="AI6" s="414"/>
      <c r="AJ6" s="414" t="str">
        <f>IF(AND('Riesgos de Gestión'!$O$19="Muy Alta",'Riesgos de Gestión'!$S$19="Catastrófico"),CONCATENATE("R",'Riesgos de Gestión'!$A$19),"")</f>
        <v/>
      </c>
      <c r="AK6" s="414"/>
      <c r="AL6" s="414" t="str">
        <f>IF(AND('Riesgos de Gestión'!$O$25="Muy Alta",'Riesgos de Gestión'!$S$25="Catastrófico"),CONCATENATE("R",'Riesgos de Gestión'!$A$25),"")</f>
        <v/>
      </c>
      <c r="AM6" s="415"/>
      <c r="AO6" s="438" t="s">
        <v>266</v>
      </c>
      <c r="AP6" s="439"/>
      <c r="AQ6" s="439"/>
      <c r="AR6" s="439"/>
      <c r="AS6" s="439"/>
      <c r="AT6" s="440"/>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436"/>
      <c r="C7" s="436"/>
      <c r="D7" s="437"/>
      <c r="E7" s="429"/>
      <c r="F7" s="430"/>
      <c r="G7" s="430"/>
      <c r="H7" s="430"/>
      <c r="I7" s="431"/>
      <c r="J7" s="416"/>
      <c r="K7" s="417"/>
      <c r="L7" s="417"/>
      <c r="M7" s="417"/>
      <c r="N7" s="417"/>
      <c r="O7" s="418"/>
      <c r="P7" s="416"/>
      <c r="Q7" s="417"/>
      <c r="R7" s="417"/>
      <c r="S7" s="417"/>
      <c r="T7" s="417"/>
      <c r="U7" s="418"/>
      <c r="V7" s="416"/>
      <c r="W7" s="417"/>
      <c r="X7" s="417"/>
      <c r="Y7" s="417"/>
      <c r="Z7" s="417"/>
      <c r="AA7" s="418"/>
      <c r="AB7" s="416"/>
      <c r="AC7" s="417"/>
      <c r="AD7" s="417"/>
      <c r="AE7" s="417"/>
      <c r="AF7" s="417"/>
      <c r="AG7" s="418"/>
      <c r="AH7" s="407"/>
      <c r="AI7" s="408"/>
      <c r="AJ7" s="408"/>
      <c r="AK7" s="408"/>
      <c r="AL7" s="408"/>
      <c r="AM7" s="409"/>
      <c r="AN7" s="66"/>
      <c r="AO7" s="441"/>
      <c r="AP7" s="442"/>
      <c r="AQ7" s="442"/>
      <c r="AR7" s="442"/>
      <c r="AS7" s="442"/>
      <c r="AT7" s="443"/>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436"/>
      <c r="C8" s="436"/>
      <c r="D8" s="437"/>
      <c r="E8" s="429"/>
      <c r="F8" s="430"/>
      <c r="G8" s="430"/>
      <c r="H8" s="430"/>
      <c r="I8" s="431"/>
      <c r="J8" s="416" t="str">
        <f>IF(AND('Riesgos de Gestión'!$O$31="Muy Alta",'Riesgos de Gestión'!$S$31="Leve"),CONCATENATE("R",'Riesgos de Gestión'!$A$31),"")</f>
        <v/>
      </c>
      <c r="K8" s="417"/>
      <c r="L8" s="417" t="str">
        <f>IF(AND('Riesgos de Gestión'!$O$37="Muy Alta",'Riesgos de Gestión'!$S$37="Leve"),CONCATENATE("R",'Riesgos de Gestión'!$A$37),"")</f>
        <v/>
      </c>
      <c r="M8" s="417"/>
      <c r="N8" s="417" t="str">
        <f>IF(AND('Riesgos de Gestión'!$O$43="Muy Alta",'Riesgos de Gestión'!$S$43="Leve"),CONCATENATE("R",'Riesgos de Gestión'!$A$43),"")</f>
        <v/>
      </c>
      <c r="O8" s="418"/>
      <c r="P8" s="416" t="str">
        <f>IF(AND('Riesgos de Gestión'!$O$31="Muy Alta",'Riesgos de Gestión'!$S$31="Menor"),CONCATENATE("R",'Riesgos de Gestión'!$A$31),"")</f>
        <v/>
      </c>
      <c r="Q8" s="417"/>
      <c r="R8" s="417" t="str">
        <f>IF(AND('Riesgos de Gestión'!$O$37="Muy Alta",'Riesgos de Gestión'!$S$37="Menor"),CONCATENATE("R",'Riesgos de Gestión'!$A$37),"")</f>
        <v/>
      </c>
      <c r="S8" s="417"/>
      <c r="T8" s="417" t="str">
        <f>IF(AND('Riesgos de Gestión'!$O$43="Muy Alta",'Riesgos de Gestión'!$S$43="Menor"),CONCATENATE("R",'Riesgos de Gestión'!$A$43),"")</f>
        <v/>
      </c>
      <c r="U8" s="418"/>
      <c r="V8" s="416" t="str">
        <f>IF(AND('Riesgos de Gestión'!$O$31="Muy Alta",'Riesgos de Gestión'!$S$31="Moderado"),CONCATENATE("R",'Riesgos de Gestión'!$A$31),"")</f>
        <v/>
      </c>
      <c r="W8" s="417"/>
      <c r="X8" s="417" t="str">
        <f>IF(AND('Riesgos de Gestión'!$O$37="Muy Alta",'Riesgos de Gestión'!$S$37="Moderado"),CONCATENATE("R",'Riesgos de Gestión'!$A$37),"")</f>
        <v/>
      </c>
      <c r="Y8" s="417"/>
      <c r="Z8" s="417" t="str">
        <f>IF(AND('Riesgos de Gestión'!$O$43="Muy Alta",'Riesgos de Gestión'!$S$43="Moderado"),CONCATENATE("R",'Riesgos de Gestión'!$A$43),"")</f>
        <v/>
      </c>
      <c r="AA8" s="418"/>
      <c r="AB8" s="416" t="str">
        <f>IF(AND('Riesgos de Gestión'!$O$31="Muy Alta",'Riesgos de Gestión'!$S$31="Mayor"),CONCATENATE("R",'Riesgos de Gestión'!$A$31),"")</f>
        <v/>
      </c>
      <c r="AC8" s="417"/>
      <c r="AD8" s="417" t="str">
        <f>IF(AND('Riesgos de Gestión'!$O$37="Muy Alta",'Riesgos de Gestión'!$S$37="Mayor"),CONCATENATE("R",'Riesgos de Gestión'!$A$37),"")</f>
        <v/>
      </c>
      <c r="AE8" s="417"/>
      <c r="AF8" s="417" t="str">
        <f>IF(AND('Riesgos de Gestión'!$O$43="Muy Alta",'Riesgos de Gestión'!$S$43="Mayor"),CONCATENATE("R",'Riesgos de Gestión'!$A$43),"")</f>
        <v/>
      </c>
      <c r="AG8" s="418"/>
      <c r="AH8" s="407" t="str">
        <f>IF(AND('Riesgos de Gestión'!$O$31="Muy Alta",'Riesgos de Gestión'!$S$31="Catastrófico"),CONCATENATE("R",'Riesgos de Gestión'!$A$31),"")</f>
        <v/>
      </c>
      <c r="AI8" s="408"/>
      <c r="AJ8" s="408" t="str">
        <f>IF(AND('Riesgos de Gestión'!$O$37="Muy Alta",'Riesgos de Gestión'!$S$37="Catastrófico"),CONCATENATE("R",'Riesgos de Gestión'!$A$37),"")</f>
        <v/>
      </c>
      <c r="AK8" s="408"/>
      <c r="AL8" s="408" t="str">
        <f>IF(AND('Riesgos de Gestión'!$O$43="Muy Alta",'Riesgos de Gestión'!$S$43="Catastrófico"),CONCATENATE("R",'Riesgos de Gestión'!$A$43),"")</f>
        <v/>
      </c>
      <c r="AM8" s="409"/>
      <c r="AN8" s="66"/>
      <c r="AO8" s="441"/>
      <c r="AP8" s="442"/>
      <c r="AQ8" s="442"/>
      <c r="AR8" s="442"/>
      <c r="AS8" s="442"/>
      <c r="AT8" s="443"/>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436"/>
      <c r="C9" s="436"/>
      <c r="D9" s="437"/>
      <c r="E9" s="429"/>
      <c r="F9" s="430"/>
      <c r="G9" s="430"/>
      <c r="H9" s="430"/>
      <c r="I9" s="431"/>
      <c r="J9" s="416"/>
      <c r="K9" s="417"/>
      <c r="L9" s="417"/>
      <c r="M9" s="417"/>
      <c r="N9" s="417"/>
      <c r="O9" s="418"/>
      <c r="P9" s="416"/>
      <c r="Q9" s="417"/>
      <c r="R9" s="417"/>
      <c r="S9" s="417"/>
      <c r="T9" s="417"/>
      <c r="U9" s="418"/>
      <c r="V9" s="416"/>
      <c r="W9" s="417"/>
      <c r="X9" s="417"/>
      <c r="Y9" s="417"/>
      <c r="Z9" s="417"/>
      <c r="AA9" s="418"/>
      <c r="AB9" s="416"/>
      <c r="AC9" s="417"/>
      <c r="AD9" s="417"/>
      <c r="AE9" s="417"/>
      <c r="AF9" s="417"/>
      <c r="AG9" s="418"/>
      <c r="AH9" s="407"/>
      <c r="AI9" s="408"/>
      <c r="AJ9" s="408"/>
      <c r="AK9" s="408"/>
      <c r="AL9" s="408"/>
      <c r="AM9" s="409"/>
      <c r="AN9" s="66"/>
      <c r="AO9" s="441"/>
      <c r="AP9" s="442"/>
      <c r="AQ9" s="442"/>
      <c r="AR9" s="442"/>
      <c r="AS9" s="442"/>
      <c r="AT9" s="443"/>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436"/>
      <c r="C10" s="436"/>
      <c r="D10" s="437"/>
      <c r="E10" s="429"/>
      <c r="F10" s="430"/>
      <c r="G10" s="430"/>
      <c r="H10" s="430"/>
      <c r="I10" s="431"/>
      <c r="J10" s="416" t="str">
        <f>IF(AND('Riesgos de Gestión'!$O$49="Muy Alta",'Riesgos de Gestión'!$S$49="Leve"),CONCATENATE("R",'Riesgos de Gestión'!$A$49),"")</f>
        <v/>
      </c>
      <c r="K10" s="417"/>
      <c r="L10" s="417" t="str">
        <f>IF(AND('Riesgos de Gestión'!$O$55="Muy Alta",'Riesgos de Gestión'!$S$55="Leve"),CONCATENATE("R",'Riesgos de Gestión'!$A$55),"")</f>
        <v/>
      </c>
      <c r="M10" s="417"/>
      <c r="N10" s="417" t="str">
        <f>IF(AND('Riesgos de Gestión'!$O$61="Muy Alta",'Riesgos de Gestión'!$S$61="Leve"),CONCATENATE("R",'Riesgos de Gestión'!$A$61),"")</f>
        <v/>
      </c>
      <c r="O10" s="418"/>
      <c r="P10" s="416" t="str">
        <f>IF(AND('Riesgos de Gestión'!$O$49="Muy Alta",'Riesgos de Gestión'!$S$49="Menor"),CONCATENATE("R",'Riesgos de Gestión'!$A$49),"")</f>
        <v/>
      </c>
      <c r="Q10" s="417"/>
      <c r="R10" s="417" t="str">
        <f>IF(AND('Riesgos de Gestión'!$O$55="Muy Alta",'Riesgos de Gestión'!$S$55="Menor"),CONCATENATE("R",'Riesgos de Gestión'!$A$55),"")</f>
        <v/>
      </c>
      <c r="S10" s="417"/>
      <c r="T10" s="417" t="str">
        <f>IF(AND('Riesgos de Gestión'!$O$61="Muy Alta",'Riesgos de Gestión'!$S$61="Menor"),CONCATENATE("R",'Riesgos de Gestión'!$A$61),"")</f>
        <v/>
      </c>
      <c r="U10" s="418"/>
      <c r="V10" s="416" t="str">
        <f>IF(AND('Riesgos de Gestión'!$O$49="Muy Alta",'Riesgos de Gestión'!$S$49="Moderado"),CONCATENATE("R",'Riesgos de Gestión'!$A$49),"")</f>
        <v/>
      </c>
      <c r="W10" s="417"/>
      <c r="X10" s="417" t="str">
        <f>IF(AND('Riesgos de Gestión'!$O$55="Muy Alta",'Riesgos de Gestión'!$S$55="Moderado"),CONCATENATE("R",'Riesgos de Gestión'!$A$55),"")</f>
        <v/>
      </c>
      <c r="Y10" s="417"/>
      <c r="Z10" s="417" t="str">
        <f>IF(AND('Riesgos de Gestión'!$O$61="Muy Alta",'Riesgos de Gestión'!$S$61="Moderado"),CONCATENATE("R",'Riesgos de Gestión'!$A$61),"")</f>
        <v/>
      </c>
      <c r="AA10" s="418"/>
      <c r="AB10" s="416" t="str">
        <f>IF(AND('Riesgos de Gestión'!$O$49="Muy Alta",'Riesgos de Gestión'!$S$49="Mayor"),CONCATENATE("R",'Riesgos de Gestión'!$A$49),"")</f>
        <v/>
      </c>
      <c r="AC10" s="417"/>
      <c r="AD10" s="417" t="str">
        <f>IF(AND('Riesgos de Gestión'!$O$55="Muy Alta",'Riesgos de Gestión'!$S$55="Mayor"),CONCATENATE("R",'Riesgos de Gestión'!$A$55),"")</f>
        <v/>
      </c>
      <c r="AE10" s="417"/>
      <c r="AF10" s="417" t="str">
        <f>IF(AND('Riesgos de Gestión'!$O$61="Muy Alta",'Riesgos de Gestión'!$S$61="Mayor"),CONCATENATE("R",'Riesgos de Gestión'!$A$61),"")</f>
        <v/>
      </c>
      <c r="AG10" s="418"/>
      <c r="AH10" s="407" t="str">
        <f>IF(AND('Riesgos de Gestión'!$O$49="Muy Alta",'Riesgos de Gestión'!$S$49="Catastrófico"),CONCATENATE("R",'Riesgos de Gestión'!$A$49),"")</f>
        <v/>
      </c>
      <c r="AI10" s="408"/>
      <c r="AJ10" s="408" t="str">
        <f>IF(AND('Riesgos de Gestión'!$O$55="Muy Alta",'Riesgos de Gestión'!$S$55="Catastrófico"),CONCATENATE("R",'Riesgos de Gestión'!$A$55),"")</f>
        <v/>
      </c>
      <c r="AK10" s="408"/>
      <c r="AL10" s="408" t="str">
        <f>IF(AND('Riesgos de Gestión'!$O$61="Muy Alta",'Riesgos de Gestión'!$S$61="Catastrófico"),CONCATENATE("R",'Riesgos de Gestión'!$A$61),"")</f>
        <v/>
      </c>
      <c r="AM10" s="409"/>
      <c r="AN10" s="66"/>
      <c r="AO10" s="441"/>
      <c r="AP10" s="442"/>
      <c r="AQ10" s="442"/>
      <c r="AR10" s="442"/>
      <c r="AS10" s="442"/>
      <c r="AT10" s="443"/>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436"/>
      <c r="C11" s="436"/>
      <c r="D11" s="437"/>
      <c r="E11" s="429"/>
      <c r="F11" s="430"/>
      <c r="G11" s="430"/>
      <c r="H11" s="430"/>
      <c r="I11" s="431"/>
      <c r="J11" s="416"/>
      <c r="K11" s="417"/>
      <c r="L11" s="417"/>
      <c r="M11" s="417"/>
      <c r="N11" s="417"/>
      <c r="O11" s="418"/>
      <c r="P11" s="416"/>
      <c r="Q11" s="417"/>
      <c r="R11" s="417"/>
      <c r="S11" s="417"/>
      <c r="T11" s="417"/>
      <c r="U11" s="418"/>
      <c r="V11" s="416"/>
      <c r="W11" s="417"/>
      <c r="X11" s="417"/>
      <c r="Y11" s="417"/>
      <c r="Z11" s="417"/>
      <c r="AA11" s="418"/>
      <c r="AB11" s="416"/>
      <c r="AC11" s="417"/>
      <c r="AD11" s="417"/>
      <c r="AE11" s="417"/>
      <c r="AF11" s="417"/>
      <c r="AG11" s="418"/>
      <c r="AH11" s="407"/>
      <c r="AI11" s="408"/>
      <c r="AJ11" s="408"/>
      <c r="AK11" s="408"/>
      <c r="AL11" s="408"/>
      <c r="AM11" s="409"/>
      <c r="AN11" s="66"/>
      <c r="AO11" s="441"/>
      <c r="AP11" s="442"/>
      <c r="AQ11" s="442"/>
      <c r="AR11" s="442"/>
      <c r="AS11" s="442"/>
      <c r="AT11" s="443"/>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436"/>
      <c r="C12" s="436"/>
      <c r="D12" s="437"/>
      <c r="E12" s="429"/>
      <c r="F12" s="430"/>
      <c r="G12" s="430"/>
      <c r="H12" s="430"/>
      <c r="I12" s="431"/>
      <c r="J12" s="416" t="str">
        <f>IF(AND('Riesgos de Gestión'!$O$67="Muy Alta",'Riesgos de Gestión'!$S$67="Leve"),CONCATENATE("R",'Riesgos de Gestión'!$A$67),"")</f>
        <v/>
      </c>
      <c r="K12" s="417"/>
      <c r="L12" s="417" t="str">
        <f>IF(AND('Riesgos de Gestión'!$P$73="Muy Alta",'Riesgos de Gestión'!$T$73="Leve"),CONCATENATE("R",'Riesgos de Gestión'!$A$73),"")</f>
        <v/>
      </c>
      <c r="M12" s="417"/>
      <c r="N12" s="417" t="str">
        <f>IF(AND('Riesgos de Gestión'!$P$79="Muy Alta",'Riesgos de Gestión'!$T$79="Leve"),CONCATENATE("R",'Riesgos de Gestión'!$A$79),"")</f>
        <v/>
      </c>
      <c r="O12" s="418"/>
      <c r="P12" s="416" t="str">
        <f>IF(AND('Riesgos de Gestión'!$O$67="Muy Alta",'Riesgos de Gestión'!$S$67="Menor"),CONCATENATE("R",'Riesgos de Gestión'!$A$67),"")</f>
        <v/>
      </c>
      <c r="Q12" s="417"/>
      <c r="R12" s="417" t="str">
        <f>IF(AND('Riesgos de Gestión'!$P$73="Muy Alta",'Riesgos de Gestión'!$T$73="Menor"),CONCATENATE("R",'Riesgos de Gestión'!$A$73),"")</f>
        <v/>
      </c>
      <c r="S12" s="417"/>
      <c r="T12" s="417" t="str">
        <f>IF(AND('Riesgos de Gestión'!$P$79="Muy Alta",'Riesgos de Gestión'!$T$79="Menor"),CONCATENATE("R",'Riesgos de Gestión'!$A$79),"")</f>
        <v/>
      </c>
      <c r="U12" s="418"/>
      <c r="V12" s="416" t="str">
        <f>IF(AND('Riesgos de Gestión'!$O$67="Muy Alta",'Riesgos de Gestión'!$S$67="Moderado"),CONCATENATE("R",'Riesgos de Gestión'!$A$67),"")</f>
        <v/>
      </c>
      <c r="W12" s="417"/>
      <c r="X12" s="417" t="str">
        <f>IF(AND('Riesgos de Gestión'!$P$73="Muy Alta",'Riesgos de Gestión'!$T$73="Moderado"),CONCATENATE("R",'Riesgos de Gestión'!$A$73),"")</f>
        <v/>
      </c>
      <c r="Y12" s="417"/>
      <c r="Z12" s="417" t="str">
        <f>IF(AND('Riesgos de Gestión'!$P$79="Muy Alta",'Riesgos de Gestión'!$T$79="Moderado"),CONCATENATE("R",'Riesgos de Gestión'!$A$79),"")</f>
        <v/>
      </c>
      <c r="AA12" s="418"/>
      <c r="AB12" s="416" t="str">
        <f>IF(AND('Riesgos de Gestión'!$O$67="Muy Alta",'Riesgos de Gestión'!$S$67="Mayor"),CONCATENATE("R",'Riesgos de Gestión'!$A$67),"")</f>
        <v/>
      </c>
      <c r="AC12" s="417"/>
      <c r="AD12" s="417" t="str">
        <f>IF(AND('Riesgos de Gestión'!$P$73="Muy Alta",'Riesgos de Gestión'!$T$73="Mayor"),CONCATENATE("R",'Riesgos de Gestión'!$A$73),"")</f>
        <v/>
      </c>
      <c r="AE12" s="417"/>
      <c r="AF12" s="417" t="str">
        <f>IF(AND('Riesgos de Gestión'!$P$79="Muy Alta",'Riesgos de Gestión'!$T$79="Mayor"),CONCATENATE("R",'Riesgos de Gestión'!$A$79),"")</f>
        <v/>
      </c>
      <c r="AG12" s="418"/>
      <c r="AH12" s="407" t="str">
        <f>IF(AND('Riesgos de Gestión'!$O$67="Muy Alta",'Riesgos de Gestión'!$S$67="Catastrófico"),CONCATENATE("R",'Riesgos de Gestión'!$A$67),"")</f>
        <v/>
      </c>
      <c r="AI12" s="408"/>
      <c r="AJ12" s="408" t="str">
        <f>IF(AND('Riesgos de Gestión'!$P$73="Muy Alta",'Riesgos de Gestión'!$T$73="Catastrófico"),CONCATENATE("R",'Riesgos de Gestión'!$A$73),"")</f>
        <v/>
      </c>
      <c r="AK12" s="408"/>
      <c r="AL12" s="408" t="str">
        <f>IF(AND('Riesgos de Gestión'!$P$79="Muy Alta",'Riesgos de Gestión'!$T$79="Catastrófico"),CONCATENATE("R",'Riesgos de Gestión'!$A$79),"")</f>
        <v/>
      </c>
      <c r="AM12" s="409"/>
      <c r="AN12" s="66"/>
      <c r="AO12" s="441"/>
      <c r="AP12" s="442"/>
      <c r="AQ12" s="442"/>
      <c r="AR12" s="442"/>
      <c r="AS12" s="442"/>
      <c r="AT12" s="443"/>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436"/>
      <c r="C13" s="436"/>
      <c r="D13" s="437"/>
      <c r="E13" s="432"/>
      <c r="F13" s="433"/>
      <c r="G13" s="433"/>
      <c r="H13" s="433"/>
      <c r="I13" s="434"/>
      <c r="J13" s="416"/>
      <c r="K13" s="417"/>
      <c r="L13" s="417"/>
      <c r="M13" s="417"/>
      <c r="N13" s="417"/>
      <c r="O13" s="418"/>
      <c r="P13" s="416"/>
      <c r="Q13" s="417"/>
      <c r="R13" s="417"/>
      <c r="S13" s="417"/>
      <c r="T13" s="417"/>
      <c r="U13" s="418"/>
      <c r="V13" s="416"/>
      <c r="W13" s="417"/>
      <c r="X13" s="417"/>
      <c r="Y13" s="417"/>
      <c r="Z13" s="417"/>
      <c r="AA13" s="418"/>
      <c r="AB13" s="416"/>
      <c r="AC13" s="417"/>
      <c r="AD13" s="417"/>
      <c r="AE13" s="417"/>
      <c r="AF13" s="417"/>
      <c r="AG13" s="418"/>
      <c r="AH13" s="410"/>
      <c r="AI13" s="411"/>
      <c r="AJ13" s="411"/>
      <c r="AK13" s="411"/>
      <c r="AL13" s="411"/>
      <c r="AM13" s="412"/>
      <c r="AN13" s="66"/>
      <c r="AO13" s="444"/>
      <c r="AP13" s="445"/>
      <c r="AQ13" s="445"/>
      <c r="AR13" s="445"/>
      <c r="AS13" s="445"/>
      <c r="AT13" s="44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436"/>
      <c r="C14" s="436"/>
      <c r="D14" s="437"/>
      <c r="E14" s="426" t="s">
        <v>267</v>
      </c>
      <c r="F14" s="427"/>
      <c r="G14" s="427"/>
      <c r="H14" s="427"/>
      <c r="I14" s="427"/>
      <c r="J14" s="404" t="str">
        <f>IF(AND('Riesgos de Gestión'!$O$13="Alta",'Riesgos de Gestión'!$S$13="Leve"),CONCATENATE("R",'Riesgos de Gestión'!$A$13),"")</f>
        <v/>
      </c>
      <c r="K14" s="405"/>
      <c r="L14" s="405" t="str">
        <f>IF(AND('Riesgos de Gestión'!$O$19="Alta",'Riesgos de Gestión'!$S$19="Leve"),CONCATENATE("R",'Riesgos de Gestión'!$A$19),"")</f>
        <v/>
      </c>
      <c r="M14" s="405"/>
      <c r="N14" s="405" t="str">
        <f>IF(AND('Riesgos de Gestión'!$O$25="Alta",'Riesgos de Gestión'!$S$25="Leve"),CONCATENATE("R",'Riesgos de Gestión'!$A$25),"")</f>
        <v/>
      </c>
      <c r="O14" s="406"/>
      <c r="P14" s="404" t="str">
        <f>IF(AND('Riesgos de Gestión'!$O$13="Alta",'Riesgos de Gestión'!$S$13="Menor"),CONCATENATE("R",'Riesgos de Gestión'!$A$13),"")</f>
        <v/>
      </c>
      <c r="Q14" s="405"/>
      <c r="R14" s="405" t="str">
        <f>IF(AND('Riesgos de Gestión'!$O$19="Alta",'Riesgos de Gestión'!$S$19="Menor"),CONCATENATE("R",'Riesgos de Gestión'!$A$19),"")</f>
        <v/>
      </c>
      <c r="S14" s="405"/>
      <c r="T14" s="405" t="str">
        <f>IF(AND('Riesgos de Gestión'!$O$25="Alta",'Riesgos de Gestión'!$S$25="Menor"),CONCATENATE("R",'Riesgos de Gestión'!$A$25),"")</f>
        <v/>
      </c>
      <c r="U14" s="406"/>
      <c r="V14" s="422" t="str">
        <f>IF(AND('Riesgos de Gestión'!$O$13="Alta",'Riesgos de Gestión'!$S$13="Moderado"),CONCATENATE("R",'Riesgos de Gestión'!$A$13),"")</f>
        <v/>
      </c>
      <c r="W14" s="423"/>
      <c r="X14" s="423" t="str">
        <f>IF(AND('Riesgos de Gestión'!$O$19="Alta",'Riesgos de Gestión'!$S$19="Moderado"),CONCATENATE("R",'Riesgos de Gestión'!$A$19),"")</f>
        <v/>
      </c>
      <c r="Y14" s="423"/>
      <c r="Z14" s="423" t="str">
        <f>IF(AND('Riesgos de Gestión'!$O$25="Alta",'Riesgos de Gestión'!$S$25="Moderado"),CONCATENATE("R",'Riesgos de Gestión'!$A$25),"")</f>
        <v/>
      </c>
      <c r="AA14" s="424"/>
      <c r="AB14" s="422" t="str">
        <f>IF(AND('Riesgos de Gestión'!$O$13="Alta",'Riesgos de Gestión'!$S$13="Mayor"),CONCATENATE("R",'Riesgos de Gestión'!$A$13),"")</f>
        <v/>
      </c>
      <c r="AC14" s="423"/>
      <c r="AD14" s="423" t="str">
        <f>IF(AND('Riesgos de Gestión'!$O$19="Alta",'Riesgos de Gestión'!$S$19="Mayor"),CONCATENATE("R",'Riesgos de Gestión'!$A$19),"")</f>
        <v/>
      </c>
      <c r="AE14" s="423"/>
      <c r="AF14" s="423" t="str">
        <f>IF(AND('Riesgos de Gestión'!$O$25="Alta",'Riesgos de Gestión'!$S$25="Mayor"),CONCATENATE("R",'Riesgos de Gestión'!$A$25),"")</f>
        <v/>
      </c>
      <c r="AG14" s="424"/>
      <c r="AH14" s="413" t="str">
        <f>IF(AND('Riesgos de Gestión'!$O$13="Alta",'Riesgos de Gestión'!$S$13="Catastrófico"),CONCATENATE("R",'Riesgos de Gestión'!$A$13),"")</f>
        <v/>
      </c>
      <c r="AI14" s="414"/>
      <c r="AJ14" s="414" t="str">
        <f>IF(AND('Riesgos de Gestión'!$O$19="Alta",'Riesgos de Gestión'!$S$19="Catastrófico"),CONCATENATE("R",'Riesgos de Gestión'!$A$19),"")</f>
        <v/>
      </c>
      <c r="AK14" s="414"/>
      <c r="AL14" s="414" t="str">
        <f>IF(AND('Riesgos de Gestión'!$O$25="Alta",'Riesgos de Gestión'!$S$25="Catastrófico"),CONCATENATE("R",'Riesgos de Gestión'!$A$25),"")</f>
        <v/>
      </c>
      <c r="AM14" s="415"/>
      <c r="AN14" s="66"/>
      <c r="AO14" s="447" t="s">
        <v>268</v>
      </c>
      <c r="AP14" s="448"/>
      <c r="AQ14" s="448"/>
      <c r="AR14" s="448"/>
      <c r="AS14" s="448"/>
      <c r="AT14" s="449"/>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436"/>
      <c r="C15" s="436"/>
      <c r="D15" s="437"/>
      <c r="E15" s="429"/>
      <c r="F15" s="430"/>
      <c r="G15" s="430"/>
      <c r="H15" s="430"/>
      <c r="I15" s="430"/>
      <c r="J15" s="398"/>
      <c r="K15" s="399"/>
      <c r="L15" s="399"/>
      <c r="M15" s="399"/>
      <c r="N15" s="399"/>
      <c r="O15" s="400"/>
      <c r="P15" s="398"/>
      <c r="Q15" s="399"/>
      <c r="R15" s="399"/>
      <c r="S15" s="399"/>
      <c r="T15" s="399"/>
      <c r="U15" s="400"/>
      <c r="V15" s="416"/>
      <c r="W15" s="417"/>
      <c r="X15" s="417"/>
      <c r="Y15" s="417"/>
      <c r="Z15" s="417"/>
      <c r="AA15" s="418"/>
      <c r="AB15" s="416"/>
      <c r="AC15" s="417"/>
      <c r="AD15" s="417"/>
      <c r="AE15" s="417"/>
      <c r="AF15" s="417"/>
      <c r="AG15" s="418"/>
      <c r="AH15" s="407"/>
      <c r="AI15" s="408"/>
      <c r="AJ15" s="408"/>
      <c r="AK15" s="408"/>
      <c r="AL15" s="408"/>
      <c r="AM15" s="409"/>
      <c r="AN15" s="66"/>
      <c r="AO15" s="450"/>
      <c r="AP15" s="451"/>
      <c r="AQ15" s="451"/>
      <c r="AR15" s="451"/>
      <c r="AS15" s="451"/>
      <c r="AT15" s="452"/>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436"/>
      <c r="C16" s="436"/>
      <c r="D16" s="437"/>
      <c r="E16" s="429"/>
      <c r="F16" s="430"/>
      <c r="G16" s="430"/>
      <c r="H16" s="430"/>
      <c r="I16" s="430"/>
      <c r="J16" s="398" t="str">
        <f>IF(AND('Riesgos de Gestión'!$O$31="Alta",'Riesgos de Gestión'!$S$31="Leve"),CONCATENATE("R",'Riesgos de Gestión'!$A$31),"")</f>
        <v/>
      </c>
      <c r="K16" s="399"/>
      <c r="L16" s="399" t="str">
        <f>IF(AND('Riesgos de Gestión'!$O$37="Alta",'Riesgos de Gestión'!$S$37="Leve"),CONCATENATE("R",'Riesgos de Gestión'!$A$37),"")</f>
        <v/>
      </c>
      <c r="M16" s="399"/>
      <c r="N16" s="399" t="str">
        <f>IF(AND('Riesgos de Gestión'!$O$43="Alta",'Riesgos de Gestión'!$S$43="Leve"),CONCATENATE("R",'Riesgos de Gestión'!$A$43),"")</f>
        <v/>
      </c>
      <c r="O16" s="400"/>
      <c r="P16" s="398" t="str">
        <f>IF(AND('Riesgos de Gestión'!$O$31="Alta",'Riesgos de Gestión'!$S$31="Menor"),CONCATENATE("R",'Riesgos de Gestión'!$A$31),"")</f>
        <v/>
      </c>
      <c r="Q16" s="399"/>
      <c r="R16" s="399" t="str">
        <f>IF(AND('Riesgos de Gestión'!$O$37="Alta",'Riesgos de Gestión'!$S$37="Menor"),CONCATENATE("R",'Riesgos de Gestión'!$A$37),"")</f>
        <v/>
      </c>
      <c r="S16" s="399"/>
      <c r="T16" s="399" t="str">
        <f>IF(AND('Riesgos de Gestión'!$O$43="Alta",'Riesgos de Gestión'!$S$43="Menor"),CONCATENATE("R",'Riesgos de Gestión'!$A$43),"")</f>
        <v/>
      </c>
      <c r="U16" s="400"/>
      <c r="V16" s="416" t="str">
        <f>IF(AND('Riesgos de Gestión'!$O$31="Alta",'Riesgos de Gestión'!$S$31="Moderado"),CONCATENATE("R",'Riesgos de Gestión'!$A$31),"")</f>
        <v>R4</v>
      </c>
      <c r="W16" s="417"/>
      <c r="X16" s="417" t="str">
        <f>IF(AND('Riesgos de Gestión'!$O$37="Alta",'Riesgos de Gestión'!$S$37="Moderado"),CONCATENATE("R",'Riesgos de Gestión'!$A$37),"")</f>
        <v/>
      </c>
      <c r="Y16" s="417"/>
      <c r="Z16" s="417" t="str">
        <f>IF(AND('Riesgos de Gestión'!$O$43="Alta",'Riesgos de Gestión'!$S$43="Moderado"),CONCATENATE("R",'Riesgos de Gestión'!$A$43),"")</f>
        <v/>
      </c>
      <c r="AA16" s="418"/>
      <c r="AB16" s="416" t="str">
        <f>IF(AND('Riesgos de Gestión'!$O$31="Alta",'Riesgos de Gestión'!$S$31="Mayor"),CONCATENATE("R",'Riesgos de Gestión'!$A$31),"")</f>
        <v/>
      </c>
      <c r="AC16" s="417"/>
      <c r="AD16" s="417" t="str">
        <f>IF(AND('Riesgos de Gestión'!$O$37="Alta",'Riesgos de Gestión'!$S$37="Mayor"),CONCATENATE("R",'Riesgos de Gestión'!$A$37),"")</f>
        <v/>
      </c>
      <c r="AE16" s="417"/>
      <c r="AF16" s="417" t="str">
        <f>IF(AND('Riesgos de Gestión'!$O$43="Alta",'Riesgos de Gestión'!$S$43="Mayor"),CONCATENATE("R",'Riesgos de Gestión'!$A$43),"")</f>
        <v/>
      </c>
      <c r="AG16" s="418"/>
      <c r="AH16" s="407" t="str">
        <f>IF(AND('Riesgos de Gestión'!$O$31="Alta",'Riesgos de Gestión'!$S$31="Catastrófico"),CONCATENATE("R",'Riesgos de Gestión'!$A$31),"")</f>
        <v/>
      </c>
      <c r="AI16" s="408"/>
      <c r="AJ16" s="408" t="str">
        <f>IF(AND('Riesgos de Gestión'!$O$37="Alta",'Riesgos de Gestión'!$S$37="Catastrófico"),CONCATENATE("R",'Riesgos de Gestión'!$A$37),"")</f>
        <v/>
      </c>
      <c r="AK16" s="408"/>
      <c r="AL16" s="408" t="str">
        <f>IF(AND('Riesgos de Gestión'!$O$43="Alta",'Riesgos de Gestión'!$S$43="Catastrófico"),CONCATENATE("R",'Riesgos de Gestión'!$A$43),"")</f>
        <v/>
      </c>
      <c r="AM16" s="409"/>
      <c r="AN16" s="66"/>
      <c r="AO16" s="450"/>
      <c r="AP16" s="451"/>
      <c r="AQ16" s="451"/>
      <c r="AR16" s="451"/>
      <c r="AS16" s="451"/>
      <c r="AT16" s="452"/>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436"/>
      <c r="C17" s="436"/>
      <c r="D17" s="437"/>
      <c r="E17" s="429"/>
      <c r="F17" s="430"/>
      <c r="G17" s="430"/>
      <c r="H17" s="430"/>
      <c r="I17" s="430"/>
      <c r="J17" s="398"/>
      <c r="K17" s="399"/>
      <c r="L17" s="399"/>
      <c r="M17" s="399"/>
      <c r="N17" s="399"/>
      <c r="O17" s="400"/>
      <c r="P17" s="398"/>
      <c r="Q17" s="399"/>
      <c r="R17" s="399"/>
      <c r="S17" s="399"/>
      <c r="T17" s="399"/>
      <c r="U17" s="400"/>
      <c r="V17" s="416"/>
      <c r="W17" s="417"/>
      <c r="X17" s="417"/>
      <c r="Y17" s="417"/>
      <c r="Z17" s="417"/>
      <c r="AA17" s="418"/>
      <c r="AB17" s="416"/>
      <c r="AC17" s="417"/>
      <c r="AD17" s="417"/>
      <c r="AE17" s="417"/>
      <c r="AF17" s="417"/>
      <c r="AG17" s="418"/>
      <c r="AH17" s="407"/>
      <c r="AI17" s="408"/>
      <c r="AJ17" s="408"/>
      <c r="AK17" s="408"/>
      <c r="AL17" s="408"/>
      <c r="AM17" s="409"/>
      <c r="AN17" s="66"/>
      <c r="AO17" s="450"/>
      <c r="AP17" s="451"/>
      <c r="AQ17" s="451"/>
      <c r="AR17" s="451"/>
      <c r="AS17" s="451"/>
      <c r="AT17" s="452"/>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436"/>
      <c r="C18" s="436"/>
      <c r="D18" s="437"/>
      <c r="E18" s="429"/>
      <c r="F18" s="430"/>
      <c r="G18" s="430"/>
      <c r="H18" s="430"/>
      <c r="I18" s="430"/>
      <c r="J18" s="398" t="str">
        <f>IF(AND('Riesgos de Gestión'!$O$49="Alta",'Riesgos de Gestión'!$S$49="Leve"),CONCATENATE("R",'Riesgos de Gestión'!$A$49),"")</f>
        <v/>
      </c>
      <c r="K18" s="399"/>
      <c r="L18" s="399" t="str">
        <f>IF(AND('Riesgos de Gestión'!$O$55="Alta",'Riesgos de Gestión'!$S$55="Leve"),CONCATENATE("R",'Riesgos de Gestión'!$A$55),"")</f>
        <v/>
      </c>
      <c r="M18" s="399"/>
      <c r="N18" s="399" t="str">
        <f>IF(AND('Riesgos de Gestión'!$O$61="Alta",'Riesgos de Gestión'!$S$61="Leve"),CONCATENATE("R",'Riesgos de Gestión'!$A$61),"")</f>
        <v/>
      </c>
      <c r="O18" s="400"/>
      <c r="P18" s="398" t="str">
        <f>IF(AND('Riesgos de Gestión'!$O$49="Alta",'Riesgos de Gestión'!$S$49="Menor"),CONCATENATE("R",'Riesgos de Gestión'!$A$49),"")</f>
        <v/>
      </c>
      <c r="Q18" s="399"/>
      <c r="R18" s="399" t="str">
        <f>IF(AND('Riesgos de Gestión'!$O$55="Alta",'Riesgos de Gestión'!$S$55="Menor"),CONCATENATE("R",'Riesgos de Gestión'!$A$55),"")</f>
        <v/>
      </c>
      <c r="S18" s="399"/>
      <c r="T18" s="399" t="str">
        <f>IF(AND('Riesgos de Gestión'!$O$61="Alta",'Riesgos de Gestión'!$S$61="Menor"),CONCATENATE("R",'Riesgos de Gestión'!$A$61),"")</f>
        <v/>
      </c>
      <c r="U18" s="400"/>
      <c r="V18" s="416" t="str">
        <f>IF(AND('Riesgos de Gestión'!$O$49="Alta",'Riesgos de Gestión'!$S$49="Moderado"),CONCATENATE("R",'Riesgos de Gestión'!$A$49),"")</f>
        <v/>
      </c>
      <c r="W18" s="417"/>
      <c r="X18" s="417" t="str">
        <f>IF(AND('Riesgos de Gestión'!$O$55="Alta",'Riesgos de Gestión'!$S$55="Moderado"),CONCATENATE("R",'Riesgos de Gestión'!$A$55),"")</f>
        <v/>
      </c>
      <c r="Y18" s="417"/>
      <c r="Z18" s="417" t="str">
        <f>IF(AND('Riesgos de Gestión'!$O$61="Alta",'Riesgos de Gestión'!$S$61="Moderado"),CONCATENATE("R",'Riesgos de Gestión'!$A$61),"")</f>
        <v/>
      </c>
      <c r="AA18" s="418"/>
      <c r="AB18" s="416" t="str">
        <f>IF(AND('Riesgos de Gestión'!$O$49="Alta",'Riesgos de Gestión'!$S$49="Mayor"),CONCATENATE("R",'Riesgos de Gestión'!$A$49),"")</f>
        <v/>
      </c>
      <c r="AC18" s="417"/>
      <c r="AD18" s="417" t="str">
        <f>IF(AND('Riesgos de Gestión'!$O$55="Alta",'Riesgos de Gestión'!$S$55="Mayor"),CONCATENATE("R",'Riesgos de Gestión'!$A$55),"")</f>
        <v/>
      </c>
      <c r="AE18" s="417"/>
      <c r="AF18" s="417" t="str">
        <f>IF(AND('Riesgos de Gestión'!$O$61="Alta",'Riesgos de Gestión'!$S$61="Mayor"),CONCATENATE("R",'Riesgos de Gestión'!$A$61),"")</f>
        <v/>
      </c>
      <c r="AG18" s="418"/>
      <c r="AH18" s="407" t="str">
        <f>IF(AND('Riesgos de Gestión'!$O$49="Alta",'Riesgos de Gestión'!$S$49="Catastrófico"),CONCATENATE("R",'Riesgos de Gestión'!$A$49),"")</f>
        <v/>
      </c>
      <c r="AI18" s="408"/>
      <c r="AJ18" s="408" t="str">
        <f>IF(AND('Riesgos de Gestión'!$O$55="Alta",'Riesgos de Gestión'!$S$55="Catastrófico"),CONCATENATE("R",'Riesgos de Gestión'!$A$55),"")</f>
        <v/>
      </c>
      <c r="AK18" s="408"/>
      <c r="AL18" s="408" t="str">
        <f>IF(AND('Riesgos de Gestión'!$O$61="Alta",'Riesgos de Gestión'!$S$61="Catastrófico"),CONCATENATE("R",'Riesgos de Gestión'!$A$61),"")</f>
        <v/>
      </c>
      <c r="AM18" s="409"/>
      <c r="AN18" s="66"/>
      <c r="AO18" s="450"/>
      <c r="AP18" s="451"/>
      <c r="AQ18" s="451"/>
      <c r="AR18" s="451"/>
      <c r="AS18" s="451"/>
      <c r="AT18" s="452"/>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436"/>
      <c r="C19" s="436"/>
      <c r="D19" s="437"/>
      <c r="E19" s="429"/>
      <c r="F19" s="430"/>
      <c r="G19" s="430"/>
      <c r="H19" s="430"/>
      <c r="I19" s="430"/>
      <c r="J19" s="398"/>
      <c r="K19" s="399"/>
      <c r="L19" s="399"/>
      <c r="M19" s="399"/>
      <c r="N19" s="399"/>
      <c r="O19" s="400"/>
      <c r="P19" s="398"/>
      <c r="Q19" s="399"/>
      <c r="R19" s="399"/>
      <c r="S19" s="399"/>
      <c r="T19" s="399"/>
      <c r="U19" s="400"/>
      <c r="V19" s="416"/>
      <c r="W19" s="417"/>
      <c r="X19" s="417"/>
      <c r="Y19" s="417"/>
      <c r="Z19" s="417"/>
      <c r="AA19" s="418"/>
      <c r="AB19" s="416"/>
      <c r="AC19" s="417"/>
      <c r="AD19" s="417"/>
      <c r="AE19" s="417"/>
      <c r="AF19" s="417"/>
      <c r="AG19" s="418"/>
      <c r="AH19" s="407"/>
      <c r="AI19" s="408"/>
      <c r="AJ19" s="408"/>
      <c r="AK19" s="408"/>
      <c r="AL19" s="408"/>
      <c r="AM19" s="409"/>
      <c r="AN19" s="66"/>
      <c r="AO19" s="450"/>
      <c r="AP19" s="451"/>
      <c r="AQ19" s="451"/>
      <c r="AR19" s="451"/>
      <c r="AS19" s="451"/>
      <c r="AT19" s="452"/>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436"/>
      <c r="C20" s="436"/>
      <c r="D20" s="437"/>
      <c r="E20" s="429"/>
      <c r="F20" s="430"/>
      <c r="G20" s="430"/>
      <c r="H20" s="430"/>
      <c r="I20" s="430"/>
      <c r="J20" s="398" t="str">
        <f>IF(AND('Riesgos de Gestión'!$O$67="Alta",'Riesgos de Gestión'!$S$67="Leve"),CONCATENATE("R",'Riesgos de Gestión'!$A$67),"")</f>
        <v/>
      </c>
      <c r="K20" s="399"/>
      <c r="L20" s="399" t="str">
        <f>IF(AND('Riesgos de Gestión'!$P$73="Alta",'Riesgos de Gestión'!$T$73="Leve"),CONCATENATE("R",'Riesgos de Gestión'!$A$73),"")</f>
        <v/>
      </c>
      <c r="M20" s="399"/>
      <c r="N20" s="399" t="str">
        <f>IF(AND('Riesgos de Gestión'!$P$79="Alta",'Riesgos de Gestión'!$T$79="Leve"),CONCATENATE("R",'Riesgos de Gestión'!$A$79),"")</f>
        <v/>
      </c>
      <c r="O20" s="400"/>
      <c r="P20" s="398" t="str">
        <f>IF(AND('Riesgos de Gestión'!$O$67="Alta",'Riesgos de Gestión'!$S$67="Menor"),CONCATENATE("R",'Riesgos de Gestión'!$A$67),"")</f>
        <v/>
      </c>
      <c r="Q20" s="399"/>
      <c r="R20" s="399" t="str">
        <f>IF(AND('Riesgos de Gestión'!$P$73="Alta",'Riesgos de Gestión'!$T$73="Menor"),CONCATENATE("R",'Riesgos de Gestión'!$A$73),"")</f>
        <v/>
      </c>
      <c r="S20" s="399"/>
      <c r="T20" s="399" t="str">
        <f>IF(AND('Riesgos de Gestión'!$P$79="Alta",'Riesgos de Gestión'!$T$79="Menor"),CONCATENATE("R",'Riesgos de Gestión'!$A$79),"")</f>
        <v/>
      </c>
      <c r="U20" s="400"/>
      <c r="V20" s="416" t="str">
        <f>IF(AND('Riesgos de Gestión'!$O$67="Alta",'Riesgos de Gestión'!$S$67="Moderado"),CONCATENATE("R",'Riesgos de Gestión'!$A$67),"")</f>
        <v/>
      </c>
      <c r="W20" s="417"/>
      <c r="X20" s="417" t="str">
        <f>IF(AND('Riesgos de Gestión'!$P$73="Alta",'Riesgos de Gestión'!$T$73="Moderado"),CONCATENATE("R",'Riesgos de Gestión'!$A$73),"")</f>
        <v/>
      </c>
      <c r="Y20" s="417"/>
      <c r="Z20" s="417" t="str">
        <f>IF(AND('Riesgos de Gestión'!$P$79="Alta",'Riesgos de Gestión'!$T$79="Moderado"),CONCATENATE("R",'Riesgos de Gestión'!$A$79),"")</f>
        <v/>
      </c>
      <c r="AA20" s="418"/>
      <c r="AB20" s="416" t="str">
        <f>IF(AND('Riesgos de Gestión'!$O$67="Alta",'Riesgos de Gestión'!$S$67="Mayor"),CONCATENATE("R",'Riesgos de Gestión'!$A$67),"")</f>
        <v/>
      </c>
      <c r="AC20" s="417"/>
      <c r="AD20" s="417" t="str">
        <f>IF(AND('Riesgos de Gestión'!$P$73="Alta",'Riesgos de Gestión'!$T$73="Mayor"),CONCATENATE("R",'Riesgos de Gestión'!$A$73),"")</f>
        <v/>
      </c>
      <c r="AE20" s="417"/>
      <c r="AF20" s="417" t="str">
        <f>IF(AND('Riesgos de Gestión'!$P$79="Alta",'Riesgos de Gestión'!$T$79="Mayor"),CONCATENATE("R",'Riesgos de Gestión'!$A$79),"")</f>
        <v/>
      </c>
      <c r="AG20" s="418"/>
      <c r="AH20" s="407" t="str">
        <f>IF(AND('Riesgos de Gestión'!$O$67="Alta",'Riesgos de Gestión'!$S$67="Catastrófico"),CONCATENATE("R",'Riesgos de Gestión'!$A$67),"")</f>
        <v/>
      </c>
      <c r="AI20" s="408"/>
      <c r="AJ20" s="408" t="str">
        <f>IF(AND('Riesgos de Gestión'!$P$73="Alta",'Riesgos de Gestión'!$T$73="Catastrófico"),CONCATENATE("R",'Riesgos de Gestión'!$A$73),"")</f>
        <v/>
      </c>
      <c r="AK20" s="408"/>
      <c r="AL20" s="408" t="str">
        <f>IF(AND('Riesgos de Gestión'!$P$79="Alta",'Riesgos de Gestión'!$T$79="Catastrófico"),CONCATENATE("R",'Riesgos de Gestión'!$A$79),"")</f>
        <v/>
      </c>
      <c r="AM20" s="409"/>
      <c r="AN20" s="66"/>
      <c r="AO20" s="450"/>
      <c r="AP20" s="451"/>
      <c r="AQ20" s="451"/>
      <c r="AR20" s="451"/>
      <c r="AS20" s="451"/>
      <c r="AT20" s="452"/>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436"/>
      <c r="C21" s="436"/>
      <c r="D21" s="437"/>
      <c r="E21" s="432"/>
      <c r="F21" s="433"/>
      <c r="G21" s="433"/>
      <c r="H21" s="433"/>
      <c r="I21" s="433"/>
      <c r="J21" s="401"/>
      <c r="K21" s="402"/>
      <c r="L21" s="402"/>
      <c r="M21" s="402"/>
      <c r="N21" s="402"/>
      <c r="O21" s="403"/>
      <c r="P21" s="401"/>
      <c r="Q21" s="402"/>
      <c r="R21" s="402"/>
      <c r="S21" s="402"/>
      <c r="T21" s="402"/>
      <c r="U21" s="403"/>
      <c r="V21" s="419"/>
      <c r="W21" s="420"/>
      <c r="X21" s="420"/>
      <c r="Y21" s="420"/>
      <c r="Z21" s="420"/>
      <c r="AA21" s="421"/>
      <c r="AB21" s="419"/>
      <c r="AC21" s="420"/>
      <c r="AD21" s="420"/>
      <c r="AE21" s="420"/>
      <c r="AF21" s="420"/>
      <c r="AG21" s="421"/>
      <c r="AH21" s="410"/>
      <c r="AI21" s="411"/>
      <c r="AJ21" s="411"/>
      <c r="AK21" s="411"/>
      <c r="AL21" s="411"/>
      <c r="AM21" s="412"/>
      <c r="AN21" s="66"/>
      <c r="AO21" s="453"/>
      <c r="AP21" s="454"/>
      <c r="AQ21" s="454"/>
      <c r="AR21" s="454"/>
      <c r="AS21" s="454"/>
      <c r="AT21" s="455"/>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436"/>
      <c r="C22" s="436"/>
      <c r="D22" s="437"/>
      <c r="E22" s="426" t="s">
        <v>269</v>
      </c>
      <c r="F22" s="427"/>
      <c r="G22" s="427"/>
      <c r="H22" s="427"/>
      <c r="I22" s="428"/>
      <c r="J22" s="404" t="str">
        <f>IF(AND('Riesgos de Gestión'!$O$13="Media",'Riesgos de Gestión'!$S$13="Leve"),CONCATENATE("R",'Riesgos de Gestión'!$A$13),"")</f>
        <v/>
      </c>
      <c r="K22" s="405"/>
      <c r="L22" s="405" t="str">
        <f>IF(AND('Riesgos de Gestión'!$O$19="Media",'Riesgos de Gestión'!$S$19="Leve"),CONCATENATE("R",'Riesgos de Gestión'!$A$19),"")</f>
        <v/>
      </c>
      <c r="M22" s="405"/>
      <c r="N22" s="405" t="str">
        <f>IF(AND('Riesgos de Gestión'!$O$25="Media",'Riesgos de Gestión'!$S$25="Leve"),CONCATENATE("R",'Riesgos de Gestión'!$A$25),"")</f>
        <v/>
      </c>
      <c r="O22" s="406"/>
      <c r="P22" s="404" t="str">
        <f>IF(AND('Riesgos de Gestión'!$O$13="Media",'Riesgos de Gestión'!$S$13="Menor"),CONCATENATE("R",'Riesgos de Gestión'!$A$13),"")</f>
        <v/>
      </c>
      <c r="Q22" s="405"/>
      <c r="R22" s="405" t="str">
        <f>IF(AND('Riesgos de Gestión'!$O$19="Media",'Riesgos de Gestión'!$S$19="Menor"),CONCATENATE("R",'Riesgos de Gestión'!$A$19),"")</f>
        <v/>
      </c>
      <c r="S22" s="405"/>
      <c r="T22" s="405" t="str">
        <f>IF(AND('Riesgos de Gestión'!$O$25="Media",'Riesgos de Gestión'!$S$25="Menor"),CONCATENATE("R",'Riesgos de Gestión'!$A$25),"")</f>
        <v/>
      </c>
      <c r="U22" s="406"/>
      <c r="V22" s="404" t="str">
        <f>IF(AND('Riesgos de Gestión'!$O$13="Media",'Riesgos de Gestión'!$S$13="Moderado"),CONCATENATE("R",'Riesgos de Gestión'!$A$13),"")</f>
        <v>R1</v>
      </c>
      <c r="W22" s="405"/>
      <c r="X22" s="405" t="str">
        <f>IF(AND('Riesgos de Gestión'!$O$19="Media",'Riesgos de Gestión'!$S$19="Moderado"),CONCATENATE("R",'Riesgos de Gestión'!$A$19),"")</f>
        <v>R2</v>
      </c>
      <c r="Y22" s="405"/>
      <c r="Z22" s="405" t="str">
        <f>IF(AND('Riesgos de Gestión'!$O$25="Media",'Riesgos de Gestión'!$S$25="Moderado"),CONCATENATE("R",'Riesgos de Gestión'!$A$25),"")</f>
        <v>R3</v>
      </c>
      <c r="AA22" s="406"/>
      <c r="AB22" s="422" t="str">
        <f>IF(AND('Riesgos de Gestión'!$O$13="Media",'Riesgos de Gestión'!$S$13="Mayor"),CONCATENATE("R",'Riesgos de Gestión'!$A$13),"")</f>
        <v/>
      </c>
      <c r="AC22" s="423"/>
      <c r="AD22" s="423" t="str">
        <f>IF(AND('Riesgos de Gestión'!$O$19="Media",'Riesgos de Gestión'!$S$19="Mayor"),CONCATENATE("R",'Riesgos de Gestión'!$A$19),"")</f>
        <v/>
      </c>
      <c r="AE22" s="423"/>
      <c r="AF22" s="423" t="str">
        <f>IF(AND('Riesgos de Gestión'!$O$25="Media",'Riesgos de Gestión'!$S$25="Mayor"),CONCATENATE("R",'Riesgos de Gestión'!$A$25),"")</f>
        <v/>
      </c>
      <c r="AG22" s="424"/>
      <c r="AH22" s="413" t="str">
        <f>IF(AND('Riesgos de Gestión'!$O$13="Media",'Riesgos de Gestión'!$S$13="Catastrófico"),CONCATENATE("R",'Riesgos de Gestión'!$A$13),"")</f>
        <v/>
      </c>
      <c r="AI22" s="414"/>
      <c r="AJ22" s="414" t="str">
        <f>IF(AND('Riesgos de Gestión'!$O$19="Media",'Riesgos de Gestión'!$S$19="Catastrófico"),CONCATENATE("R",'Riesgos de Gestión'!$A$19),"")</f>
        <v/>
      </c>
      <c r="AK22" s="414"/>
      <c r="AL22" s="414" t="str">
        <f>IF(AND('Riesgos de Gestión'!$O$25="Media",'Riesgos de Gestión'!$S$25="Catastrófico"),CONCATENATE("R",'Riesgos de Gestión'!$A$25),"")</f>
        <v/>
      </c>
      <c r="AM22" s="415"/>
      <c r="AN22" s="66"/>
      <c r="AO22" s="456" t="s">
        <v>270</v>
      </c>
      <c r="AP22" s="457"/>
      <c r="AQ22" s="457"/>
      <c r="AR22" s="457"/>
      <c r="AS22" s="457"/>
      <c r="AT22" s="458"/>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436"/>
      <c r="C23" s="436"/>
      <c r="D23" s="437"/>
      <c r="E23" s="429"/>
      <c r="F23" s="430"/>
      <c r="G23" s="430"/>
      <c r="H23" s="430"/>
      <c r="I23" s="431"/>
      <c r="J23" s="398"/>
      <c r="K23" s="399"/>
      <c r="L23" s="399"/>
      <c r="M23" s="399"/>
      <c r="N23" s="399"/>
      <c r="O23" s="400"/>
      <c r="P23" s="398"/>
      <c r="Q23" s="399"/>
      <c r="R23" s="399"/>
      <c r="S23" s="399"/>
      <c r="T23" s="399"/>
      <c r="U23" s="400"/>
      <c r="V23" s="398"/>
      <c r="W23" s="399"/>
      <c r="X23" s="399"/>
      <c r="Y23" s="399"/>
      <c r="Z23" s="399"/>
      <c r="AA23" s="400"/>
      <c r="AB23" s="416"/>
      <c r="AC23" s="417"/>
      <c r="AD23" s="417"/>
      <c r="AE23" s="417"/>
      <c r="AF23" s="417"/>
      <c r="AG23" s="418"/>
      <c r="AH23" s="407"/>
      <c r="AI23" s="408"/>
      <c r="AJ23" s="408"/>
      <c r="AK23" s="408"/>
      <c r="AL23" s="408"/>
      <c r="AM23" s="409"/>
      <c r="AN23" s="66"/>
      <c r="AO23" s="459"/>
      <c r="AP23" s="460"/>
      <c r="AQ23" s="460"/>
      <c r="AR23" s="460"/>
      <c r="AS23" s="460"/>
      <c r="AT23" s="461"/>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436"/>
      <c r="C24" s="436"/>
      <c r="D24" s="437"/>
      <c r="E24" s="429"/>
      <c r="F24" s="430"/>
      <c r="G24" s="430"/>
      <c r="H24" s="430"/>
      <c r="I24" s="431"/>
      <c r="J24" s="398" t="str">
        <f>IF(AND('Riesgos de Gestión'!$O$31="Media",'Riesgos de Gestión'!$S$31="Leve"),CONCATENATE("R",'Riesgos de Gestión'!$A$31),"")</f>
        <v/>
      </c>
      <c r="K24" s="399"/>
      <c r="L24" s="399" t="str">
        <f>IF(AND('Riesgos de Gestión'!$O$37="Media",'Riesgos de Gestión'!$S$37="Leve"),CONCATENATE("R",'Riesgos de Gestión'!$A$37),"")</f>
        <v/>
      </c>
      <c r="M24" s="399"/>
      <c r="N24" s="399" t="str">
        <f>IF(AND('Riesgos de Gestión'!$O$43="Media",'Riesgos de Gestión'!$S$43="Leve"),CONCATENATE("R",'Riesgos de Gestión'!$A$43),"")</f>
        <v/>
      </c>
      <c r="O24" s="400"/>
      <c r="P24" s="398" t="str">
        <f>IF(AND('Riesgos de Gestión'!$O$31="Media",'Riesgos de Gestión'!$S$31="Menor"),CONCATENATE("R",'Riesgos de Gestión'!$A$31),"")</f>
        <v/>
      </c>
      <c r="Q24" s="399"/>
      <c r="R24" s="399" t="str">
        <f>IF(AND('Riesgos de Gestión'!$O$37="Media",'Riesgos de Gestión'!$S$37="Menor"),CONCATENATE("R",'Riesgos de Gestión'!$A$37),"")</f>
        <v/>
      </c>
      <c r="S24" s="399"/>
      <c r="T24" s="399" t="str">
        <f>IF(AND('Riesgos de Gestión'!$O$43="Media",'Riesgos de Gestión'!$S$43="Menor"),CONCATENATE("R",'Riesgos de Gestión'!$A$43),"")</f>
        <v/>
      </c>
      <c r="U24" s="400"/>
      <c r="V24" s="398" t="str">
        <f>IF(AND('Riesgos de Gestión'!$O$31="Media",'Riesgos de Gestión'!$S$31="Moderado"),CONCATENATE("R",'Riesgos de Gestión'!$A$31),"")</f>
        <v/>
      </c>
      <c r="W24" s="399"/>
      <c r="X24" s="399" t="str">
        <f>IF(AND('Riesgos de Gestión'!$O$37="Media",'Riesgos de Gestión'!$S$37="Moderado"),CONCATENATE("R",'Riesgos de Gestión'!$A$37),"")</f>
        <v/>
      </c>
      <c r="Y24" s="399"/>
      <c r="Z24" s="399" t="str">
        <f>IF(AND('Riesgos de Gestión'!$O$43="Media",'Riesgos de Gestión'!$S$43="Moderado"),CONCATENATE("R",'Riesgos de Gestión'!$A$43),"")</f>
        <v/>
      </c>
      <c r="AA24" s="400"/>
      <c r="AB24" s="416" t="str">
        <f>IF(AND('Riesgos de Gestión'!$O$31="Media",'Riesgos de Gestión'!$S$31="Mayor"),CONCATENATE("R",'Riesgos de Gestión'!$A$31),"")</f>
        <v/>
      </c>
      <c r="AC24" s="417"/>
      <c r="AD24" s="417" t="str">
        <f>IF(AND('Riesgos de Gestión'!$O$37="Media",'Riesgos de Gestión'!$S$37="Mayor"),CONCATENATE("R",'Riesgos de Gestión'!$A$37),"")</f>
        <v/>
      </c>
      <c r="AE24" s="417"/>
      <c r="AF24" s="417" t="str">
        <f>IF(AND('Riesgos de Gestión'!$O$43="Media",'Riesgos de Gestión'!$S$43="Mayor"),CONCATENATE("R",'Riesgos de Gestión'!$A$43),"")</f>
        <v/>
      </c>
      <c r="AG24" s="418"/>
      <c r="AH24" s="407" t="str">
        <f>IF(AND('Riesgos de Gestión'!$O$31="Media",'Riesgos de Gestión'!$S$31="Catastrófico"),CONCATENATE("R",'Riesgos de Gestión'!$A$31),"")</f>
        <v/>
      </c>
      <c r="AI24" s="408"/>
      <c r="AJ24" s="408" t="str">
        <f>IF(AND('Riesgos de Gestión'!$O$37="Media",'Riesgos de Gestión'!$S$37="Catastrófico"),CONCATENATE("R",'Riesgos de Gestión'!$A$37),"")</f>
        <v/>
      </c>
      <c r="AK24" s="408"/>
      <c r="AL24" s="408" t="str">
        <f>IF(AND('Riesgos de Gestión'!$O$43="Media",'Riesgos de Gestión'!$S$43="Catastrófico"),CONCATENATE("R",'Riesgos de Gestión'!$A$43),"")</f>
        <v/>
      </c>
      <c r="AM24" s="409"/>
      <c r="AN24" s="66"/>
      <c r="AO24" s="459"/>
      <c r="AP24" s="460"/>
      <c r="AQ24" s="460"/>
      <c r="AR24" s="460"/>
      <c r="AS24" s="460"/>
      <c r="AT24" s="461"/>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436"/>
      <c r="C25" s="436"/>
      <c r="D25" s="437"/>
      <c r="E25" s="429"/>
      <c r="F25" s="430"/>
      <c r="G25" s="430"/>
      <c r="H25" s="430"/>
      <c r="I25" s="431"/>
      <c r="J25" s="398"/>
      <c r="K25" s="399"/>
      <c r="L25" s="399"/>
      <c r="M25" s="399"/>
      <c r="N25" s="399"/>
      <c r="O25" s="400"/>
      <c r="P25" s="398"/>
      <c r="Q25" s="399"/>
      <c r="R25" s="399"/>
      <c r="S25" s="399"/>
      <c r="T25" s="399"/>
      <c r="U25" s="400"/>
      <c r="V25" s="398"/>
      <c r="W25" s="399"/>
      <c r="X25" s="399"/>
      <c r="Y25" s="399"/>
      <c r="Z25" s="399"/>
      <c r="AA25" s="400"/>
      <c r="AB25" s="416"/>
      <c r="AC25" s="417"/>
      <c r="AD25" s="417"/>
      <c r="AE25" s="417"/>
      <c r="AF25" s="417"/>
      <c r="AG25" s="418"/>
      <c r="AH25" s="407"/>
      <c r="AI25" s="408"/>
      <c r="AJ25" s="408"/>
      <c r="AK25" s="408"/>
      <c r="AL25" s="408"/>
      <c r="AM25" s="409"/>
      <c r="AN25" s="66"/>
      <c r="AO25" s="459"/>
      <c r="AP25" s="460"/>
      <c r="AQ25" s="460"/>
      <c r="AR25" s="460"/>
      <c r="AS25" s="460"/>
      <c r="AT25" s="461"/>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436"/>
      <c r="C26" s="436"/>
      <c r="D26" s="437"/>
      <c r="E26" s="429"/>
      <c r="F26" s="430"/>
      <c r="G26" s="430"/>
      <c r="H26" s="430"/>
      <c r="I26" s="431"/>
      <c r="J26" s="398" t="str">
        <f>IF(AND('Riesgos de Gestión'!$O$49="Media",'Riesgos de Gestión'!$S$49="Leve"),CONCATENATE("R",'Riesgos de Gestión'!$A$49),"")</f>
        <v/>
      </c>
      <c r="K26" s="399"/>
      <c r="L26" s="399" t="str">
        <f>IF(AND('Riesgos de Gestión'!$O$55="Media",'Riesgos de Gestión'!$S$55="Leve"),CONCATENATE("R",'Riesgos de Gestión'!$A$55),"")</f>
        <v/>
      </c>
      <c r="M26" s="399"/>
      <c r="N26" s="399" t="str">
        <f>IF(AND('Riesgos de Gestión'!$O$61="Media",'Riesgos de Gestión'!$S$61="Leve"),CONCATENATE("R",'Riesgos de Gestión'!$A$61),"")</f>
        <v/>
      </c>
      <c r="O26" s="400"/>
      <c r="P26" s="398" t="str">
        <f>IF(AND('Riesgos de Gestión'!$O$49="Media",'Riesgos de Gestión'!$S$49="Menor"),CONCATENATE("R",'Riesgos de Gestión'!$A$49),"")</f>
        <v/>
      </c>
      <c r="Q26" s="399"/>
      <c r="R26" s="399" t="str">
        <f>IF(AND('Riesgos de Gestión'!$O$55="Media",'Riesgos de Gestión'!$S$55="Menor"),CONCATENATE("R",'Riesgos de Gestión'!$A$55),"")</f>
        <v/>
      </c>
      <c r="S26" s="399"/>
      <c r="T26" s="399" t="str">
        <f>IF(AND('Riesgos de Gestión'!$O$61="Media",'Riesgos de Gestión'!$S$61="Menor"),CONCATENATE("R",'Riesgos de Gestión'!$A$61),"")</f>
        <v/>
      </c>
      <c r="U26" s="400"/>
      <c r="V26" s="398" t="str">
        <f>IF(AND('Riesgos de Gestión'!$O$49="Media",'Riesgos de Gestión'!$S$49="Moderado"),CONCATENATE("R",'Riesgos de Gestión'!$A$49),"")</f>
        <v/>
      </c>
      <c r="W26" s="399"/>
      <c r="X26" s="399" t="str">
        <f>IF(AND('Riesgos de Gestión'!$O$55="Media",'Riesgos de Gestión'!$S$55="Moderado"),CONCATENATE("R",'Riesgos de Gestión'!$A$55),"")</f>
        <v/>
      </c>
      <c r="Y26" s="399"/>
      <c r="Z26" s="399" t="str">
        <f>IF(AND('Riesgos de Gestión'!$O$61="Media",'Riesgos de Gestión'!$S$61="Moderado"),CONCATENATE("R",'Riesgos de Gestión'!$A$61),"")</f>
        <v/>
      </c>
      <c r="AA26" s="400"/>
      <c r="AB26" s="416" t="str">
        <f>IF(AND('Riesgos de Gestión'!$O$49="Media",'Riesgos de Gestión'!$S$49="Mayor"),CONCATENATE("R",'Riesgos de Gestión'!$A$49),"")</f>
        <v/>
      </c>
      <c r="AC26" s="417"/>
      <c r="AD26" s="417" t="str">
        <f>IF(AND('Riesgos de Gestión'!$O$55="Media",'Riesgos de Gestión'!$S$55="Mayor"),CONCATENATE("R",'Riesgos de Gestión'!$A$55),"")</f>
        <v/>
      </c>
      <c r="AE26" s="417"/>
      <c r="AF26" s="417" t="str">
        <f>IF(AND('Riesgos de Gestión'!$O$61="Media",'Riesgos de Gestión'!$S$61="Mayor"),CONCATENATE("R",'Riesgos de Gestión'!$A$61),"")</f>
        <v/>
      </c>
      <c r="AG26" s="418"/>
      <c r="AH26" s="407" t="str">
        <f>IF(AND('Riesgos de Gestión'!$O$49="Media",'Riesgos de Gestión'!$S$49="Catastrófico"),CONCATENATE("R",'Riesgos de Gestión'!$A$49),"")</f>
        <v/>
      </c>
      <c r="AI26" s="408"/>
      <c r="AJ26" s="408" t="str">
        <f>IF(AND('Riesgos de Gestión'!$O$55="Media",'Riesgos de Gestión'!$S$55="Catastrófico"),CONCATENATE("R",'Riesgos de Gestión'!$A$55),"")</f>
        <v/>
      </c>
      <c r="AK26" s="408"/>
      <c r="AL26" s="408" t="str">
        <f>IF(AND('Riesgos de Gestión'!$O$61="Media",'Riesgos de Gestión'!$S$61="Catastrófico"),CONCATENATE("R",'Riesgos de Gestión'!$A$61),"")</f>
        <v/>
      </c>
      <c r="AM26" s="409"/>
      <c r="AN26" s="66"/>
      <c r="AO26" s="459"/>
      <c r="AP26" s="460"/>
      <c r="AQ26" s="460"/>
      <c r="AR26" s="460"/>
      <c r="AS26" s="460"/>
      <c r="AT26" s="461"/>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436"/>
      <c r="C27" s="436"/>
      <c r="D27" s="437"/>
      <c r="E27" s="429"/>
      <c r="F27" s="430"/>
      <c r="G27" s="430"/>
      <c r="H27" s="430"/>
      <c r="I27" s="431"/>
      <c r="J27" s="398"/>
      <c r="K27" s="399"/>
      <c r="L27" s="399"/>
      <c r="M27" s="399"/>
      <c r="N27" s="399"/>
      <c r="O27" s="400"/>
      <c r="P27" s="398"/>
      <c r="Q27" s="399"/>
      <c r="R27" s="399"/>
      <c r="S27" s="399"/>
      <c r="T27" s="399"/>
      <c r="U27" s="400"/>
      <c r="V27" s="398"/>
      <c r="W27" s="399"/>
      <c r="X27" s="399"/>
      <c r="Y27" s="399"/>
      <c r="Z27" s="399"/>
      <c r="AA27" s="400"/>
      <c r="AB27" s="416"/>
      <c r="AC27" s="417"/>
      <c r="AD27" s="417"/>
      <c r="AE27" s="417"/>
      <c r="AF27" s="417"/>
      <c r="AG27" s="418"/>
      <c r="AH27" s="407"/>
      <c r="AI27" s="408"/>
      <c r="AJ27" s="408"/>
      <c r="AK27" s="408"/>
      <c r="AL27" s="408"/>
      <c r="AM27" s="409"/>
      <c r="AN27" s="66"/>
      <c r="AO27" s="459"/>
      <c r="AP27" s="460"/>
      <c r="AQ27" s="460"/>
      <c r="AR27" s="460"/>
      <c r="AS27" s="460"/>
      <c r="AT27" s="461"/>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436"/>
      <c r="C28" s="436"/>
      <c r="D28" s="437"/>
      <c r="E28" s="429"/>
      <c r="F28" s="430"/>
      <c r="G28" s="430"/>
      <c r="H28" s="430"/>
      <c r="I28" s="431"/>
      <c r="J28" s="398" t="str">
        <f>IF(AND('Riesgos de Gestión'!$O$67="Media",'Riesgos de Gestión'!$S$67="Leve"),CONCATENATE("R",'Riesgos de Gestión'!$A$67),"")</f>
        <v/>
      </c>
      <c r="K28" s="399"/>
      <c r="L28" s="399" t="str">
        <f>IF(AND('Riesgos de Gestión'!$P$73="Media",'Riesgos de Gestión'!$T$73="Leve"),CONCATENATE("R",'Riesgos de Gestión'!$A$73),"")</f>
        <v/>
      </c>
      <c r="M28" s="399"/>
      <c r="N28" s="399" t="str">
        <f>IF(AND('Riesgos de Gestión'!$P$79="Media",'Riesgos de Gestión'!$T$79="Leve"),CONCATENATE("R",'Riesgos de Gestión'!$A$79),"")</f>
        <v/>
      </c>
      <c r="O28" s="400"/>
      <c r="P28" s="398" t="str">
        <f>IF(AND('Riesgos de Gestión'!$O$67="Media",'Riesgos de Gestión'!$S$67="Menor"),CONCATENATE("R",'Riesgos de Gestión'!$A$67),"")</f>
        <v/>
      </c>
      <c r="Q28" s="399"/>
      <c r="R28" s="399" t="str">
        <f>IF(AND('Riesgos de Gestión'!$P$73="Media",'Riesgos de Gestión'!$T$73="Menor"),CONCATENATE("R",'Riesgos de Gestión'!$A$73),"")</f>
        <v/>
      </c>
      <c r="S28" s="399"/>
      <c r="T28" s="399" t="str">
        <f>IF(AND('Riesgos de Gestión'!$P$79="Media",'Riesgos de Gestión'!$T$79="Menor"),CONCATENATE("R",'Riesgos de Gestión'!$A$79),"")</f>
        <v/>
      </c>
      <c r="U28" s="400"/>
      <c r="V28" s="398" t="str">
        <f>IF(AND('Riesgos de Gestión'!$O$67="Media",'Riesgos de Gestión'!$S$67="Moderado"),CONCATENATE("R",'Riesgos de Gestión'!$A$67),"")</f>
        <v/>
      </c>
      <c r="W28" s="399"/>
      <c r="X28" s="399" t="str">
        <f>IF(AND('Riesgos de Gestión'!$P$73="Media",'Riesgos de Gestión'!$T$73="Moderado"),CONCATENATE("R",'Riesgos de Gestión'!$A$73),"")</f>
        <v/>
      </c>
      <c r="Y28" s="399"/>
      <c r="Z28" s="399" t="str">
        <f>IF(AND('Riesgos de Gestión'!$P$79="Media",'Riesgos de Gestión'!$T$79="Moderado"),CONCATENATE("R",'Riesgos de Gestión'!$A$79),"")</f>
        <v/>
      </c>
      <c r="AA28" s="400"/>
      <c r="AB28" s="416" t="str">
        <f>IF(AND('Riesgos de Gestión'!$O$67="Media",'Riesgos de Gestión'!$S$67="Mayor"),CONCATENATE("R",'Riesgos de Gestión'!$A$67),"")</f>
        <v/>
      </c>
      <c r="AC28" s="417"/>
      <c r="AD28" s="417" t="str">
        <f>IF(AND('Riesgos de Gestión'!$P$73="Media",'Riesgos de Gestión'!$T$73="Mayor"),CONCATENATE("R",'Riesgos de Gestión'!$A$73),"")</f>
        <v/>
      </c>
      <c r="AE28" s="417"/>
      <c r="AF28" s="417" t="str">
        <f>IF(AND('Riesgos de Gestión'!$P$79="Media",'Riesgos de Gestión'!$T$79="Mayor"),CONCATENATE("R",'Riesgos de Gestión'!$A$79),"")</f>
        <v/>
      </c>
      <c r="AG28" s="418"/>
      <c r="AH28" s="407" t="str">
        <f>IF(AND('Riesgos de Gestión'!$O$67="Media",'Riesgos de Gestión'!$S$67="Catastrófico"),CONCATENATE("R",'Riesgos de Gestión'!$A$67),"")</f>
        <v/>
      </c>
      <c r="AI28" s="408"/>
      <c r="AJ28" s="408" t="str">
        <f>IF(AND('Riesgos de Gestión'!$P$73="Media",'Riesgos de Gestión'!$T$73="Catastrófico"),CONCATENATE("R",'Riesgos de Gestión'!$A$73),"")</f>
        <v/>
      </c>
      <c r="AK28" s="408"/>
      <c r="AL28" s="408" t="str">
        <f>IF(AND('Riesgos de Gestión'!$P$79="Media",'Riesgos de Gestión'!$T$79="Catastrófico"),CONCATENATE("R",'Riesgos de Gestión'!$A$79),"")</f>
        <v/>
      </c>
      <c r="AM28" s="409"/>
      <c r="AN28" s="66"/>
      <c r="AO28" s="459"/>
      <c r="AP28" s="460"/>
      <c r="AQ28" s="460"/>
      <c r="AR28" s="460"/>
      <c r="AS28" s="460"/>
      <c r="AT28" s="461"/>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436"/>
      <c r="C29" s="436"/>
      <c r="D29" s="437"/>
      <c r="E29" s="432"/>
      <c r="F29" s="433"/>
      <c r="G29" s="433"/>
      <c r="H29" s="433"/>
      <c r="I29" s="434"/>
      <c r="J29" s="398"/>
      <c r="K29" s="399"/>
      <c r="L29" s="399"/>
      <c r="M29" s="399"/>
      <c r="N29" s="399"/>
      <c r="O29" s="400"/>
      <c r="P29" s="401"/>
      <c r="Q29" s="402"/>
      <c r="R29" s="402"/>
      <c r="S29" s="402"/>
      <c r="T29" s="402"/>
      <c r="U29" s="403"/>
      <c r="V29" s="401"/>
      <c r="W29" s="402"/>
      <c r="X29" s="402"/>
      <c r="Y29" s="402"/>
      <c r="Z29" s="402"/>
      <c r="AA29" s="403"/>
      <c r="AB29" s="419"/>
      <c r="AC29" s="420"/>
      <c r="AD29" s="420"/>
      <c r="AE29" s="420"/>
      <c r="AF29" s="420"/>
      <c r="AG29" s="421"/>
      <c r="AH29" s="410"/>
      <c r="AI29" s="411"/>
      <c r="AJ29" s="411"/>
      <c r="AK29" s="411"/>
      <c r="AL29" s="411"/>
      <c r="AM29" s="412"/>
      <c r="AN29" s="66"/>
      <c r="AO29" s="462"/>
      <c r="AP29" s="463"/>
      <c r="AQ29" s="463"/>
      <c r="AR29" s="463"/>
      <c r="AS29" s="463"/>
      <c r="AT29" s="464"/>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436"/>
      <c r="C30" s="436"/>
      <c r="D30" s="437"/>
      <c r="E30" s="426" t="s">
        <v>271</v>
      </c>
      <c r="F30" s="427"/>
      <c r="G30" s="427"/>
      <c r="H30" s="427"/>
      <c r="I30" s="427"/>
      <c r="J30" s="395" t="str">
        <f>IF(AND('Riesgos de Gestión'!$O$13="Baja",'Riesgos de Gestión'!$S$13="Leve"),CONCATENATE("R",'Riesgos de Gestión'!$A$13),"")</f>
        <v/>
      </c>
      <c r="K30" s="396"/>
      <c r="L30" s="396" t="str">
        <f>IF(AND('Riesgos de Gestión'!$O$19="Baja",'Riesgos de Gestión'!$S$19="Leve"),CONCATENATE("R",'Riesgos de Gestión'!$A$19),"")</f>
        <v/>
      </c>
      <c r="M30" s="396"/>
      <c r="N30" s="396" t="str">
        <f>IF(AND('Riesgos de Gestión'!$O$25="Baja",'Riesgos de Gestión'!$S$25="Leve"),CONCATENATE("R",'Riesgos de Gestión'!$A$25),"")</f>
        <v/>
      </c>
      <c r="O30" s="397"/>
      <c r="P30" s="405" t="str">
        <f>IF(AND('Riesgos de Gestión'!$O$13="Baja",'Riesgos de Gestión'!$S$13="Menor"),CONCATENATE("R",'Riesgos de Gestión'!$A$13),"")</f>
        <v/>
      </c>
      <c r="Q30" s="405"/>
      <c r="R30" s="405" t="str">
        <f>IF(AND('Riesgos de Gestión'!$O$19="Baja",'Riesgos de Gestión'!$S$19="Menor"),CONCATENATE("R",'Riesgos de Gestión'!$A$19),"")</f>
        <v/>
      </c>
      <c r="S30" s="405"/>
      <c r="T30" s="405" t="str">
        <f>IF(AND('Riesgos de Gestión'!$O$25="Baja",'Riesgos de Gestión'!$S$25="Menor"),CONCATENATE("R",'Riesgos de Gestión'!$A$25),"")</f>
        <v/>
      </c>
      <c r="U30" s="406"/>
      <c r="V30" s="404" t="str">
        <f>IF(AND('Riesgos de Gestión'!$O$13="Baja",'Riesgos de Gestión'!$S$13="Moderado"),CONCATENATE("R",'Riesgos de Gestión'!$A$13),"")</f>
        <v/>
      </c>
      <c r="W30" s="405"/>
      <c r="X30" s="405" t="str">
        <f>IF(AND('Riesgos de Gestión'!$O$19="Baja",'Riesgos de Gestión'!$S$19="Moderado"),CONCATENATE("R",'Riesgos de Gestión'!$A$19),"")</f>
        <v/>
      </c>
      <c r="Y30" s="405"/>
      <c r="Z30" s="405" t="str">
        <f>IF(AND('Riesgos de Gestión'!$O$25="Baja",'Riesgos de Gestión'!$S$25="Moderado"),CONCATENATE("R",'Riesgos de Gestión'!$A$25),"")</f>
        <v/>
      </c>
      <c r="AA30" s="406"/>
      <c r="AB30" s="422" t="str">
        <f>IF(AND('Riesgos de Gestión'!$O$13="Baja",'Riesgos de Gestión'!$S$13="Mayor"),CONCATENATE("R",'Riesgos de Gestión'!$A$13),"")</f>
        <v/>
      </c>
      <c r="AC30" s="423"/>
      <c r="AD30" s="423" t="str">
        <f>IF(AND('Riesgos de Gestión'!$O$19="Baja",'Riesgos de Gestión'!$S$19="Mayor"),CONCATENATE("R",'Riesgos de Gestión'!$A$19),"")</f>
        <v/>
      </c>
      <c r="AE30" s="423"/>
      <c r="AF30" s="423" t="str">
        <f>IF(AND('Riesgos de Gestión'!$O$25="Baja",'Riesgos de Gestión'!$S$25="Mayor"),CONCATENATE("R",'Riesgos de Gestión'!$A$25),"")</f>
        <v/>
      </c>
      <c r="AG30" s="424"/>
      <c r="AH30" s="413" t="str">
        <f>IF(AND('Riesgos de Gestión'!$O$13="Baja",'Riesgos de Gestión'!$S$13="Catastrófico"),CONCATENATE("R",'Riesgos de Gestión'!$A$13),"")</f>
        <v/>
      </c>
      <c r="AI30" s="414"/>
      <c r="AJ30" s="414" t="str">
        <f>IF(AND('Riesgos de Gestión'!$O$19="Baja",'Riesgos de Gestión'!$S$19="Catastrófico"),CONCATENATE("R",'Riesgos de Gestión'!$A$19),"")</f>
        <v/>
      </c>
      <c r="AK30" s="414"/>
      <c r="AL30" s="414" t="str">
        <f>IF(AND('Riesgos de Gestión'!$O$25="Baja",'Riesgos de Gestión'!$S$25="Catastrófico"),CONCATENATE("R",'Riesgos de Gestión'!$A$25),"")</f>
        <v/>
      </c>
      <c r="AM30" s="415"/>
      <c r="AN30" s="66"/>
      <c r="AO30" s="465" t="s">
        <v>272</v>
      </c>
      <c r="AP30" s="466"/>
      <c r="AQ30" s="466"/>
      <c r="AR30" s="466"/>
      <c r="AS30" s="466"/>
      <c r="AT30" s="467"/>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436"/>
      <c r="C31" s="436"/>
      <c r="D31" s="437"/>
      <c r="E31" s="429"/>
      <c r="F31" s="430"/>
      <c r="G31" s="430"/>
      <c r="H31" s="430"/>
      <c r="I31" s="430"/>
      <c r="J31" s="389"/>
      <c r="K31" s="390"/>
      <c r="L31" s="390"/>
      <c r="M31" s="390"/>
      <c r="N31" s="390"/>
      <c r="O31" s="391"/>
      <c r="P31" s="399"/>
      <c r="Q31" s="399"/>
      <c r="R31" s="399"/>
      <c r="S31" s="399"/>
      <c r="T31" s="399"/>
      <c r="U31" s="400"/>
      <c r="V31" s="398"/>
      <c r="W31" s="399"/>
      <c r="X31" s="399"/>
      <c r="Y31" s="399"/>
      <c r="Z31" s="399"/>
      <c r="AA31" s="400"/>
      <c r="AB31" s="416"/>
      <c r="AC31" s="417"/>
      <c r="AD31" s="417"/>
      <c r="AE31" s="417"/>
      <c r="AF31" s="417"/>
      <c r="AG31" s="418"/>
      <c r="AH31" s="407"/>
      <c r="AI31" s="408"/>
      <c r="AJ31" s="408"/>
      <c r="AK31" s="408"/>
      <c r="AL31" s="408"/>
      <c r="AM31" s="409"/>
      <c r="AN31" s="66"/>
      <c r="AO31" s="468"/>
      <c r="AP31" s="469"/>
      <c r="AQ31" s="469"/>
      <c r="AR31" s="469"/>
      <c r="AS31" s="469"/>
      <c r="AT31" s="470"/>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436"/>
      <c r="C32" s="436"/>
      <c r="D32" s="437"/>
      <c r="E32" s="429"/>
      <c r="F32" s="430"/>
      <c r="G32" s="430"/>
      <c r="H32" s="430"/>
      <c r="I32" s="430"/>
      <c r="J32" s="389" t="str">
        <f>IF(AND('Riesgos de Gestión'!$O$31="Baja",'Riesgos de Gestión'!$S$31="Leve"),CONCATENATE("R",'Riesgos de Gestión'!$A$31),"")</f>
        <v/>
      </c>
      <c r="K32" s="390"/>
      <c r="L32" s="390" t="str">
        <f>IF(AND('Riesgos de Gestión'!$O$37="Baja",'Riesgos de Gestión'!$S$37="Leve"),CONCATENATE("R",'Riesgos de Gestión'!$A$37),"")</f>
        <v/>
      </c>
      <c r="M32" s="390"/>
      <c r="N32" s="390" t="str">
        <f>IF(AND('Riesgos de Gestión'!$O$43="Baja",'Riesgos de Gestión'!$S$43="Leve"),CONCATENATE("R",'Riesgos de Gestión'!$A$43),"")</f>
        <v/>
      </c>
      <c r="O32" s="391"/>
      <c r="P32" s="399" t="str">
        <f>IF(AND('Riesgos de Gestión'!$O$31="Baja",'Riesgos de Gestión'!$S$31="Menor"),CONCATENATE("R",'Riesgos de Gestión'!$A$31),"")</f>
        <v/>
      </c>
      <c r="Q32" s="399"/>
      <c r="R32" s="399" t="str">
        <f>IF(AND('Riesgos de Gestión'!$O$37="Baja",'Riesgos de Gestión'!$S$37="Menor"),CONCATENATE("R",'Riesgos de Gestión'!$A$37),"")</f>
        <v/>
      </c>
      <c r="S32" s="399"/>
      <c r="T32" s="399" t="str">
        <f>IF(AND('Riesgos de Gestión'!$O$43="Baja",'Riesgos de Gestión'!$S$43="Menor"),CONCATENATE("R",'Riesgos de Gestión'!$A$43),"")</f>
        <v/>
      </c>
      <c r="U32" s="400"/>
      <c r="V32" s="398" t="str">
        <f>IF(AND('Riesgos de Gestión'!$O$31="Baja",'Riesgos de Gestión'!$S$31="Moderado"),CONCATENATE("R",'Riesgos de Gestión'!$A$31),"")</f>
        <v/>
      </c>
      <c r="W32" s="399"/>
      <c r="X32" s="399" t="str">
        <f>IF(AND('Riesgos de Gestión'!$O$37="Baja",'Riesgos de Gestión'!$S$37="Moderado"),CONCATENATE("R",'Riesgos de Gestión'!$A$37),"")</f>
        <v/>
      </c>
      <c r="Y32" s="399"/>
      <c r="Z32" s="399" t="str">
        <f>IF(AND('Riesgos de Gestión'!$O$43="Baja",'Riesgos de Gestión'!$S$43="Moderado"),CONCATENATE("R",'Riesgos de Gestión'!$A$43),"")</f>
        <v/>
      </c>
      <c r="AA32" s="400"/>
      <c r="AB32" s="416" t="str">
        <f>IF(AND('Riesgos de Gestión'!$O$31="Baja",'Riesgos de Gestión'!$S$31="Mayor"),CONCATENATE("R",'Riesgos de Gestión'!$A$31),"")</f>
        <v/>
      </c>
      <c r="AC32" s="417"/>
      <c r="AD32" s="417" t="str">
        <f>IF(AND('Riesgos de Gestión'!$O$37="Baja",'Riesgos de Gestión'!$S$37="Mayor"),CONCATENATE("R",'Riesgos de Gestión'!$A$37),"")</f>
        <v/>
      </c>
      <c r="AE32" s="417"/>
      <c r="AF32" s="417" t="str">
        <f>IF(AND('Riesgos de Gestión'!$O$43="Baja",'Riesgos de Gestión'!$S$43="Mayor"),CONCATENATE("R",'Riesgos de Gestión'!$A$43),"")</f>
        <v/>
      </c>
      <c r="AG32" s="418"/>
      <c r="AH32" s="407" t="str">
        <f>IF(AND('Riesgos de Gestión'!$O$31="Baja",'Riesgos de Gestión'!$S$31="Catastrófico"),CONCATENATE("R",'Riesgos de Gestión'!$A$31),"")</f>
        <v/>
      </c>
      <c r="AI32" s="408"/>
      <c r="AJ32" s="408" t="str">
        <f>IF(AND('Riesgos de Gestión'!$O$37="Baja",'Riesgos de Gestión'!$S$37="Catastrófico"),CONCATENATE("R",'Riesgos de Gestión'!$A$37),"")</f>
        <v/>
      </c>
      <c r="AK32" s="408"/>
      <c r="AL32" s="408" t="str">
        <f>IF(AND('Riesgos de Gestión'!$O$43="Baja",'Riesgos de Gestión'!$S$43="Catastrófico"),CONCATENATE("R",'Riesgos de Gestión'!$A$43),"")</f>
        <v/>
      </c>
      <c r="AM32" s="409"/>
      <c r="AN32" s="66"/>
      <c r="AO32" s="468"/>
      <c r="AP32" s="469"/>
      <c r="AQ32" s="469"/>
      <c r="AR32" s="469"/>
      <c r="AS32" s="469"/>
      <c r="AT32" s="470"/>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436"/>
      <c r="C33" s="436"/>
      <c r="D33" s="437"/>
      <c r="E33" s="429"/>
      <c r="F33" s="430"/>
      <c r="G33" s="430"/>
      <c r="H33" s="430"/>
      <c r="I33" s="430"/>
      <c r="J33" s="389"/>
      <c r="K33" s="390"/>
      <c r="L33" s="390"/>
      <c r="M33" s="390"/>
      <c r="N33" s="390"/>
      <c r="O33" s="391"/>
      <c r="P33" s="399"/>
      <c r="Q33" s="399"/>
      <c r="R33" s="399"/>
      <c r="S33" s="399"/>
      <c r="T33" s="399"/>
      <c r="U33" s="400"/>
      <c r="V33" s="398"/>
      <c r="W33" s="399"/>
      <c r="X33" s="399"/>
      <c r="Y33" s="399"/>
      <c r="Z33" s="399"/>
      <c r="AA33" s="400"/>
      <c r="AB33" s="416"/>
      <c r="AC33" s="417"/>
      <c r="AD33" s="417"/>
      <c r="AE33" s="417"/>
      <c r="AF33" s="417"/>
      <c r="AG33" s="418"/>
      <c r="AH33" s="407"/>
      <c r="AI33" s="408"/>
      <c r="AJ33" s="408"/>
      <c r="AK33" s="408"/>
      <c r="AL33" s="408"/>
      <c r="AM33" s="409"/>
      <c r="AN33" s="66"/>
      <c r="AO33" s="468"/>
      <c r="AP33" s="469"/>
      <c r="AQ33" s="469"/>
      <c r="AR33" s="469"/>
      <c r="AS33" s="469"/>
      <c r="AT33" s="470"/>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436"/>
      <c r="C34" s="436"/>
      <c r="D34" s="437"/>
      <c r="E34" s="429"/>
      <c r="F34" s="430"/>
      <c r="G34" s="430"/>
      <c r="H34" s="430"/>
      <c r="I34" s="430"/>
      <c r="J34" s="389" t="str">
        <f>IF(AND('Riesgos de Gestión'!$O$49="Baja",'Riesgos de Gestión'!$S$49="Leve"),CONCATENATE("R",'Riesgos de Gestión'!$A$49),"")</f>
        <v/>
      </c>
      <c r="K34" s="390"/>
      <c r="L34" s="390" t="str">
        <f>IF(AND('Riesgos de Gestión'!$O$55="Baja",'Riesgos de Gestión'!$S$55="Leve"),CONCATENATE("R",'Riesgos de Gestión'!$A$55),"")</f>
        <v/>
      </c>
      <c r="M34" s="390"/>
      <c r="N34" s="390" t="str">
        <f>IF(AND('Riesgos de Gestión'!$O$61="Baja",'Riesgos de Gestión'!$S$61="Leve"),CONCATENATE("R",'Riesgos de Gestión'!$A$61),"")</f>
        <v/>
      </c>
      <c r="O34" s="391"/>
      <c r="P34" s="399" t="str">
        <f>IF(AND('Riesgos de Gestión'!$O$49="Baja",'Riesgos de Gestión'!$S$49="Menor"),CONCATENATE("R",'Riesgos de Gestión'!$A$49),"")</f>
        <v/>
      </c>
      <c r="Q34" s="399"/>
      <c r="R34" s="399" t="str">
        <f>IF(AND('Riesgos de Gestión'!$O$55="Baja",'Riesgos de Gestión'!$S$55="Menor"),CONCATENATE("R",'Riesgos de Gestión'!$A$55),"")</f>
        <v/>
      </c>
      <c r="S34" s="399"/>
      <c r="T34" s="399" t="str">
        <f>IF(AND('Riesgos de Gestión'!$O$61="Baja",'Riesgos de Gestión'!$S$61="Menor"),CONCATENATE("R",'Riesgos de Gestión'!$A$61),"")</f>
        <v/>
      </c>
      <c r="U34" s="400"/>
      <c r="V34" s="398" t="str">
        <f>IF(AND('Riesgos de Gestión'!$O$49="Baja",'Riesgos de Gestión'!$S$49="Moderado"),CONCATENATE("R",'Riesgos de Gestión'!$A$49),"")</f>
        <v/>
      </c>
      <c r="W34" s="399"/>
      <c r="X34" s="399" t="str">
        <f>IF(AND('Riesgos de Gestión'!$O$55="Baja",'Riesgos de Gestión'!$S$55="Moderado"),CONCATENATE("R",'Riesgos de Gestión'!$A$55),"")</f>
        <v/>
      </c>
      <c r="Y34" s="399"/>
      <c r="Z34" s="399" t="str">
        <f>IF(AND('Riesgos de Gestión'!$O$61="Baja",'Riesgos de Gestión'!$S$61="Moderado"),CONCATENATE("R",'Riesgos de Gestión'!$A$61),"")</f>
        <v/>
      </c>
      <c r="AA34" s="400"/>
      <c r="AB34" s="416" t="str">
        <f>IF(AND('Riesgos de Gestión'!$O$49="Baja",'Riesgos de Gestión'!$S$49="Mayor"),CONCATENATE("R",'Riesgos de Gestión'!$A$49),"")</f>
        <v/>
      </c>
      <c r="AC34" s="417"/>
      <c r="AD34" s="417" t="str">
        <f>IF(AND('Riesgos de Gestión'!$O$55="Baja",'Riesgos de Gestión'!$S$55="Mayor"),CONCATENATE("R",'Riesgos de Gestión'!$A$55),"")</f>
        <v/>
      </c>
      <c r="AE34" s="417"/>
      <c r="AF34" s="417" t="str">
        <f>IF(AND('Riesgos de Gestión'!$O$61="Baja",'Riesgos de Gestión'!$S$61="Mayor"),CONCATENATE("R",'Riesgos de Gestión'!$A$61),"")</f>
        <v/>
      </c>
      <c r="AG34" s="418"/>
      <c r="AH34" s="407" t="str">
        <f>IF(AND('Riesgos de Gestión'!$O$49="Baja",'Riesgos de Gestión'!$S$49="Catastrófico"),CONCATENATE("R",'Riesgos de Gestión'!$A$49),"")</f>
        <v/>
      </c>
      <c r="AI34" s="408"/>
      <c r="AJ34" s="408" t="str">
        <f>IF(AND('Riesgos de Gestión'!$O$55="Baja",'Riesgos de Gestión'!$S$55="Catastrófico"),CONCATENATE("R",'Riesgos de Gestión'!$A$55),"")</f>
        <v/>
      </c>
      <c r="AK34" s="408"/>
      <c r="AL34" s="408" t="str">
        <f>IF(AND('Riesgos de Gestión'!$O$61="Baja",'Riesgos de Gestión'!$S$61="Catastrófico"),CONCATENATE("R",'Riesgos de Gestión'!$A$61),"")</f>
        <v/>
      </c>
      <c r="AM34" s="409"/>
      <c r="AN34" s="66"/>
      <c r="AO34" s="468"/>
      <c r="AP34" s="469"/>
      <c r="AQ34" s="469"/>
      <c r="AR34" s="469"/>
      <c r="AS34" s="469"/>
      <c r="AT34" s="470"/>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436"/>
      <c r="C35" s="436"/>
      <c r="D35" s="437"/>
      <c r="E35" s="429"/>
      <c r="F35" s="430"/>
      <c r="G35" s="430"/>
      <c r="H35" s="430"/>
      <c r="I35" s="430"/>
      <c r="J35" s="389"/>
      <c r="K35" s="390"/>
      <c r="L35" s="390"/>
      <c r="M35" s="390"/>
      <c r="N35" s="390"/>
      <c r="O35" s="391"/>
      <c r="P35" s="399"/>
      <c r="Q35" s="399"/>
      <c r="R35" s="399"/>
      <c r="S35" s="399"/>
      <c r="T35" s="399"/>
      <c r="U35" s="400"/>
      <c r="V35" s="398"/>
      <c r="W35" s="399"/>
      <c r="X35" s="399"/>
      <c r="Y35" s="399"/>
      <c r="Z35" s="399"/>
      <c r="AA35" s="400"/>
      <c r="AB35" s="416"/>
      <c r="AC35" s="417"/>
      <c r="AD35" s="417"/>
      <c r="AE35" s="417"/>
      <c r="AF35" s="417"/>
      <c r="AG35" s="418"/>
      <c r="AH35" s="407"/>
      <c r="AI35" s="408"/>
      <c r="AJ35" s="408"/>
      <c r="AK35" s="408"/>
      <c r="AL35" s="408"/>
      <c r="AM35" s="409"/>
      <c r="AN35" s="66"/>
      <c r="AO35" s="468"/>
      <c r="AP35" s="469"/>
      <c r="AQ35" s="469"/>
      <c r="AR35" s="469"/>
      <c r="AS35" s="469"/>
      <c r="AT35" s="470"/>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436"/>
      <c r="C36" s="436"/>
      <c r="D36" s="437"/>
      <c r="E36" s="429"/>
      <c r="F36" s="430"/>
      <c r="G36" s="430"/>
      <c r="H36" s="430"/>
      <c r="I36" s="430"/>
      <c r="J36" s="389" t="str">
        <f>IF(AND('Riesgos de Gestión'!$O$67="Baja",'Riesgos de Gestión'!$S$67="Leve"),CONCATENATE("R",'Riesgos de Gestión'!$A$67),"")</f>
        <v/>
      </c>
      <c r="K36" s="390"/>
      <c r="L36" s="390" t="str">
        <f>IF(AND('Riesgos de Gestión'!$P$73="Baja",'Riesgos de Gestión'!$T$73="Leve"),CONCATENATE("R",'Riesgos de Gestión'!$A$73),"")</f>
        <v/>
      </c>
      <c r="M36" s="390"/>
      <c r="N36" s="390" t="str">
        <f>IF(AND('Riesgos de Gestión'!$P$79="Baja",'Riesgos de Gestión'!$T$79="Leve"),CONCATENATE("R",'Riesgos de Gestión'!$A$79),"")</f>
        <v/>
      </c>
      <c r="O36" s="391"/>
      <c r="P36" s="399" t="str">
        <f>IF(AND('Riesgos de Gestión'!$O$67="Baja",'Riesgos de Gestión'!$S$67="Menor"),CONCATENATE("R",'Riesgos de Gestión'!$A$67),"")</f>
        <v/>
      </c>
      <c r="Q36" s="399"/>
      <c r="R36" s="399" t="str">
        <f>IF(AND('Riesgos de Gestión'!$P$73="Baja",'Riesgos de Gestión'!$T$73="Menor"),CONCATENATE("R",'Riesgos de Gestión'!$A$73),"")</f>
        <v/>
      </c>
      <c r="S36" s="399"/>
      <c r="T36" s="399" t="str">
        <f>IF(AND('Riesgos de Gestión'!$P$79="Baja",'Riesgos de Gestión'!$T$79="Menor"),CONCATENATE("R",'Riesgos de Gestión'!$A$79),"")</f>
        <v/>
      </c>
      <c r="U36" s="400"/>
      <c r="V36" s="398" t="str">
        <f>IF(AND('Riesgos de Gestión'!$O$67="Baja",'Riesgos de Gestión'!$S$67="Moderado"),CONCATENATE("R",'Riesgos de Gestión'!$A$67),"")</f>
        <v/>
      </c>
      <c r="W36" s="399"/>
      <c r="X36" s="399" t="str">
        <f>IF(AND('Riesgos de Gestión'!$P$73="Baja",'Riesgos de Gestión'!$T$73="Moderado"),CONCATENATE("R",'Riesgos de Gestión'!$A$73),"")</f>
        <v/>
      </c>
      <c r="Y36" s="399"/>
      <c r="Z36" s="399" t="str">
        <f>IF(AND('Riesgos de Gestión'!$P$79="Baja",'Riesgos de Gestión'!$T$79="Moderado"),CONCATENATE("R",'Riesgos de Gestión'!$A$79),"")</f>
        <v/>
      </c>
      <c r="AA36" s="400"/>
      <c r="AB36" s="416" t="str">
        <f>IF(AND('Riesgos de Gestión'!$O$67="Baja",'Riesgos de Gestión'!$S$67="Mayor"),CONCATENATE("R",'Riesgos de Gestión'!$A$67),"")</f>
        <v/>
      </c>
      <c r="AC36" s="417"/>
      <c r="AD36" s="417" t="str">
        <f>IF(AND('Riesgos de Gestión'!$P$73="Baja",'Riesgos de Gestión'!$T$73="Mayor"),CONCATENATE("R",'Riesgos de Gestión'!$A$73),"")</f>
        <v/>
      </c>
      <c r="AE36" s="417"/>
      <c r="AF36" s="417" t="str">
        <f>IF(AND('Riesgos de Gestión'!$P$79="Baja",'Riesgos de Gestión'!$T$79="Mayor"),CONCATENATE("R",'Riesgos de Gestión'!$A$79),"")</f>
        <v/>
      </c>
      <c r="AG36" s="418"/>
      <c r="AH36" s="407" t="str">
        <f>IF(AND('Riesgos de Gestión'!$O$67="Baja",'Riesgos de Gestión'!$S$67="Catastrófico"),CONCATENATE("R",'Riesgos de Gestión'!$A$67),"")</f>
        <v/>
      </c>
      <c r="AI36" s="408"/>
      <c r="AJ36" s="408" t="str">
        <f>IF(AND('Riesgos de Gestión'!$P$73="Baja",'Riesgos de Gestión'!$T$73="Catastrófico"),CONCATENATE("R",'Riesgos de Gestión'!$A$73),"")</f>
        <v/>
      </c>
      <c r="AK36" s="408"/>
      <c r="AL36" s="408" t="str">
        <f>IF(AND('Riesgos de Gestión'!$P$79="Baja",'Riesgos de Gestión'!$T$79="Catastrófico"),CONCATENATE("R",'Riesgos de Gestión'!$A$79),"")</f>
        <v/>
      </c>
      <c r="AM36" s="409"/>
      <c r="AN36" s="66"/>
      <c r="AO36" s="468"/>
      <c r="AP36" s="469"/>
      <c r="AQ36" s="469"/>
      <c r="AR36" s="469"/>
      <c r="AS36" s="469"/>
      <c r="AT36" s="470"/>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436"/>
      <c r="C37" s="436"/>
      <c r="D37" s="437"/>
      <c r="E37" s="432"/>
      <c r="F37" s="433"/>
      <c r="G37" s="433"/>
      <c r="H37" s="433"/>
      <c r="I37" s="433"/>
      <c r="J37" s="392"/>
      <c r="K37" s="393"/>
      <c r="L37" s="393"/>
      <c r="M37" s="393"/>
      <c r="N37" s="393"/>
      <c r="O37" s="394"/>
      <c r="P37" s="402"/>
      <c r="Q37" s="402"/>
      <c r="R37" s="402"/>
      <c r="S37" s="402"/>
      <c r="T37" s="402"/>
      <c r="U37" s="403"/>
      <c r="V37" s="401"/>
      <c r="W37" s="402"/>
      <c r="X37" s="402"/>
      <c r="Y37" s="402"/>
      <c r="Z37" s="402"/>
      <c r="AA37" s="403"/>
      <c r="AB37" s="419"/>
      <c r="AC37" s="420"/>
      <c r="AD37" s="420"/>
      <c r="AE37" s="420"/>
      <c r="AF37" s="420"/>
      <c r="AG37" s="421"/>
      <c r="AH37" s="410"/>
      <c r="AI37" s="411"/>
      <c r="AJ37" s="411"/>
      <c r="AK37" s="411"/>
      <c r="AL37" s="411"/>
      <c r="AM37" s="412"/>
      <c r="AN37" s="66"/>
      <c r="AO37" s="471"/>
      <c r="AP37" s="472"/>
      <c r="AQ37" s="472"/>
      <c r="AR37" s="472"/>
      <c r="AS37" s="472"/>
      <c r="AT37" s="473"/>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436"/>
      <c r="C38" s="436"/>
      <c r="D38" s="437"/>
      <c r="E38" s="426" t="s">
        <v>273</v>
      </c>
      <c r="F38" s="427"/>
      <c r="G38" s="427"/>
      <c r="H38" s="427"/>
      <c r="I38" s="428"/>
      <c r="J38" s="395" t="str">
        <f>IF(AND('Riesgos de Gestión'!$O$13="Muy Baja",'Riesgos de Gestión'!$S$13="Leve"),CONCATENATE("R",'Riesgos de Gestión'!$A$13),"")</f>
        <v/>
      </c>
      <c r="K38" s="396"/>
      <c r="L38" s="396" t="str">
        <f>IF(AND('Riesgos de Gestión'!$O$19="Muy Baja",'Riesgos de Gestión'!$S$19="Leve"),CONCATENATE("R",'Riesgos de Gestión'!$A$19),"")</f>
        <v/>
      </c>
      <c r="M38" s="396"/>
      <c r="N38" s="396" t="str">
        <f>IF(AND('Riesgos de Gestión'!$O$25="Muy Baja",'Riesgos de Gestión'!$S$25="Leve"),CONCATENATE("R",'Riesgos de Gestión'!$A$25),"")</f>
        <v/>
      </c>
      <c r="O38" s="397"/>
      <c r="P38" s="395" t="str">
        <f>IF(AND('Riesgos de Gestión'!$O$13="Muy Baja",'Riesgos de Gestión'!$S$13="Menor"),CONCATENATE("R",'Riesgos de Gestión'!$A$13),"")</f>
        <v/>
      </c>
      <c r="Q38" s="396"/>
      <c r="R38" s="396" t="str">
        <f>IF(AND('Riesgos de Gestión'!$O$19="Muy Baja",'Riesgos de Gestión'!$S$19="Menor"),CONCATENATE("R",'Riesgos de Gestión'!$A$19),"")</f>
        <v/>
      </c>
      <c r="S38" s="396"/>
      <c r="T38" s="396" t="str">
        <f>IF(AND('Riesgos de Gestión'!$O$25="Muy Baja",'Riesgos de Gestión'!$S$25="Menor"),CONCATENATE("R",'Riesgos de Gestión'!$A$25),"")</f>
        <v/>
      </c>
      <c r="U38" s="397"/>
      <c r="V38" s="404" t="str">
        <f>IF(AND('Riesgos de Gestión'!$O$13="Muy Baja",'Riesgos de Gestión'!$S$13="Moderado"),CONCATENATE("R",'Riesgos de Gestión'!$A$13),"")</f>
        <v/>
      </c>
      <c r="W38" s="405"/>
      <c r="X38" s="405" t="str">
        <f>IF(AND('Riesgos de Gestión'!$O$19="Muy Baja",'Riesgos de Gestión'!$S$19="Moderado"),CONCATENATE("R",'Riesgos de Gestión'!$A$19),"")</f>
        <v/>
      </c>
      <c r="Y38" s="405"/>
      <c r="Z38" s="405" t="str">
        <f>IF(AND('Riesgos de Gestión'!$O$25="Muy Baja",'Riesgos de Gestión'!$S$25="Moderado"),CONCATENATE("R",'Riesgos de Gestión'!$A$25),"")</f>
        <v/>
      </c>
      <c r="AA38" s="406"/>
      <c r="AB38" s="422" t="str">
        <f>IF(AND('Riesgos de Gestión'!$O$13="Muy Baja",'Riesgos de Gestión'!$S$13="Mayor"),CONCATENATE("R",'Riesgos de Gestión'!$A$13),"")</f>
        <v/>
      </c>
      <c r="AC38" s="423"/>
      <c r="AD38" s="423" t="str">
        <f>IF(AND('Riesgos de Gestión'!$O$19="Muy Baja",'Riesgos de Gestión'!$S$19="Mayor"),CONCATENATE("R",'Riesgos de Gestión'!$A$19),"")</f>
        <v/>
      </c>
      <c r="AE38" s="423"/>
      <c r="AF38" s="423" t="str">
        <f>IF(AND('Riesgos de Gestión'!$O$25="Muy Baja",'Riesgos de Gestión'!$S$25="Mayor"),CONCATENATE("R",'Riesgos de Gestión'!$A$25),"")</f>
        <v/>
      </c>
      <c r="AG38" s="424"/>
      <c r="AH38" s="413" t="str">
        <f>IF(AND('Riesgos de Gestión'!$O$13="Muy Baja",'Riesgos de Gestión'!$S$13="Catastrófico"),CONCATENATE("R",'Riesgos de Gestión'!$A$13),"")</f>
        <v/>
      </c>
      <c r="AI38" s="414"/>
      <c r="AJ38" s="414" t="str">
        <f>IF(AND('Riesgos de Gestión'!$O$19="Muy Baja",'Riesgos de Gestión'!$S$19="Catastrófico"),CONCATENATE("R",'Riesgos de Gestión'!$A$19),"")</f>
        <v/>
      </c>
      <c r="AK38" s="414"/>
      <c r="AL38" s="414" t="str">
        <f>IF(AND('Riesgos de Gestión'!$O$25="Muy Baja",'Riesgos de Gestión'!$S$25="Catastrófico"),CONCATENATE("R",'Riesgos de Gestión'!$A$25),"")</f>
        <v/>
      </c>
      <c r="AM38" s="415"/>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436"/>
      <c r="C39" s="436"/>
      <c r="D39" s="437"/>
      <c r="E39" s="429"/>
      <c r="F39" s="430"/>
      <c r="G39" s="430"/>
      <c r="H39" s="430"/>
      <c r="I39" s="431"/>
      <c r="J39" s="389"/>
      <c r="K39" s="390"/>
      <c r="L39" s="390"/>
      <c r="M39" s="390"/>
      <c r="N39" s="390"/>
      <c r="O39" s="391"/>
      <c r="P39" s="389"/>
      <c r="Q39" s="390"/>
      <c r="R39" s="390"/>
      <c r="S39" s="390"/>
      <c r="T39" s="390"/>
      <c r="U39" s="391"/>
      <c r="V39" s="398"/>
      <c r="W39" s="399"/>
      <c r="X39" s="399"/>
      <c r="Y39" s="399"/>
      <c r="Z39" s="399"/>
      <c r="AA39" s="400"/>
      <c r="AB39" s="416"/>
      <c r="AC39" s="417"/>
      <c r="AD39" s="417"/>
      <c r="AE39" s="417"/>
      <c r="AF39" s="417"/>
      <c r="AG39" s="418"/>
      <c r="AH39" s="407"/>
      <c r="AI39" s="408"/>
      <c r="AJ39" s="408"/>
      <c r="AK39" s="408"/>
      <c r="AL39" s="408"/>
      <c r="AM39" s="409"/>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436"/>
      <c r="C40" s="436"/>
      <c r="D40" s="437"/>
      <c r="E40" s="429"/>
      <c r="F40" s="430"/>
      <c r="G40" s="430"/>
      <c r="H40" s="430"/>
      <c r="I40" s="431"/>
      <c r="J40" s="389" t="str">
        <f>IF(AND('Riesgos de Gestión'!$O$31="Muy Baja",'Riesgos de Gestión'!$S$31="Leve"),CONCATENATE("R",'Riesgos de Gestión'!$A$31),"")</f>
        <v/>
      </c>
      <c r="K40" s="390"/>
      <c r="L40" s="390" t="str">
        <f>IF(AND('Riesgos de Gestión'!$O$37="Muy Baja",'Riesgos de Gestión'!$S$37="Leve"),CONCATENATE("R",'Riesgos de Gestión'!$A$37),"")</f>
        <v/>
      </c>
      <c r="M40" s="390"/>
      <c r="N40" s="390" t="str">
        <f>IF(AND('Riesgos de Gestión'!$O$43="Muy Baja",'Riesgos de Gestión'!$S$43="Leve"),CONCATENATE("R",'Riesgos de Gestión'!$A$43),"")</f>
        <v/>
      </c>
      <c r="O40" s="391"/>
      <c r="P40" s="389" t="str">
        <f>IF(AND('Riesgos de Gestión'!$O$31="Muy Baja",'Riesgos de Gestión'!$S$31="Menor"),CONCATENATE("R",'Riesgos de Gestión'!$A$31),"")</f>
        <v/>
      </c>
      <c r="Q40" s="390"/>
      <c r="R40" s="390" t="str">
        <f>IF(AND('Riesgos de Gestión'!$O$37="Muy Baja",'Riesgos de Gestión'!$S$37="Menor"),CONCATENATE("R",'Riesgos de Gestión'!$A$37),"")</f>
        <v/>
      </c>
      <c r="S40" s="390"/>
      <c r="T40" s="390" t="str">
        <f>IF(AND('Riesgos de Gestión'!$O$43="Muy Baja",'Riesgos de Gestión'!$S$43="Menor"),CONCATENATE("R",'Riesgos de Gestión'!$A$43),"")</f>
        <v/>
      </c>
      <c r="U40" s="391"/>
      <c r="V40" s="398" t="str">
        <f>IF(AND('Riesgos de Gestión'!$O$31="Muy Baja",'Riesgos de Gestión'!$S$31="Moderado"),CONCATENATE("R",'Riesgos de Gestión'!$A$31),"")</f>
        <v/>
      </c>
      <c r="W40" s="399"/>
      <c r="X40" s="399" t="str">
        <f>IF(AND('Riesgos de Gestión'!$O$37="Muy Baja",'Riesgos de Gestión'!$S$37="Moderado"),CONCATENATE("R",'Riesgos de Gestión'!$A$37),"")</f>
        <v/>
      </c>
      <c r="Y40" s="399"/>
      <c r="Z40" s="399" t="str">
        <f>IF(AND('Riesgos de Gestión'!$O$43="Muy Baja",'Riesgos de Gestión'!$S$43="Moderado"),CONCATENATE("R",'Riesgos de Gestión'!$A$43),"")</f>
        <v/>
      </c>
      <c r="AA40" s="400"/>
      <c r="AB40" s="416" t="str">
        <f>IF(AND('Riesgos de Gestión'!$O$31="Muy Baja",'Riesgos de Gestión'!$S$31="Mayor"),CONCATENATE("R",'Riesgos de Gestión'!$A$31),"")</f>
        <v/>
      </c>
      <c r="AC40" s="417"/>
      <c r="AD40" s="417" t="str">
        <f>IF(AND('Riesgos de Gestión'!$O$37="Muy Baja",'Riesgos de Gestión'!$S$37="Mayor"),CONCATENATE("R",'Riesgos de Gestión'!$A$37),"")</f>
        <v/>
      </c>
      <c r="AE40" s="417"/>
      <c r="AF40" s="417" t="str">
        <f>IF(AND('Riesgos de Gestión'!$O$43="Muy Baja",'Riesgos de Gestión'!$S$43="Mayor"),CONCATENATE("R",'Riesgos de Gestión'!$A$43),"")</f>
        <v/>
      </c>
      <c r="AG40" s="418"/>
      <c r="AH40" s="407" t="str">
        <f>IF(AND('Riesgos de Gestión'!$O$31="Muy Baja",'Riesgos de Gestión'!$S$31="Catastrófico"),CONCATENATE("R",'Riesgos de Gestión'!$A$31),"")</f>
        <v/>
      </c>
      <c r="AI40" s="408"/>
      <c r="AJ40" s="408" t="str">
        <f>IF(AND('Riesgos de Gestión'!$O$37="Muy Baja",'Riesgos de Gestión'!$S$37="Catastrófico"),CONCATENATE("R",'Riesgos de Gestión'!$A$37),"")</f>
        <v/>
      </c>
      <c r="AK40" s="408"/>
      <c r="AL40" s="408" t="str">
        <f>IF(AND('Riesgos de Gestión'!$O$43="Muy Baja",'Riesgos de Gestión'!$S$43="Catastrófico"),CONCATENATE("R",'Riesgos de Gestión'!$A$43),"")</f>
        <v/>
      </c>
      <c r="AM40" s="409"/>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436"/>
      <c r="C41" s="436"/>
      <c r="D41" s="437"/>
      <c r="E41" s="429"/>
      <c r="F41" s="430"/>
      <c r="G41" s="430"/>
      <c r="H41" s="430"/>
      <c r="I41" s="431"/>
      <c r="J41" s="389"/>
      <c r="K41" s="390"/>
      <c r="L41" s="390"/>
      <c r="M41" s="390"/>
      <c r="N41" s="390"/>
      <c r="O41" s="391"/>
      <c r="P41" s="389"/>
      <c r="Q41" s="390"/>
      <c r="R41" s="390"/>
      <c r="S41" s="390"/>
      <c r="T41" s="390"/>
      <c r="U41" s="391"/>
      <c r="V41" s="398"/>
      <c r="W41" s="399"/>
      <c r="X41" s="399"/>
      <c r="Y41" s="399"/>
      <c r="Z41" s="399"/>
      <c r="AA41" s="400"/>
      <c r="AB41" s="416"/>
      <c r="AC41" s="417"/>
      <c r="AD41" s="417"/>
      <c r="AE41" s="417"/>
      <c r="AF41" s="417"/>
      <c r="AG41" s="418"/>
      <c r="AH41" s="407"/>
      <c r="AI41" s="408"/>
      <c r="AJ41" s="408"/>
      <c r="AK41" s="408"/>
      <c r="AL41" s="408"/>
      <c r="AM41" s="409"/>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436"/>
      <c r="C42" s="436"/>
      <c r="D42" s="437"/>
      <c r="E42" s="429"/>
      <c r="F42" s="430"/>
      <c r="G42" s="430"/>
      <c r="H42" s="430"/>
      <c r="I42" s="431"/>
      <c r="J42" s="389" t="str">
        <f>IF(AND('Riesgos de Gestión'!$O$49="Muy Baja",'Riesgos de Gestión'!$S$49="Leve"),CONCATENATE("R",'Riesgos de Gestión'!$A$49),"")</f>
        <v/>
      </c>
      <c r="K42" s="390"/>
      <c r="L42" s="390" t="str">
        <f>IF(AND('Riesgos de Gestión'!$O$55="Muy Baja",'Riesgos de Gestión'!$S$55="Leve"),CONCATENATE("R",'Riesgos de Gestión'!$A$55),"")</f>
        <v/>
      </c>
      <c r="M42" s="390"/>
      <c r="N42" s="390" t="str">
        <f>IF(AND('Riesgos de Gestión'!$O$61="Muy Baja",'Riesgos de Gestión'!$S$61="Leve"),CONCATENATE("R",'Riesgos de Gestión'!$A$61),"")</f>
        <v/>
      </c>
      <c r="O42" s="391"/>
      <c r="P42" s="389" t="str">
        <f>IF(AND('Riesgos de Gestión'!$O$49="Muy Baja",'Riesgos de Gestión'!$S$49="Menor"),CONCATENATE("R",'Riesgos de Gestión'!$A$49),"")</f>
        <v/>
      </c>
      <c r="Q42" s="390"/>
      <c r="R42" s="390" t="str">
        <f>IF(AND('Riesgos de Gestión'!$O$55="Muy Baja",'Riesgos de Gestión'!$S$55="Menor"),CONCATENATE("R",'Riesgos de Gestión'!$A$55),"")</f>
        <v/>
      </c>
      <c r="S42" s="390"/>
      <c r="T42" s="390" t="str">
        <f>IF(AND('Riesgos de Gestión'!$O$61="Muy Baja",'Riesgos de Gestión'!$S$61="Menor"),CONCATENATE("R",'Riesgos de Gestión'!$A$61),"")</f>
        <v/>
      </c>
      <c r="U42" s="391"/>
      <c r="V42" s="398" t="str">
        <f>IF(AND('Riesgos de Gestión'!$O$49="Muy Baja",'Riesgos de Gestión'!$S$49="Moderado"),CONCATENATE("R",'Riesgos de Gestión'!$A$49),"")</f>
        <v/>
      </c>
      <c r="W42" s="399"/>
      <c r="X42" s="399" t="str">
        <f>IF(AND('Riesgos de Gestión'!$O$55="Muy Baja",'Riesgos de Gestión'!$S$55="Moderado"),CONCATENATE("R",'Riesgos de Gestión'!$A$55),"")</f>
        <v/>
      </c>
      <c r="Y42" s="399"/>
      <c r="Z42" s="399" t="str">
        <f>IF(AND('Riesgos de Gestión'!$O$61="Muy Baja",'Riesgos de Gestión'!$S$61="Moderado"),CONCATENATE("R",'Riesgos de Gestión'!$A$61),"")</f>
        <v/>
      </c>
      <c r="AA42" s="400"/>
      <c r="AB42" s="416" t="str">
        <f>IF(AND('Riesgos de Gestión'!$O$49="Muy Baja",'Riesgos de Gestión'!$S$49="Mayor"),CONCATENATE("R",'Riesgos de Gestión'!$A$49),"")</f>
        <v/>
      </c>
      <c r="AC42" s="417"/>
      <c r="AD42" s="417" t="str">
        <f>IF(AND('Riesgos de Gestión'!$O$55="Muy Baja",'Riesgos de Gestión'!$S$55="Mayor"),CONCATENATE("R",'Riesgos de Gestión'!$A$55),"")</f>
        <v/>
      </c>
      <c r="AE42" s="417"/>
      <c r="AF42" s="417" t="str">
        <f>IF(AND('Riesgos de Gestión'!$O$61="Muy Baja",'Riesgos de Gestión'!$S$61="Mayor"),CONCATENATE("R",'Riesgos de Gestión'!$A$61),"")</f>
        <v/>
      </c>
      <c r="AG42" s="418"/>
      <c r="AH42" s="407" t="str">
        <f>IF(AND('Riesgos de Gestión'!$O$49="Muy Baja",'Riesgos de Gestión'!$S$49="Catastrófico"),CONCATENATE("R",'Riesgos de Gestión'!$A$49),"")</f>
        <v/>
      </c>
      <c r="AI42" s="408"/>
      <c r="AJ42" s="408" t="str">
        <f>IF(AND('Riesgos de Gestión'!$O$55="Muy Baja",'Riesgos de Gestión'!$S$55="Catastrófico"),CONCATENATE("R",'Riesgos de Gestión'!$A$55),"")</f>
        <v/>
      </c>
      <c r="AK42" s="408"/>
      <c r="AL42" s="408" t="str">
        <f>IF(AND('Riesgos de Gestión'!$O$61="Muy Baja",'Riesgos de Gestión'!$S$61="Catastrófico"),CONCATENATE("R",'Riesgos de Gestión'!$A$61),"")</f>
        <v/>
      </c>
      <c r="AM42" s="409"/>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436"/>
      <c r="C43" s="436"/>
      <c r="D43" s="437"/>
      <c r="E43" s="429"/>
      <c r="F43" s="430"/>
      <c r="G43" s="430"/>
      <c r="H43" s="430"/>
      <c r="I43" s="431"/>
      <c r="J43" s="389"/>
      <c r="K43" s="390"/>
      <c r="L43" s="390"/>
      <c r="M43" s="390"/>
      <c r="N43" s="390"/>
      <c r="O43" s="391"/>
      <c r="P43" s="389"/>
      <c r="Q43" s="390"/>
      <c r="R43" s="390"/>
      <c r="S43" s="390"/>
      <c r="T43" s="390"/>
      <c r="U43" s="391"/>
      <c r="V43" s="398"/>
      <c r="W43" s="399"/>
      <c r="X43" s="399"/>
      <c r="Y43" s="399"/>
      <c r="Z43" s="399"/>
      <c r="AA43" s="400"/>
      <c r="AB43" s="416"/>
      <c r="AC43" s="417"/>
      <c r="AD43" s="417"/>
      <c r="AE43" s="417"/>
      <c r="AF43" s="417"/>
      <c r="AG43" s="418"/>
      <c r="AH43" s="407"/>
      <c r="AI43" s="408"/>
      <c r="AJ43" s="408"/>
      <c r="AK43" s="408"/>
      <c r="AL43" s="408"/>
      <c r="AM43" s="409"/>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436"/>
      <c r="C44" s="436"/>
      <c r="D44" s="437"/>
      <c r="E44" s="429"/>
      <c r="F44" s="430"/>
      <c r="G44" s="430"/>
      <c r="H44" s="430"/>
      <c r="I44" s="431"/>
      <c r="J44" s="389" t="str">
        <f>IF(AND('Riesgos de Gestión'!$O$67="Muy Baja",'Riesgos de Gestión'!$S$67="Leve"),CONCATENATE("R",'Riesgos de Gestión'!$A$67),"")</f>
        <v/>
      </c>
      <c r="K44" s="390"/>
      <c r="L44" s="390" t="str">
        <f>IF(AND('Riesgos de Gestión'!$P$73="Muy Baja",'Riesgos de Gestión'!$T$73="Leve"),CONCATENATE("R",'Riesgos de Gestión'!$A$73),"")</f>
        <v/>
      </c>
      <c r="M44" s="390"/>
      <c r="N44" s="390" t="str">
        <f>IF(AND('Riesgos de Gestión'!$P$79="Muy Baja",'Riesgos de Gestión'!$T$79="Leve"),CONCATENATE("R",'Riesgos de Gestión'!$A$79),"")</f>
        <v/>
      </c>
      <c r="O44" s="391"/>
      <c r="P44" s="389" t="str">
        <f>IF(AND('Riesgos de Gestión'!$O$67="Muy Baja",'Riesgos de Gestión'!$S$67="Menor"),CONCATENATE("R",'Riesgos de Gestión'!$A$67),"")</f>
        <v/>
      </c>
      <c r="Q44" s="390"/>
      <c r="R44" s="390" t="str">
        <f>IF(AND('Riesgos de Gestión'!$P$73="Muy Baja",'Riesgos de Gestión'!$T$73="Menor"),CONCATENATE("R",'Riesgos de Gestión'!$A$73),"")</f>
        <v/>
      </c>
      <c r="S44" s="390"/>
      <c r="T44" s="390" t="str">
        <f>IF(AND('Riesgos de Gestión'!$P$79="Muy Baja",'Riesgos de Gestión'!$T$79="Menor"),CONCATENATE("R",'Riesgos de Gestión'!$A$79),"")</f>
        <v/>
      </c>
      <c r="U44" s="391"/>
      <c r="V44" s="398" t="str">
        <f>IF(AND('Riesgos de Gestión'!$O$67="Muy Baja",'Riesgos de Gestión'!$S$67="Moderado"),CONCATENATE("R",'Riesgos de Gestión'!$A$67),"")</f>
        <v/>
      </c>
      <c r="W44" s="399"/>
      <c r="X44" s="399" t="str">
        <f>IF(AND('Riesgos de Gestión'!$P$73="Muy Baja",'Riesgos de Gestión'!$T$73="Moderado"),CONCATENATE("R",'Riesgos de Gestión'!$A$73),"")</f>
        <v/>
      </c>
      <c r="Y44" s="399"/>
      <c r="Z44" s="399" t="str">
        <f>IF(AND('Riesgos de Gestión'!$P$79="Muy Baja",'Riesgos de Gestión'!$T$79="Moderado"),CONCATENATE("R",'Riesgos de Gestión'!$A$79),"")</f>
        <v/>
      </c>
      <c r="AA44" s="400"/>
      <c r="AB44" s="416" t="str">
        <f>IF(AND('Riesgos de Gestión'!$O$67="Muy Baja",'Riesgos de Gestión'!$S$67="Mayor"),CONCATENATE("R",'Riesgos de Gestión'!$A$67),"")</f>
        <v/>
      </c>
      <c r="AC44" s="417"/>
      <c r="AD44" s="417" t="str">
        <f>IF(AND('Riesgos de Gestión'!$P$73="Muy Baja",'Riesgos de Gestión'!$T$73="Mayor"),CONCATENATE("R",'Riesgos de Gestión'!$A$73),"")</f>
        <v/>
      </c>
      <c r="AE44" s="417"/>
      <c r="AF44" s="417" t="str">
        <f>IF(AND('Riesgos de Gestión'!$P$79="Muy Baja",'Riesgos de Gestión'!$T$79="Mayor"),CONCATENATE("R",'Riesgos de Gestión'!$A$79),"")</f>
        <v/>
      </c>
      <c r="AG44" s="418"/>
      <c r="AH44" s="407" t="str">
        <f>IF(AND('Riesgos de Gestión'!$O$67="Muy Baja",'Riesgos de Gestión'!$S$67="Catastrófico"),CONCATENATE("R",'Riesgos de Gestión'!$A$67),"")</f>
        <v/>
      </c>
      <c r="AI44" s="408"/>
      <c r="AJ44" s="408" t="str">
        <f>IF(AND('Riesgos de Gestión'!$P$73="Muy Baja",'Riesgos de Gestión'!$T$73="Catastrófico"),CONCATENATE("R",'Riesgos de Gestión'!$A$73),"")</f>
        <v/>
      </c>
      <c r="AK44" s="408"/>
      <c r="AL44" s="408" t="str">
        <f>IF(AND('Riesgos de Gestión'!$P$79="Muy Baja",'Riesgos de Gestión'!$T$79="Catastrófico"),CONCATENATE("R",'Riesgos de Gestión'!$A$79),"")</f>
        <v/>
      </c>
      <c r="AM44" s="409"/>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436"/>
      <c r="C45" s="436"/>
      <c r="D45" s="437"/>
      <c r="E45" s="432"/>
      <c r="F45" s="433"/>
      <c r="G45" s="433"/>
      <c r="H45" s="433"/>
      <c r="I45" s="434"/>
      <c r="J45" s="392"/>
      <c r="K45" s="393"/>
      <c r="L45" s="393"/>
      <c r="M45" s="393"/>
      <c r="N45" s="393"/>
      <c r="O45" s="394"/>
      <c r="P45" s="392"/>
      <c r="Q45" s="393"/>
      <c r="R45" s="393"/>
      <c r="S45" s="393"/>
      <c r="T45" s="393"/>
      <c r="U45" s="394"/>
      <c r="V45" s="401"/>
      <c r="W45" s="402"/>
      <c r="X45" s="402"/>
      <c r="Y45" s="402"/>
      <c r="Z45" s="402"/>
      <c r="AA45" s="403"/>
      <c r="AB45" s="419"/>
      <c r="AC45" s="420"/>
      <c r="AD45" s="420"/>
      <c r="AE45" s="420"/>
      <c r="AF45" s="420"/>
      <c r="AG45" s="421"/>
      <c r="AH45" s="410"/>
      <c r="AI45" s="411"/>
      <c r="AJ45" s="411"/>
      <c r="AK45" s="411"/>
      <c r="AL45" s="411"/>
      <c r="AM45" s="412"/>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426" t="s">
        <v>274</v>
      </c>
      <c r="K46" s="427"/>
      <c r="L46" s="427"/>
      <c r="M46" s="427"/>
      <c r="N46" s="427"/>
      <c r="O46" s="428"/>
      <c r="P46" s="426" t="s">
        <v>275</v>
      </c>
      <c r="Q46" s="427"/>
      <c r="R46" s="427"/>
      <c r="S46" s="427"/>
      <c r="T46" s="427"/>
      <c r="U46" s="428"/>
      <c r="V46" s="426" t="s">
        <v>276</v>
      </c>
      <c r="W46" s="427"/>
      <c r="X46" s="427"/>
      <c r="Y46" s="427"/>
      <c r="Z46" s="427"/>
      <c r="AA46" s="428"/>
      <c r="AB46" s="426" t="s">
        <v>277</v>
      </c>
      <c r="AC46" s="435"/>
      <c r="AD46" s="427"/>
      <c r="AE46" s="427"/>
      <c r="AF46" s="427"/>
      <c r="AG46" s="428"/>
      <c r="AH46" s="426" t="s">
        <v>278</v>
      </c>
      <c r="AI46" s="427"/>
      <c r="AJ46" s="427"/>
      <c r="AK46" s="427"/>
      <c r="AL46" s="427"/>
      <c r="AM46" s="428"/>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429"/>
      <c r="K47" s="430"/>
      <c r="L47" s="430"/>
      <c r="M47" s="430"/>
      <c r="N47" s="430"/>
      <c r="O47" s="431"/>
      <c r="P47" s="429"/>
      <c r="Q47" s="430"/>
      <c r="R47" s="430"/>
      <c r="S47" s="430"/>
      <c r="T47" s="430"/>
      <c r="U47" s="431"/>
      <c r="V47" s="429"/>
      <c r="W47" s="430"/>
      <c r="X47" s="430"/>
      <c r="Y47" s="430"/>
      <c r="Z47" s="430"/>
      <c r="AA47" s="431"/>
      <c r="AB47" s="429"/>
      <c r="AC47" s="430"/>
      <c r="AD47" s="430"/>
      <c r="AE47" s="430"/>
      <c r="AF47" s="430"/>
      <c r="AG47" s="431"/>
      <c r="AH47" s="429"/>
      <c r="AI47" s="430"/>
      <c r="AJ47" s="430"/>
      <c r="AK47" s="430"/>
      <c r="AL47" s="430"/>
      <c r="AM47" s="431"/>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429"/>
      <c r="K48" s="430"/>
      <c r="L48" s="430"/>
      <c r="M48" s="430"/>
      <c r="N48" s="430"/>
      <c r="O48" s="431"/>
      <c r="P48" s="429"/>
      <c r="Q48" s="430"/>
      <c r="R48" s="430"/>
      <c r="S48" s="430"/>
      <c r="T48" s="430"/>
      <c r="U48" s="431"/>
      <c r="V48" s="429"/>
      <c r="W48" s="430"/>
      <c r="X48" s="430"/>
      <c r="Y48" s="430"/>
      <c r="Z48" s="430"/>
      <c r="AA48" s="431"/>
      <c r="AB48" s="429"/>
      <c r="AC48" s="430"/>
      <c r="AD48" s="430"/>
      <c r="AE48" s="430"/>
      <c r="AF48" s="430"/>
      <c r="AG48" s="431"/>
      <c r="AH48" s="429"/>
      <c r="AI48" s="430"/>
      <c r="AJ48" s="430"/>
      <c r="AK48" s="430"/>
      <c r="AL48" s="430"/>
      <c r="AM48" s="431"/>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429"/>
      <c r="K49" s="430"/>
      <c r="L49" s="430"/>
      <c r="M49" s="430"/>
      <c r="N49" s="430"/>
      <c r="O49" s="431"/>
      <c r="P49" s="429"/>
      <c r="Q49" s="430"/>
      <c r="R49" s="430"/>
      <c r="S49" s="430"/>
      <c r="T49" s="430"/>
      <c r="U49" s="431"/>
      <c r="V49" s="429"/>
      <c r="W49" s="430"/>
      <c r="X49" s="430"/>
      <c r="Y49" s="430"/>
      <c r="Z49" s="430"/>
      <c r="AA49" s="431"/>
      <c r="AB49" s="429"/>
      <c r="AC49" s="430"/>
      <c r="AD49" s="430"/>
      <c r="AE49" s="430"/>
      <c r="AF49" s="430"/>
      <c r="AG49" s="431"/>
      <c r="AH49" s="429"/>
      <c r="AI49" s="430"/>
      <c r="AJ49" s="430"/>
      <c r="AK49" s="430"/>
      <c r="AL49" s="430"/>
      <c r="AM49" s="431"/>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429"/>
      <c r="K50" s="430"/>
      <c r="L50" s="430"/>
      <c r="M50" s="430"/>
      <c r="N50" s="430"/>
      <c r="O50" s="431"/>
      <c r="P50" s="429"/>
      <c r="Q50" s="430"/>
      <c r="R50" s="430"/>
      <c r="S50" s="430"/>
      <c r="T50" s="430"/>
      <c r="U50" s="431"/>
      <c r="V50" s="429"/>
      <c r="W50" s="430"/>
      <c r="X50" s="430"/>
      <c r="Y50" s="430"/>
      <c r="Z50" s="430"/>
      <c r="AA50" s="431"/>
      <c r="AB50" s="429"/>
      <c r="AC50" s="430"/>
      <c r="AD50" s="430"/>
      <c r="AE50" s="430"/>
      <c r="AF50" s="430"/>
      <c r="AG50" s="431"/>
      <c r="AH50" s="429"/>
      <c r="AI50" s="430"/>
      <c r="AJ50" s="430"/>
      <c r="AK50" s="430"/>
      <c r="AL50" s="430"/>
      <c r="AM50" s="431"/>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432"/>
      <c r="K51" s="433"/>
      <c r="L51" s="433"/>
      <c r="M51" s="433"/>
      <c r="N51" s="433"/>
      <c r="O51" s="434"/>
      <c r="P51" s="432"/>
      <c r="Q51" s="433"/>
      <c r="R51" s="433"/>
      <c r="S51" s="433"/>
      <c r="T51" s="433"/>
      <c r="U51" s="434"/>
      <c r="V51" s="432"/>
      <c r="W51" s="433"/>
      <c r="X51" s="433"/>
      <c r="Y51" s="433"/>
      <c r="Z51" s="433"/>
      <c r="AA51" s="434"/>
      <c r="AB51" s="432"/>
      <c r="AC51" s="433"/>
      <c r="AD51" s="433"/>
      <c r="AE51" s="433"/>
      <c r="AF51" s="433"/>
      <c r="AG51" s="434"/>
      <c r="AH51" s="432"/>
      <c r="AI51" s="433"/>
      <c r="AJ51" s="433"/>
      <c r="AK51" s="433"/>
      <c r="AL51" s="433"/>
      <c r="AM51" s="434"/>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zoomScale="40" zoomScaleNormal="40" workbookViewId="0">
      <selection activeCell="V27" sqref="V27:AA35"/>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503" t="s">
        <v>279</v>
      </c>
      <c r="C2" s="504"/>
      <c r="D2" s="504"/>
      <c r="E2" s="504"/>
      <c r="F2" s="504"/>
      <c r="G2" s="504"/>
      <c r="H2" s="504"/>
      <c r="I2" s="504"/>
      <c r="J2" s="425" t="s">
        <v>15</v>
      </c>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504"/>
      <c r="C3" s="504"/>
      <c r="D3" s="504"/>
      <c r="E3" s="504"/>
      <c r="F3" s="504"/>
      <c r="G3" s="504"/>
      <c r="H3" s="504"/>
      <c r="I3" s="504"/>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504"/>
      <c r="C4" s="504"/>
      <c r="D4" s="504"/>
      <c r="E4" s="504"/>
      <c r="F4" s="504"/>
      <c r="G4" s="504"/>
      <c r="H4" s="504"/>
      <c r="I4" s="504"/>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436" t="s">
        <v>264</v>
      </c>
      <c r="C6" s="436"/>
      <c r="D6" s="437"/>
      <c r="E6" s="474" t="s">
        <v>265</v>
      </c>
      <c r="F6" s="475"/>
      <c r="G6" s="475"/>
      <c r="H6" s="475"/>
      <c r="I6" s="476"/>
      <c r="J6" s="29" t="str">
        <f>IF(AND('Riesgos de Gestión'!$AF$13="Muy Alta",'Riesgos de Gestión'!$AH$13="Leve"),CONCATENATE("R1C",'Riesgos de Gestión'!$V$13),"")</f>
        <v/>
      </c>
      <c r="K6" s="30" t="str">
        <f>IF(AND('Riesgos de Gestión'!$AF$14="Muy Alta",'Riesgos de Gestión'!$AH$14="Leve"),CONCATENATE("R1C",'Riesgos de Gestión'!$V$14),"")</f>
        <v/>
      </c>
      <c r="L6" s="30" t="str">
        <f>IF(AND('Riesgos de Gestión'!$AF$15="Muy Alta",'Riesgos de Gestión'!$AH$15="Leve"),CONCATENATE("R1C",'Riesgos de Gestión'!$V$15),"")</f>
        <v/>
      </c>
      <c r="M6" s="30" t="str">
        <f>IF(AND('Riesgos de Gestión'!$AF$16="Muy Alta",'Riesgos de Gestión'!$AH$16="Leve"),CONCATENATE("R1C",'Riesgos de Gestión'!$V$16),"")</f>
        <v/>
      </c>
      <c r="N6" s="30" t="str">
        <f>IF(AND('Riesgos de Gestión'!$AF$17="Muy Alta",'Riesgos de Gestión'!$AH$17="Leve"),CONCATENATE("R1C",'Riesgos de Gestión'!$V$17),"")</f>
        <v/>
      </c>
      <c r="O6" s="31" t="str">
        <f>IF(AND('Riesgos de Gestión'!$AF$18="Muy Alta",'Riesgos de Gestión'!$AH$18="Leve"),CONCATENATE("R1C",'Riesgos de Gestión'!$V$18),"")</f>
        <v/>
      </c>
      <c r="P6" s="29" t="str">
        <f>IF(AND('Riesgos de Gestión'!$AF$13="Muy Alta",'Riesgos de Gestión'!$AH$13="Menor"),CONCATENATE("R1C",'Riesgos de Gestión'!$V$13),"")</f>
        <v/>
      </c>
      <c r="Q6" s="30" t="str">
        <f>IF(AND('Riesgos de Gestión'!$AF$14="Muy Alta",'Riesgos de Gestión'!$AH$14="Menor"),CONCATENATE("R1C",'Riesgos de Gestión'!$V$14),"")</f>
        <v/>
      </c>
      <c r="R6" s="30" t="str">
        <f>IF(AND('Riesgos de Gestión'!$AF$15="Muy Alta",'Riesgos de Gestión'!$AH$15="Menor"),CONCATENATE("R1C",'Riesgos de Gestión'!$V$15),"")</f>
        <v/>
      </c>
      <c r="S6" s="30" t="str">
        <f>IF(AND('Riesgos de Gestión'!$AF$16="Muy Alta",'Riesgos de Gestión'!$AH$16="Menor"),CONCATENATE("R1C",'Riesgos de Gestión'!$V$16),"")</f>
        <v/>
      </c>
      <c r="T6" s="30" t="str">
        <f>IF(AND('Riesgos de Gestión'!$AF$17="Muy Alta",'Riesgos de Gestión'!$AH$17="Menor"),CONCATENATE("R1C",'Riesgos de Gestión'!$V$17),"")</f>
        <v/>
      </c>
      <c r="U6" s="31" t="str">
        <f>IF(AND('Riesgos de Gestión'!$AF$18="Muy Alta",'Riesgos de Gestión'!$AH$18="Menor"),CONCATENATE("R1C",'Riesgos de Gestión'!$V$18),"")</f>
        <v/>
      </c>
      <c r="V6" s="29" t="str">
        <f>IF(AND('Riesgos de Gestión'!$AF$13="Muy Alta",'Riesgos de Gestión'!$AH$13="Moderado"),CONCATENATE("R1C",'Riesgos de Gestión'!$V$13),"")</f>
        <v/>
      </c>
      <c r="W6" s="30" t="str">
        <f>IF(AND('Riesgos de Gestión'!$AF$14="Muy Alta",'Riesgos de Gestión'!$AH$14="Moderado"),CONCATENATE("R1C",'Riesgos de Gestión'!$V$14),"")</f>
        <v/>
      </c>
      <c r="X6" s="30" t="str">
        <f>IF(AND('Riesgos de Gestión'!$AF$15="Muy Alta",'Riesgos de Gestión'!$AH$15="Moderado"),CONCATENATE("R1C",'Riesgos de Gestión'!$V$15),"")</f>
        <v/>
      </c>
      <c r="Y6" s="30" t="str">
        <f>IF(AND('Riesgos de Gestión'!$AF$16="Muy Alta",'Riesgos de Gestión'!$AH$16="Moderado"),CONCATENATE("R1C",'Riesgos de Gestión'!$V$16),"")</f>
        <v/>
      </c>
      <c r="Z6" s="30" t="str">
        <f>IF(AND('Riesgos de Gestión'!$AF$17="Muy Alta",'Riesgos de Gestión'!$AH$17="Moderado"),CONCATENATE("R1C",'Riesgos de Gestión'!$V$17),"")</f>
        <v/>
      </c>
      <c r="AA6" s="31" t="str">
        <f>IF(AND('Riesgos de Gestión'!$AF$18="Muy Alta",'Riesgos de Gestión'!$AH$18="Moderado"),CONCATENATE("R1C",'Riesgos de Gestión'!$V$18),"")</f>
        <v/>
      </c>
      <c r="AB6" s="29" t="str">
        <f>IF(AND('Riesgos de Gestión'!$AF$13="Muy Alta",'Riesgos de Gestión'!$AH$13="Mayor"),CONCATENATE("R1C",'Riesgos de Gestión'!$V$13),"")</f>
        <v/>
      </c>
      <c r="AC6" s="30" t="str">
        <f>IF(AND('Riesgos de Gestión'!$AF$14="Muy Alta",'Riesgos de Gestión'!$AH$14="Mayor"),CONCATENATE("R1C",'Riesgos de Gestión'!$V$14),"")</f>
        <v/>
      </c>
      <c r="AD6" s="30" t="str">
        <f>IF(AND('Riesgos de Gestión'!$AF$15="Muy Alta",'Riesgos de Gestión'!$AH$15="Mayor"),CONCATENATE("R1C",'Riesgos de Gestión'!$V$15),"")</f>
        <v/>
      </c>
      <c r="AE6" s="30" t="str">
        <f>IF(AND('Riesgos de Gestión'!$AF$16="Muy Alta",'Riesgos de Gestión'!$AH$16="Mayor"),CONCATENATE("R1C",'Riesgos de Gestión'!$V$16),"")</f>
        <v/>
      </c>
      <c r="AF6" s="30" t="str">
        <f>IF(AND('Riesgos de Gestión'!$AF$17="Muy Alta",'Riesgos de Gestión'!$AH$17="Mayor"),CONCATENATE("R1C",'Riesgos de Gestión'!$V$17),"")</f>
        <v/>
      </c>
      <c r="AG6" s="31" t="str">
        <f>IF(AND('Riesgos de Gestión'!$AF$18="Muy Alta",'Riesgos de Gestión'!$AH$18="Mayor"),CONCATENATE("R1C",'Riesgos de Gestión'!$V$18),"")</f>
        <v/>
      </c>
      <c r="AH6" s="32" t="str">
        <f>IF(AND('Riesgos de Gestión'!$AF$13="Muy Alta",'Riesgos de Gestión'!$AH$13="Catastrófico"),CONCATENATE("R1C",'Riesgos de Gestión'!$V$13),"")</f>
        <v/>
      </c>
      <c r="AI6" s="33" t="str">
        <f>IF(AND('Riesgos de Gestión'!$AF$14="Muy Alta",'Riesgos de Gestión'!$AH$14="Catastrófico"),CONCATENATE("R1C",'Riesgos de Gestión'!$V$14),"")</f>
        <v/>
      </c>
      <c r="AJ6" s="33" t="str">
        <f>IF(AND('Riesgos de Gestión'!$AF$15="Muy Alta",'Riesgos de Gestión'!$AH$15="Catastrófico"),CONCATENATE("R1C",'Riesgos de Gestión'!$V$15),"")</f>
        <v/>
      </c>
      <c r="AK6" s="33" t="str">
        <f>IF(AND('Riesgos de Gestión'!$AF$16="Muy Alta",'Riesgos de Gestión'!$AH$16="Catastrófico"),CONCATENATE("R1C",'Riesgos de Gestión'!$V$16),"")</f>
        <v/>
      </c>
      <c r="AL6" s="33" t="str">
        <f>IF(AND('Riesgos de Gestión'!$AF$17="Muy Alta",'Riesgos de Gestión'!$AH$17="Catastrófico"),CONCATENATE("R1C",'Riesgos de Gestión'!$V$17),"")</f>
        <v/>
      </c>
      <c r="AM6" s="34" t="str">
        <f>IF(AND('Riesgos de Gestión'!$AF$18="Muy Alta",'Riesgos de Gestión'!$AH$18="Catastrófico"),CONCATENATE("R1C",'Riesgos de Gestión'!$V$18),"")</f>
        <v/>
      </c>
      <c r="AN6" s="66"/>
      <c r="AO6" s="494" t="s">
        <v>266</v>
      </c>
      <c r="AP6" s="495"/>
      <c r="AQ6" s="495"/>
      <c r="AR6" s="495"/>
      <c r="AS6" s="495"/>
      <c r="AT6" s="49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436"/>
      <c r="C7" s="436"/>
      <c r="D7" s="437"/>
      <c r="E7" s="477"/>
      <c r="F7" s="478"/>
      <c r="G7" s="478"/>
      <c r="H7" s="478"/>
      <c r="I7" s="479"/>
      <c r="J7" s="35" t="str">
        <f>IF(AND('Riesgos de Gestión'!$AF$19="Muy Alta",'Riesgos de Gestión'!$AH$19="Leve"),CONCATENATE("R2C",'Riesgos de Gestión'!$V$19),"")</f>
        <v/>
      </c>
      <c r="K7" s="36" t="str">
        <f>IF(AND('Riesgos de Gestión'!$AF$20="Muy Alta",'Riesgos de Gestión'!$AH$20="Leve"),CONCATENATE("R2C",'Riesgos de Gestión'!$V$20),"")</f>
        <v/>
      </c>
      <c r="L7" s="36" t="str">
        <f>IF(AND('Riesgos de Gestión'!$AF$21="Muy Alta",'Riesgos de Gestión'!$AH$21="Leve"),CONCATENATE("R2C",'Riesgos de Gestión'!$V$21),"")</f>
        <v/>
      </c>
      <c r="M7" s="36" t="str">
        <f>IF(AND('Riesgos de Gestión'!$AF$22="Muy Alta",'Riesgos de Gestión'!$AH$22="Leve"),CONCATENATE("R2C",'Riesgos de Gestión'!$V$22),"")</f>
        <v/>
      </c>
      <c r="N7" s="36" t="str">
        <f>IF(AND('Riesgos de Gestión'!$AF$23="Muy Alta",'Riesgos de Gestión'!$AH$23="Leve"),CONCATENATE("R2C",'Riesgos de Gestión'!$V$23),"")</f>
        <v/>
      </c>
      <c r="O7" s="37" t="str">
        <f>IF(AND('Riesgos de Gestión'!$AF$24="Muy Alta",'Riesgos de Gestión'!$AH$24="Leve"),CONCATENATE("R2C",'Riesgos de Gestión'!$V$24),"")</f>
        <v/>
      </c>
      <c r="P7" s="35" t="str">
        <f>IF(AND('Riesgos de Gestión'!$AF$19="Muy Alta",'Riesgos de Gestión'!$AH$19="Menor"),CONCATENATE("R2C",'Riesgos de Gestión'!$V$19),"")</f>
        <v/>
      </c>
      <c r="Q7" s="36" t="str">
        <f>IF(AND('Riesgos de Gestión'!$AF$20="Muy Alta",'Riesgos de Gestión'!$AH$20="Menor"),CONCATENATE("R2C",'Riesgos de Gestión'!$V$20),"")</f>
        <v/>
      </c>
      <c r="R7" s="36" t="str">
        <f>IF(AND('Riesgos de Gestión'!$AF$21="Muy Alta",'Riesgos de Gestión'!$AH$21="Menor"),CONCATENATE("R2C",'Riesgos de Gestión'!$V$21),"")</f>
        <v/>
      </c>
      <c r="S7" s="36" t="str">
        <f>IF(AND('Riesgos de Gestión'!$AF$22="Muy Alta",'Riesgos de Gestión'!$AH$22="Menor"),CONCATENATE("R2C",'Riesgos de Gestión'!$V$22),"")</f>
        <v/>
      </c>
      <c r="T7" s="36" t="str">
        <f>IF(AND('Riesgos de Gestión'!$AF$23="Muy Alta",'Riesgos de Gestión'!$AH$23="Menor"),CONCATENATE("R2C",'Riesgos de Gestión'!$V$23),"")</f>
        <v/>
      </c>
      <c r="U7" s="37" t="str">
        <f>IF(AND('Riesgos de Gestión'!$AF$24="Muy Alta",'Riesgos de Gestión'!$AH$24="Menor"),CONCATENATE("R2C",'Riesgos de Gestión'!$V$24),"")</f>
        <v/>
      </c>
      <c r="V7" s="35" t="str">
        <f>IF(AND('Riesgos de Gestión'!$AF$19="Muy Alta",'Riesgos de Gestión'!$AH$19="Moderado"),CONCATENATE("R2C",'Riesgos de Gestión'!$V$19),"")</f>
        <v/>
      </c>
      <c r="W7" s="36" t="str">
        <f>IF(AND('Riesgos de Gestión'!$AF$20="Muy Alta",'Riesgos de Gestión'!$AH$20="Moderado"),CONCATENATE("R2C",'Riesgos de Gestión'!$V$20),"")</f>
        <v/>
      </c>
      <c r="X7" s="36" t="str">
        <f>IF(AND('Riesgos de Gestión'!$AF$21="Muy Alta",'Riesgos de Gestión'!$AH$21="Moderado"),CONCATENATE("R2C",'Riesgos de Gestión'!$V$21),"")</f>
        <v/>
      </c>
      <c r="Y7" s="36" t="str">
        <f>IF(AND('Riesgos de Gestión'!$AF$22="Muy Alta",'Riesgos de Gestión'!$AH$22="Moderado"),CONCATENATE("R2C",'Riesgos de Gestión'!$V$22),"")</f>
        <v/>
      </c>
      <c r="Z7" s="36" t="str">
        <f>IF(AND('Riesgos de Gestión'!$AF$23="Muy Alta",'Riesgos de Gestión'!$AH$23="Moderado"),CONCATENATE("R2C",'Riesgos de Gestión'!$V$23),"")</f>
        <v/>
      </c>
      <c r="AA7" s="37" t="str">
        <f>IF(AND('Riesgos de Gestión'!$AF$24="Muy Alta",'Riesgos de Gestión'!$AH$24="Moderado"),CONCATENATE("R2C",'Riesgos de Gestión'!$V$24),"")</f>
        <v/>
      </c>
      <c r="AB7" s="35" t="str">
        <f>IF(AND('Riesgos de Gestión'!$AF$19="Muy Alta",'Riesgos de Gestión'!$AH$19="Mayor"),CONCATENATE("R2C",'Riesgos de Gestión'!$V$19),"")</f>
        <v/>
      </c>
      <c r="AC7" s="36" t="str">
        <f>IF(AND('Riesgos de Gestión'!$AF$20="Muy Alta",'Riesgos de Gestión'!$AH$20="Mayor"),CONCATENATE("R2C",'Riesgos de Gestión'!$V$20),"")</f>
        <v/>
      </c>
      <c r="AD7" s="36" t="str">
        <f>IF(AND('Riesgos de Gestión'!$AF$21="Muy Alta",'Riesgos de Gestión'!$AH$21="Mayor"),CONCATENATE("R2C",'Riesgos de Gestión'!$V$21),"")</f>
        <v/>
      </c>
      <c r="AE7" s="36" t="str">
        <f>IF(AND('Riesgos de Gestión'!$AF$22="Muy Alta",'Riesgos de Gestión'!$AH$22="Mayor"),CONCATENATE("R2C",'Riesgos de Gestión'!$V$22),"")</f>
        <v/>
      </c>
      <c r="AF7" s="36" t="str">
        <f>IF(AND('Riesgos de Gestión'!$AF$23="Muy Alta",'Riesgos de Gestión'!$AH$23="Mayor"),CONCATENATE("R2C",'Riesgos de Gestión'!$V$23),"")</f>
        <v/>
      </c>
      <c r="AG7" s="37" t="str">
        <f>IF(AND('Riesgos de Gestión'!$AF$24="Muy Alta",'Riesgos de Gestión'!$AH$24="Mayor"),CONCATENATE("R2C",'Riesgos de Gestión'!$V$24),"")</f>
        <v/>
      </c>
      <c r="AH7" s="38" t="str">
        <f>IF(AND('Riesgos de Gestión'!$AF$19="Muy Alta",'Riesgos de Gestión'!$AH$19="Catastrófico"),CONCATENATE("R2C",'Riesgos de Gestión'!$V$19),"")</f>
        <v/>
      </c>
      <c r="AI7" s="39" t="str">
        <f>IF(AND('Riesgos de Gestión'!$AF$20="Muy Alta",'Riesgos de Gestión'!$AH$20="Catastrófico"),CONCATENATE("R2C",'Riesgos de Gestión'!$V$20),"")</f>
        <v/>
      </c>
      <c r="AJ7" s="39" t="str">
        <f>IF(AND('Riesgos de Gestión'!$AF$21="Muy Alta",'Riesgos de Gestión'!$AH$21="Catastrófico"),CONCATENATE("R2C",'Riesgos de Gestión'!$V$21),"")</f>
        <v/>
      </c>
      <c r="AK7" s="39" t="str">
        <f>IF(AND('Riesgos de Gestión'!$AF$22="Muy Alta",'Riesgos de Gestión'!$AH$22="Catastrófico"),CONCATENATE("R2C",'Riesgos de Gestión'!$V$22),"")</f>
        <v/>
      </c>
      <c r="AL7" s="39" t="str">
        <f>IF(AND('Riesgos de Gestión'!$AF$23="Muy Alta",'Riesgos de Gestión'!$AH$23="Catastrófico"),CONCATENATE("R2C",'Riesgos de Gestión'!$V$23),"")</f>
        <v/>
      </c>
      <c r="AM7" s="40" t="str">
        <f>IF(AND('Riesgos de Gestión'!$AF$24="Muy Alta",'Riesgos de Gestión'!$AH$24="Catastrófico"),CONCATENATE("R2C",'Riesgos de Gestión'!$V$24),"")</f>
        <v/>
      </c>
      <c r="AN7" s="66"/>
      <c r="AO7" s="497"/>
      <c r="AP7" s="498"/>
      <c r="AQ7" s="498"/>
      <c r="AR7" s="498"/>
      <c r="AS7" s="498"/>
      <c r="AT7" s="499"/>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436"/>
      <c r="C8" s="436"/>
      <c r="D8" s="437"/>
      <c r="E8" s="477"/>
      <c r="F8" s="478"/>
      <c r="G8" s="478"/>
      <c r="H8" s="478"/>
      <c r="I8" s="479"/>
      <c r="J8" s="35" t="str">
        <f>IF(AND('Riesgos de Gestión'!$AF$25="Muy Alta",'Riesgos de Gestión'!$AH$25="Leve"),CONCATENATE("R3C",'Riesgos de Gestión'!$V$25),"")</f>
        <v/>
      </c>
      <c r="K8" s="36" t="str">
        <f>IF(AND('Riesgos de Gestión'!$AF$26="Muy Alta",'Riesgos de Gestión'!$AH$26="Leve"),CONCATENATE("R3C",'Riesgos de Gestión'!$V$26),"")</f>
        <v/>
      </c>
      <c r="L8" s="36" t="str">
        <f>IF(AND('Riesgos de Gestión'!$AF$27="Muy Alta",'Riesgos de Gestión'!$AH$27="Leve"),CONCATENATE("R3C",'Riesgos de Gestión'!$V$27),"")</f>
        <v/>
      </c>
      <c r="M8" s="36" t="str">
        <f>IF(AND('Riesgos de Gestión'!$AF$28="Muy Alta",'Riesgos de Gestión'!$AH$28="Leve"),CONCATENATE("R3C",'Riesgos de Gestión'!$V$28),"")</f>
        <v/>
      </c>
      <c r="N8" s="36" t="str">
        <f>IF(AND('Riesgos de Gestión'!$AF$29="Muy Alta",'Riesgos de Gestión'!$AH$29="Leve"),CONCATENATE("R3C",'Riesgos de Gestión'!$V$29),"")</f>
        <v/>
      </c>
      <c r="O8" s="37" t="str">
        <f>IF(AND('Riesgos de Gestión'!$AF$30="Muy Alta",'Riesgos de Gestión'!$AH$30="Leve"),CONCATENATE("R3C",'Riesgos de Gestión'!$V$30),"")</f>
        <v/>
      </c>
      <c r="P8" s="35" t="str">
        <f>IF(AND('Riesgos de Gestión'!$AF$25="Muy Alta",'Riesgos de Gestión'!$AH$25="Menor"),CONCATENATE("R3C",'Riesgos de Gestión'!$V$25),"")</f>
        <v/>
      </c>
      <c r="Q8" s="36" t="str">
        <f>IF(AND('Riesgos de Gestión'!$AF$26="Muy Alta",'Riesgos de Gestión'!$AH$26="Menor"),CONCATENATE("R3C",'Riesgos de Gestión'!$V$26),"")</f>
        <v/>
      </c>
      <c r="R8" s="36" t="str">
        <f>IF(AND('Riesgos de Gestión'!$AF$27="Muy Alta",'Riesgos de Gestión'!$AH$27="Menor"),CONCATENATE("R3C",'Riesgos de Gestión'!$V$27),"")</f>
        <v/>
      </c>
      <c r="S8" s="36" t="str">
        <f>IF(AND('Riesgos de Gestión'!$AF$28="Muy Alta",'Riesgos de Gestión'!$AH$28="Menor"),CONCATENATE("R3C",'Riesgos de Gestión'!$V$28),"")</f>
        <v/>
      </c>
      <c r="T8" s="36" t="str">
        <f>IF(AND('Riesgos de Gestión'!$AF$29="Muy Alta",'Riesgos de Gestión'!$AH$29="Menor"),CONCATENATE("R3C",'Riesgos de Gestión'!$V$29),"")</f>
        <v/>
      </c>
      <c r="U8" s="37" t="str">
        <f>IF(AND('Riesgos de Gestión'!$AF$30="Muy Alta",'Riesgos de Gestión'!$AH$30="Menor"),CONCATENATE("R3C",'Riesgos de Gestión'!$V$30),"")</f>
        <v/>
      </c>
      <c r="V8" s="35" t="str">
        <f>IF(AND('Riesgos de Gestión'!$AF$25="Muy Alta",'Riesgos de Gestión'!$AH$25="Moderado"),CONCATENATE("R3C",'Riesgos de Gestión'!$V$25),"")</f>
        <v/>
      </c>
      <c r="W8" s="36" t="str">
        <f>IF(AND('Riesgos de Gestión'!$AF$26="Muy Alta",'Riesgos de Gestión'!$AH$26="Moderado"),CONCATENATE("R3C",'Riesgos de Gestión'!$V$26),"")</f>
        <v/>
      </c>
      <c r="X8" s="36" t="str">
        <f>IF(AND('Riesgos de Gestión'!$AF$27="Muy Alta",'Riesgos de Gestión'!$AH$27="Moderado"),CONCATENATE("R3C",'Riesgos de Gestión'!$V$27),"")</f>
        <v/>
      </c>
      <c r="Y8" s="36" t="str">
        <f>IF(AND('Riesgos de Gestión'!$AF$28="Muy Alta",'Riesgos de Gestión'!$AH$28="Moderado"),CONCATENATE("R3C",'Riesgos de Gestión'!$V$28),"")</f>
        <v/>
      </c>
      <c r="Z8" s="36" t="str">
        <f>IF(AND('Riesgos de Gestión'!$AF$29="Muy Alta",'Riesgos de Gestión'!$AH$29="Moderado"),CONCATENATE("R3C",'Riesgos de Gestión'!$V$29),"")</f>
        <v/>
      </c>
      <c r="AA8" s="37" t="str">
        <f>IF(AND('Riesgos de Gestión'!$AF$30="Muy Alta",'Riesgos de Gestión'!$AH$30="Moderado"),CONCATENATE("R3C",'Riesgos de Gestión'!$V$30),"")</f>
        <v/>
      </c>
      <c r="AB8" s="35" t="str">
        <f>IF(AND('Riesgos de Gestión'!$AF$25="Muy Alta",'Riesgos de Gestión'!$AH$25="Mayor"),CONCATENATE("R3C",'Riesgos de Gestión'!$V$25),"")</f>
        <v/>
      </c>
      <c r="AC8" s="36" t="str">
        <f>IF(AND('Riesgos de Gestión'!$AF$26="Muy Alta",'Riesgos de Gestión'!$AH$26="Mayor"),CONCATENATE("R3C",'Riesgos de Gestión'!$V$26),"")</f>
        <v/>
      </c>
      <c r="AD8" s="36" t="str">
        <f>IF(AND('Riesgos de Gestión'!$AF$27="Muy Alta",'Riesgos de Gestión'!$AH$27="Mayor"),CONCATENATE("R3C",'Riesgos de Gestión'!$V$27),"")</f>
        <v/>
      </c>
      <c r="AE8" s="36" t="str">
        <f>IF(AND('Riesgos de Gestión'!$AF$28="Muy Alta",'Riesgos de Gestión'!$AH$28="Mayor"),CONCATENATE("R3C",'Riesgos de Gestión'!$V$28),"")</f>
        <v/>
      </c>
      <c r="AF8" s="36" t="str">
        <f>IF(AND('Riesgos de Gestión'!$AF$29="Muy Alta",'Riesgos de Gestión'!$AH$29="Mayor"),CONCATENATE("R3C",'Riesgos de Gestión'!$V$29),"")</f>
        <v/>
      </c>
      <c r="AG8" s="37" t="str">
        <f>IF(AND('Riesgos de Gestión'!$AF$30="Muy Alta",'Riesgos de Gestión'!$AH$30="Mayor"),CONCATENATE("R3C",'Riesgos de Gestión'!$V$30),"")</f>
        <v/>
      </c>
      <c r="AH8" s="38" t="str">
        <f>IF(AND('Riesgos de Gestión'!$AF$25="Muy Alta",'Riesgos de Gestión'!$AH$25="Catastrófico"),CONCATENATE("R3C",'Riesgos de Gestión'!$V$25),"")</f>
        <v/>
      </c>
      <c r="AI8" s="39" t="str">
        <f>IF(AND('Riesgos de Gestión'!$AF$26="Muy Alta",'Riesgos de Gestión'!$AH$26="Catastrófico"),CONCATENATE("R3C",'Riesgos de Gestión'!$V$26),"")</f>
        <v/>
      </c>
      <c r="AJ8" s="39" t="str">
        <f>IF(AND('Riesgos de Gestión'!$AF$27="Muy Alta",'Riesgos de Gestión'!$AH$27="Catastrófico"),CONCATENATE("R3C",'Riesgos de Gestión'!$V$27),"")</f>
        <v/>
      </c>
      <c r="AK8" s="39" t="str">
        <f>IF(AND('Riesgos de Gestión'!$AF$28="Muy Alta",'Riesgos de Gestión'!$AH$28="Catastrófico"),CONCATENATE("R3C",'Riesgos de Gestión'!$V$28),"")</f>
        <v/>
      </c>
      <c r="AL8" s="39" t="str">
        <f>IF(AND('Riesgos de Gestión'!$AF$29="Muy Alta",'Riesgos de Gestión'!$AH$29="Catastrófico"),CONCATENATE("R3C",'Riesgos de Gestión'!$V$29),"")</f>
        <v/>
      </c>
      <c r="AM8" s="40" t="str">
        <f>IF(AND('Riesgos de Gestión'!$AF$30="Muy Alta",'Riesgos de Gestión'!$AH$30="Catastrófico"),CONCATENATE("R3C",'Riesgos de Gestión'!$V$30),"")</f>
        <v/>
      </c>
      <c r="AN8" s="66"/>
      <c r="AO8" s="497"/>
      <c r="AP8" s="498"/>
      <c r="AQ8" s="498"/>
      <c r="AR8" s="498"/>
      <c r="AS8" s="498"/>
      <c r="AT8" s="499"/>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436"/>
      <c r="C9" s="436"/>
      <c r="D9" s="437"/>
      <c r="E9" s="477"/>
      <c r="F9" s="478"/>
      <c r="G9" s="478"/>
      <c r="H9" s="478"/>
      <c r="I9" s="479"/>
      <c r="J9" s="35" t="str">
        <f>IF(AND('Riesgos de Gestión'!$AF$31="Muy Alta",'Riesgos de Gestión'!$AH$31="Leve"),CONCATENATE("R4C",'Riesgos de Gestión'!$V$31),"")</f>
        <v/>
      </c>
      <c r="K9" s="36" t="str">
        <f>IF(AND('Riesgos de Gestión'!$AF$32="Muy Alta",'Riesgos de Gestión'!$AH$32="Leve"),CONCATENATE("R4C",'Riesgos de Gestión'!$V$32),"")</f>
        <v/>
      </c>
      <c r="L9" s="36" t="str">
        <f>IF(AND('Riesgos de Gestión'!$AF$33="Muy Alta",'Riesgos de Gestión'!$AH$33="Leve"),CONCATENATE("R4C",'Riesgos de Gestión'!$V$33),"")</f>
        <v/>
      </c>
      <c r="M9" s="36" t="str">
        <f>IF(AND('Riesgos de Gestión'!$AF$34="Muy Alta",'Riesgos de Gestión'!$AH$34="Leve"),CONCATENATE("R4C",'Riesgos de Gestión'!$V$34),"")</f>
        <v/>
      </c>
      <c r="N9" s="36" t="str">
        <f>IF(AND('Riesgos de Gestión'!$AF$35="Muy Alta",'Riesgos de Gestión'!$AH$35="Leve"),CONCATENATE("R4C",'Riesgos de Gestión'!$V$35),"")</f>
        <v/>
      </c>
      <c r="O9" s="37" t="str">
        <f>IF(AND('Riesgos de Gestión'!$AF$36="Muy Alta",'Riesgos de Gestión'!$AH$36="Leve"),CONCATENATE("R4C",'Riesgos de Gestión'!$V$36),"")</f>
        <v/>
      </c>
      <c r="P9" s="35" t="str">
        <f>IF(AND('Riesgos de Gestión'!$AF$31="Muy Alta",'Riesgos de Gestión'!$AH$31="Menor"),CONCATENATE("R4C",'Riesgos de Gestión'!$V$31),"")</f>
        <v/>
      </c>
      <c r="Q9" s="36" t="str">
        <f>IF(AND('Riesgos de Gestión'!$AF$32="Muy Alta",'Riesgos de Gestión'!$AH$32="Menor"),CONCATENATE("R4C",'Riesgos de Gestión'!$V$32),"")</f>
        <v/>
      </c>
      <c r="R9" s="36" t="str">
        <f>IF(AND('Riesgos de Gestión'!$AF$33="Muy Alta",'Riesgos de Gestión'!$AH$33="Menor"),CONCATENATE("R4C",'Riesgos de Gestión'!$V$33),"")</f>
        <v/>
      </c>
      <c r="S9" s="36" t="str">
        <f>IF(AND('Riesgos de Gestión'!$AF$34="Muy Alta",'Riesgos de Gestión'!$AH$34="Menor"),CONCATENATE("R4C",'Riesgos de Gestión'!$V$34),"")</f>
        <v/>
      </c>
      <c r="T9" s="36" t="str">
        <f>IF(AND('Riesgos de Gestión'!$AF$35="Muy Alta",'Riesgos de Gestión'!$AH$35="Menor"),CONCATENATE("R4C",'Riesgos de Gestión'!$V$35),"")</f>
        <v/>
      </c>
      <c r="U9" s="37" t="str">
        <f>IF(AND('Riesgos de Gestión'!$AF$36="Muy Alta",'Riesgos de Gestión'!$AH$36="Menor"),CONCATENATE("R4C",'Riesgos de Gestión'!$V$36),"")</f>
        <v/>
      </c>
      <c r="V9" s="35" t="str">
        <f>IF(AND('Riesgos de Gestión'!$AF$31="Muy Alta",'Riesgos de Gestión'!$AH$31="Moderado"),CONCATENATE("R4C",'Riesgos de Gestión'!$V$31),"")</f>
        <v/>
      </c>
      <c r="W9" s="36" t="str">
        <f>IF(AND('Riesgos de Gestión'!$AF$32="Muy Alta",'Riesgos de Gestión'!$AH$32="Moderado"),CONCATENATE("R4C",'Riesgos de Gestión'!$V$32),"")</f>
        <v/>
      </c>
      <c r="X9" s="36" t="str">
        <f>IF(AND('Riesgos de Gestión'!$AF$33="Muy Alta",'Riesgos de Gestión'!$AH$33="Moderado"),CONCATENATE("R4C",'Riesgos de Gestión'!$V$33),"")</f>
        <v/>
      </c>
      <c r="Y9" s="36" t="str">
        <f>IF(AND('Riesgos de Gestión'!$AF$34="Muy Alta",'Riesgos de Gestión'!$AH$34="Moderado"),CONCATENATE("R4C",'Riesgos de Gestión'!$V$34),"")</f>
        <v/>
      </c>
      <c r="Z9" s="36" t="str">
        <f>IF(AND('Riesgos de Gestión'!$AF$35="Muy Alta",'Riesgos de Gestión'!$AH$35="Moderado"),CONCATENATE("R4C",'Riesgos de Gestión'!$V$35),"")</f>
        <v/>
      </c>
      <c r="AA9" s="37" t="str">
        <f>IF(AND('Riesgos de Gestión'!$AF$36="Muy Alta",'Riesgos de Gestión'!$AH$36="Moderado"),CONCATENATE("R4C",'Riesgos de Gestión'!$V$36),"")</f>
        <v/>
      </c>
      <c r="AB9" s="35" t="str">
        <f>IF(AND('Riesgos de Gestión'!$AF$31="Muy Alta",'Riesgos de Gestión'!$AH$31="Mayor"),CONCATENATE("R4C",'Riesgos de Gestión'!$V$31),"")</f>
        <v/>
      </c>
      <c r="AC9" s="36" t="str">
        <f>IF(AND('Riesgos de Gestión'!$AF$32="Muy Alta",'Riesgos de Gestión'!$AH$32="Mayor"),CONCATENATE("R4C",'Riesgos de Gestión'!$V$32),"")</f>
        <v/>
      </c>
      <c r="AD9" s="36" t="str">
        <f>IF(AND('Riesgos de Gestión'!$AF$33="Muy Alta",'Riesgos de Gestión'!$AH$33="Mayor"),CONCATENATE("R4C",'Riesgos de Gestión'!$V$33),"")</f>
        <v/>
      </c>
      <c r="AE9" s="36" t="str">
        <f>IF(AND('Riesgos de Gestión'!$AF$34="Muy Alta",'Riesgos de Gestión'!$AH$34="Mayor"),CONCATENATE("R4C",'Riesgos de Gestión'!$V$34),"")</f>
        <v/>
      </c>
      <c r="AF9" s="36" t="str">
        <f>IF(AND('Riesgos de Gestión'!$AF$35="Muy Alta",'Riesgos de Gestión'!$AH$35="Mayor"),CONCATENATE("R4C",'Riesgos de Gestión'!$V$35),"")</f>
        <v/>
      </c>
      <c r="AG9" s="37" t="str">
        <f>IF(AND('Riesgos de Gestión'!$AF$36="Muy Alta",'Riesgos de Gestión'!$AH$36="Mayor"),CONCATENATE("R4C",'Riesgos de Gestión'!$V$36),"")</f>
        <v/>
      </c>
      <c r="AH9" s="38" t="str">
        <f>IF(AND('Riesgos de Gestión'!$AF$31="Muy Alta",'Riesgos de Gestión'!$AH$31="Catastrófico"),CONCATENATE("R4C",'Riesgos de Gestión'!$V$31),"")</f>
        <v/>
      </c>
      <c r="AI9" s="39" t="str">
        <f>IF(AND('Riesgos de Gestión'!$AF$32="Muy Alta",'Riesgos de Gestión'!$AH$32="Catastrófico"),CONCATENATE("R4C",'Riesgos de Gestión'!$V$32),"")</f>
        <v/>
      </c>
      <c r="AJ9" s="39" t="str">
        <f>IF(AND('Riesgos de Gestión'!$AF$33="Muy Alta",'Riesgos de Gestión'!$AH$33="Catastrófico"),CONCATENATE("R4C",'Riesgos de Gestión'!$V$33),"")</f>
        <v/>
      </c>
      <c r="AK9" s="39" t="str">
        <f>IF(AND('Riesgos de Gestión'!$AF$34="Muy Alta",'Riesgos de Gestión'!$AH$34="Catastrófico"),CONCATENATE("R4C",'Riesgos de Gestión'!$V$34),"")</f>
        <v/>
      </c>
      <c r="AL9" s="39" t="str">
        <f>IF(AND('Riesgos de Gestión'!$AF$35="Muy Alta",'Riesgos de Gestión'!$AH$35="Catastrófico"),CONCATENATE("R4C",'Riesgos de Gestión'!$V$35),"")</f>
        <v/>
      </c>
      <c r="AM9" s="40" t="str">
        <f>IF(AND('Riesgos de Gestión'!$AF$36="Muy Alta",'Riesgos de Gestión'!$AH$36="Catastrófico"),CONCATENATE("R4C",'Riesgos de Gestión'!$V$36),"")</f>
        <v/>
      </c>
      <c r="AN9" s="66"/>
      <c r="AO9" s="497"/>
      <c r="AP9" s="498"/>
      <c r="AQ9" s="498"/>
      <c r="AR9" s="498"/>
      <c r="AS9" s="498"/>
      <c r="AT9" s="499"/>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436"/>
      <c r="C10" s="436"/>
      <c r="D10" s="437"/>
      <c r="E10" s="477"/>
      <c r="F10" s="478"/>
      <c r="G10" s="478"/>
      <c r="H10" s="478"/>
      <c r="I10" s="479"/>
      <c r="J10" s="35" t="str">
        <f>IF(AND('Riesgos de Gestión'!$AF$37="Muy Alta",'Riesgos de Gestión'!$AH$37="Leve"),CONCATENATE("R5C",'Riesgos de Gestión'!$V$37),"")</f>
        <v/>
      </c>
      <c r="K10" s="36" t="str">
        <f>IF(AND('Riesgos de Gestión'!$AF$38="Muy Alta",'Riesgos de Gestión'!$AH$38="Leve"),CONCATENATE("R5C",'Riesgos de Gestión'!$V$38),"")</f>
        <v/>
      </c>
      <c r="L10" s="36" t="str">
        <f>IF(AND('Riesgos de Gestión'!$AF$39="Muy Alta",'Riesgos de Gestión'!$AH$39="Leve"),CONCATENATE("R5C",'Riesgos de Gestión'!$V$39),"")</f>
        <v/>
      </c>
      <c r="M10" s="36" t="str">
        <f>IF(AND('Riesgos de Gestión'!$AF$40="Muy Alta",'Riesgos de Gestión'!$AH$40="Leve"),CONCATENATE("R5C",'Riesgos de Gestión'!$V$40),"")</f>
        <v/>
      </c>
      <c r="N10" s="36" t="str">
        <f>IF(AND('Riesgos de Gestión'!$AF$41="Muy Alta",'Riesgos de Gestión'!$AH$41="Leve"),CONCATENATE("R5C",'Riesgos de Gestión'!$V$41),"")</f>
        <v/>
      </c>
      <c r="O10" s="37" t="str">
        <f>IF(AND('Riesgos de Gestión'!$AF$42="Muy Alta",'Riesgos de Gestión'!$AH$42="Leve"),CONCATENATE("R5C",'Riesgos de Gestión'!$V$42),"")</f>
        <v/>
      </c>
      <c r="P10" s="35" t="str">
        <f>IF(AND('Riesgos de Gestión'!$AF$37="Muy Alta",'Riesgos de Gestión'!$AH$37="Menor"),CONCATENATE("R5C",'Riesgos de Gestión'!$V$37),"")</f>
        <v/>
      </c>
      <c r="Q10" s="36" t="str">
        <f>IF(AND('Riesgos de Gestión'!$AF$38="Muy Alta",'Riesgos de Gestión'!$AH$38="Menor"),CONCATENATE("R5C",'Riesgos de Gestión'!$V$38),"")</f>
        <v/>
      </c>
      <c r="R10" s="36" t="str">
        <f>IF(AND('Riesgos de Gestión'!$AF$39="Muy Alta",'Riesgos de Gestión'!$AH$39="Menor"),CONCATENATE("R5C",'Riesgos de Gestión'!$V$39),"")</f>
        <v/>
      </c>
      <c r="S10" s="36" t="str">
        <f>IF(AND('Riesgos de Gestión'!$AF$40="Muy Alta",'Riesgos de Gestión'!$AH$40="Menor"),CONCATENATE("R5C",'Riesgos de Gestión'!$V$40),"")</f>
        <v/>
      </c>
      <c r="T10" s="36" t="str">
        <f>IF(AND('Riesgos de Gestión'!$AF$41="Muy Alta",'Riesgos de Gestión'!$AH$41="Menor"),CONCATENATE("R5C",'Riesgos de Gestión'!$V$41),"")</f>
        <v/>
      </c>
      <c r="U10" s="37" t="str">
        <f>IF(AND('Riesgos de Gestión'!$AF$42="Muy Alta",'Riesgos de Gestión'!$AH$42="Menor"),CONCATENATE("R5C",'Riesgos de Gestión'!$V$42),"")</f>
        <v/>
      </c>
      <c r="V10" s="35" t="str">
        <f>IF(AND('Riesgos de Gestión'!$AF$37="Muy Alta",'Riesgos de Gestión'!$AH$37="Moderado"),CONCATENATE("R5C",'Riesgos de Gestión'!$V$37),"")</f>
        <v/>
      </c>
      <c r="W10" s="36" t="str">
        <f>IF(AND('Riesgos de Gestión'!$AF$38="Muy Alta",'Riesgos de Gestión'!$AH$38="Moderado"),CONCATENATE("R5C",'Riesgos de Gestión'!$V$38),"")</f>
        <v/>
      </c>
      <c r="X10" s="36" t="str">
        <f>IF(AND('Riesgos de Gestión'!$AF$39="Muy Alta",'Riesgos de Gestión'!$AH$39="Moderado"),CONCATENATE("R5C",'Riesgos de Gestión'!$V$39),"")</f>
        <v/>
      </c>
      <c r="Y10" s="36" t="str">
        <f>IF(AND('Riesgos de Gestión'!$AF$40="Muy Alta",'Riesgos de Gestión'!$AH$40="Moderado"),CONCATENATE("R5C",'Riesgos de Gestión'!$V$40),"")</f>
        <v/>
      </c>
      <c r="Z10" s="36" t="str">
        <f>IF(AND('Riesgos de Gestión'!$AF$41="Muy Alta",'Riesgos de Gestión'!$AH$41="Moderado"),CONCATENATE("R5C",'Riesgos de Gestión'!$V$41),"")</f>
        <v/>
      </c>
      <c r="AA10" s="37" t="str">
        <f>IF(AND('Riesgos de Gestión'!$AF$42="Muy Alta",'Riesgos de Gestión'!$AH$42="Moderado"),CONCATENATE("R5C",'Riesgos de Gestión'!$V$42),"")</f>
        <v/>
      </c>
      <c r="AB10" s="35" t="str">
        <f>IF(AND('Riesgos de Gestión'!$AF$37="Muy Alta",'Riesgos de Gestión'!$AH$37="Mayor"),CONCATENATE("R5C",'Riesgos de Gestión'!$V$37),"")</f>
        <v/>
      </c>
      <c r="AC10" s="36" t="str">
        <f>IF(AND('Riesgos de Gestión'!$AF$38="Muy Alta",'Riesgos de Gestión'!$AH$38="Mayor"),CONCATENATE("R5C",'Riesgos de Gestión'!$V$38),"")</f>
        <v/>
      </c>
      <c r="AD10" s="36" t="str">
        <f>IF(AND('Riesgos de Gestión'!$AF$39="Muy Alta",'Riesgos de Gestión'!$AH$39="Mayor"),CONCATENATE("R5C",'Riesgos de Gestión'!$V$39),"")</f>
        <v/>
      </c>
      <c r="AE10" s="36" t="str">
        <f>IF(AND('Riesgos de Gestión'!$AF$40="Muy Alta",'Riesgos de Gestión'!$AH$40="Mayor"),CONCATENATE("R5C",'Riesgos de Gestión'!$V$40),"")</f>
        <v/>
      </c>
      <c r="AF10" s="36" t="str">
        <f>IF(AND('Riesgos de Gestión'!$AF$41="Muy Alta",'Riesgos de Gestión'!$AH$41="Mayor"),CONCATENATE("R5C",'Riesgos de Gestión'!$V$41),"")</f>
        <v/>
      </c>
      <c r="AG10" s="37" t="str">
        <f>IF(AND('Riesgos de Gestión'!$AF$42="Muy Alta",'Riesgos de Gestión'!$AH$42="Mayor"),CONCATENATE("R5C",'Riesgos de Gestión'!$V$42),"")</f>
        <v/>
      </c>
      <c r="AH10" s="38" t="str">
        <f>IF(AND('Riesgos de Gestión'!$AF$37="Muy Alta",'Riesgos de Gestión'!$AH$37="Catastrófico"),CONCATENATE("R5C",'Riesgos de Gestión'!$V$37),"")</f>
        <v/>
      </c>
      <c r="AI10" s="39" t="str">
        <f>IF(AND('Riesgos de Gestión'!$AF$38="Muy Alta",'Riesgos de Gestión'!$AH$38="Catastrófico"),CONCATENATE("R5C",'Riesgos de Gestión'!$V$38),"")</f>
        <v/>
      </c>
      <c r="AJ10" s="39" t="str">
        <f>IF(AND('Riesgos de Gestión'!$AF$39="Muy Alta",'Riesgos de Gestión'!$AH$39="Catastrófico"),CONCATENATE("R5C",'Riesgos de Gestión'!$V$39),"")</f>
        <v/>
      </c>
      <c r="AK10" s="39" t="str">
        <f>IF(AND('Riesgos de Gestión'!$AF$40="Muy Alta",'Riesgos de Gestión'!$AH$40="Catastrófico"),CONCATENATE("R5C",'Riesgos de Gestión'!$V$40),"")</f>
        <v/>
      </c>
      <c r="AL10" s="39" t="str">
        <f>IF(AND('Riesgos de Gestión'!$AF$41="Muy Alta",'Riesgos de Gestión'!$AH$41="Catastrófico"),CONCATENATE("R5C",'Riesgos de Gestión'!$V$41),"")</f>
        <v/>
      </c>
      <c r="AM10" s="40" t="str">
        <f>IF(AND('Riesgos de Gestión'!$AF$42="Muy Alta",'Riesgos de Gestión'!$AH$42="Catastrófico"),CONCATENATE("R5C",'Riesgos de Gestión'!$V$42),"")</f>
        <v/>
      </c>
      <c r="AN10" s="66"/>
      <c r="AO10" s="497"/>
      <c r="AP10" s="498"/>
      <c r="AQ10" s="498"/>
      <c r="AR10" s="498"/>
      <c r="AS10" s="498"/>
      <c r="AT10" s="499"/>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436"/>
      <c r="C11" s="436"/>
      <c r="D11" s="437"/>
      <c r="E11" s="477"/>
      <c r="F11" s="478"/>
      <c r="G11" s="478"/>
      <c r="H11" s="478"/>
      <c r="I11" s="479"/>
      <c r="J11" s="35" t="str">
        <f>IF(AND('Riesgos de Gestión'!$AF$43="Muy Alta",'Riesgos de Gestión'!$AH$43="Leve"),CONCATENATE("R6C",'Riesgos de Gestión'!$V$43),"")</f>
        <v/>
      </c>
      <c r="K11" s="36" t="str">
        <f>IF(AND('Riesgos de Gestión'!$AF$44="Muy Alta",'Riesgos de Gestión'!$AH$44="Leve"),CONCATENATE("R6C",'Riesgos de Gestión'!$V$44),"")</f>
        <v/>
      </c>
      <c r="L11" s="36" t="str">
        <f>IF(AND('Riesgos de Gestión'!$AF$45="Muy Alta",'Riesgos de Gestión'!$AH$45="Leve"),CONCATENATE("R6C",'Riesgos de Gestión'!$V$45),"")</f>
        <v/>
      </c>
      <c r="M11" s="36" t="str">
        <f>IF(AND('Riesgos de Gestión'!$AF$46="Muy Alta",'Riesgos de Gestión'!$AH$46="Leve"),CONCATENATE("R6C",'Riesgos de Gestión'!$V$46),"")</f>
        <v/>
      </c>
      <c r="N11" s="36" t="str">
        <f>IF(AND('Riesgos de Gestión'!$AF$47="Muy Alta",'Riesgos de Gestión'!$AH$47="Leve"),CONCATENATE("R6C",'Riesgos de Gestión'!$V$47),"")</f>
        <v/>
      </c>
      <c r="O11" s="37" t="str">
        <f>IF(AND('Riesgos de Gestión'!$AF$48="Muy Alta",'Riesgos de Gestión'!$AH$48="Leve"),CONCATENATE("R6C",'Riesgos de Gestión'!$V$48),"")</f>
        <v/>
      </c>
      <c r="P11" s="35" t="str">
        <f>IF(AND('Riesgos de Gestión'!$AF$43="Muy Alta",'Riesgos de Gestión'!$AH$43="Menor"),CONCATENATE("R6C",'Riesgos de Gestión'!$V$43),"")</f>
        <v/>
      </c>
      <c r="Q11" s="36" t="str">
        <f>IF(AND('Riesgos de Gestión'!$AF$44="Muy Alta",'Riesgos de Gestión'!$AH$44="Menor"),CONCATENATE("R6C",'Riesgos de Gestión'!$V$44),"")</f>
        <v/>
      </c>
      <c r="R11" s="36" t="str">
        <f>IF(AND('Riesgos de Gestión'!$AF$45="Muy Alta",'Riesgos de Gestión'!$AH$45="Menor"),CONCATENATE("R6C",'Riesgos de Gestión'!$V$45),"")</f>
        <v/>
      </c>
      <c r="S11" s="36" t="str">
        <f>IF(AND('Riesgos de Gestión'!$AF$46="Muy Alta",'Riesgos de Gestión'!$AH$46="Menor"),CONCATENATE("R6C",'Riesgos de Gestión'!$V$46),"")</f>
        <v/>
      </c>
      <c r="T11" s="36" t="str">
        <f>IF(AND('Riesgos de Gestión'!$AF$47="Muy Alta",'Riesgos de Gestión'!$AH$47="Menor"),CONCATENATE("R6C",'Riesgos de Gestión'!$V$47),"")</f>
        <v/>
      </c>
      <c r="U11" s="37" t="str">
        <f>IF(AND('Riesgos de Gestión'!$AF$48="Muy Alta",'Riesgos de Gestión'!$AH$48="Menor"),CONCATENATE("R6C",'Riesgos de Gestión'!$V$48),"")</f>
        <v/>
      </c>
      <c r="V11" s="35" t="str">
        <f>IF(AND('Riesgos de Gestión'!$AF$43="Muy Alta",'Riesgos de Gestión'!$AH$43="Moderado"),CONCATENATE("R6C",'Riesgos de Gestión'!$V$43),"")</f>
        <v/>
      </c>
      <c r="W11" s="36" t="str">
        <f>IF(AND('Riesgos de Gestión'!$AF$44="Muy Alta",'Riesgos de Gestión'!$AH$44="Moderado"),CONCATENATE("R6C",'Riesgos de Gestión'!$V$44),"")</f>
        <v/>
      </c>
      <c r="X11" s="36" t="str">
        <f>IF(AND('Riesgos de Gestión'!$AF$45="Muy Alta",'Riesgos de Gestión'!$AH$45="Moderado"),CONCATENATE("R6C",'Riesgos de Gestión'!$V$45),"")</f>
        <v/>
      </c>
      <c r="Y11" s="36" t="str">
        <f>IF(AND('Riesgos de Gestión'!$AF$46="Muy Alta",'Riesgos de Gestión'!$AH$46="Moderado"),CONCATENATE("R6C",'Riesgos de Gestión'!$V$46),"")</f>
        <v/>
      </c>
      <c r="Z11" s="36" t="str">
        <f>IF(AND('Riesgos de Gestión'!$AF$47="Muy Alta",'Riesgos de Gestión'!$AH$47="Moderado"),CONCATENATE("R6C",'Riesgos de Gestión'!$V$47),"")</f>
        <v/>
      </c>
      <c r="AA11" s="37" t="str">
        <f>IF(AND('Riesgos de Gestión'!$AF$48="Muy Alta",'Riesgos de Gestión'!$AH$48="Moderado"),CONCATENATE("R6C",'Riesgos de Gestión'!$V$48),"")</f>
        <v/>
      </c>
      <c r="AB11" s="35" t="str">
        <f>IF(AND('Riesgos de Gestión'!$AF$43="Muy Alta",'Riesgos de Gestión'!$AH$43="Mayor"),CONCATENATE("R6C",'Riesgos de Gestión'!$V$43),"")</f>
        <v/>
      </c>
      <c r="AC11" s="36" t="str">
        <f>IF(AND('Riesgos de Gestión'!$AF$44="Muy Alta",'Riesgos de Gestión'!$AH$44="Mayor"),CONCATENATE("R6C",'Riesgos de Gestión'!$V$44),"")</f>
        <v/>
      </c>
      <c r="AD11" s="36" t="str">
        <f>IF(AND('Riesgos de Gestión'!$AF$45="Muy Alta",'Riesgos de Gestión'!$AH$45="Mayor"),CONCATENATE("R6C",'Riesgos de Gestión'!$V$45),"")</f>
        <v/>
      </c>
      <c r="AE11" s="36" t="str">
        <f>IF(AND('Riesgos de Gestión'!$AF$46="Muy Alta",'Riesgos de Gestión'!$AH$46="Mayor"),CONCATENATE("R6C",'Riesgos de Gestión'!$V$46),"")</f>
        <v/>
      </c>
      <c r="AF11" s="36" t="str">
        <f>IF(AND('Riesgos de Gestión'!$AF$47="Muy Alta",'Riesgos de Gestión'!$AH$47="Mayor"),CONCATENATE("R6C",'Riesgos de Gestión'!$V$47),"")</f>
        <v/>
      </c>
      <c r="AG11" s="37" t="str">
        <f>IF(AND('Riesgos de Gestión'!$AF$48="Muy Alta",'Riesgos de Gestión'!$AH$48="Mayor"),CONCATENATE("R6C",'Riesgos de Gestión'!$V$48),"")</f>
        <v/>
      </c>
      <c r="AH11" s="38" t="str">
        <f>IF(AND('Riesgos de Gestión'!$AF$43="Muy Alta",'Riesgos de Gestión'!$AH$43="Catastrófico"),CONCATENATE("R6C",'Riesgos de Gestión'!$V$43),"")</f>
        <v/>
      </c>
      <c r="AI11" s="39" t="str">
        <f>IF(AND('Riesgos de Gestión'!$AF$44="Muy Alta",'Riesgos de Gestión'!$AH$44="Catastrófico"),CONCATENATE("R6C",'Riesgos de Gestión'!$V$44),"")</f>
        <v/>
      </c>
      <c r="AJ11" s="39" t="str">
        <f>IF(AND('Riesgos de Gestión'!$AF$45="Muy Alta",'Riesgos de Gestión'!$AH$45="Catastrófico"),CONCATENATE("R6C",'Riesgos de Gestión'!$V$45),"")</f>
        <v/>
      </c>
      <c r="AK11" s="39" t="str">
        <f>IF(AND('Riesgos de Gestión'!$AF$46="Muy Alta",'Riesgos de Gestión'!$AH$46="Catastrófico"),CONCATENATE("R6C",'Riesgos de Gestión'!$V$46),"")</f>
        <v/>
      </c>
      <c r="AL11" s="39" t="str">
        <f>IF(AND('Riesgos de Gestión'!$AF$47="Muy Alta",'Riesgos de Gestión'!$AH$47="Catastrófico"),CONCATENATE("R6C",'Riesgos de Gestión'!$V$47),"")</f>
        <v/>
      </c>
      <c r="AM11" s="40" t="str">
        <f>IF(AND('Riesgos de Gestión'!$AF$48="Muy Alta",'Riesgos de Gestión'!$AH$48="Catastrófico"),CONCATENATE("R6C",'Riesgos de Gestión'!$V$48),"")</f>
        <v/>
      </c>
      <c r="AN11" s="66"/>
      <c r="AO11" s="497"/>
      <c r="AP11" s="498"/>
      <c r="AQ11" s="498"/>
      <c r="AR11" s="498"/>
      <c r="AS11" s="498"/>
      <c r="AT11" s="499"/>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436"/>
      <c r="C12" s="436"/>
      <c r="D12" s="437"/>
      <c r="E12" s="477"/>
      <c r="F12" s="478"/>
      <c r="G12" s="478"/>
      <c r="H12" s="478"/>
      <c r="I12" s="479"/>
      <c r="J12" s="35" t="str">
        <f>IF(AND('Riesgos de Gestión'!$AF$49="Muy Alta",'Riesgos de Gestión'!$AH$49="Leve"),CONCATENATE("R7C",'Riesgos de Gestión'!$V$49),"")</f>
        <v/>
      </c>
      <c r="K12" s="36" t="str">
        <f>IF(AND('Riesgos de Gestión'!$AF$50="Muy Alta",'Riesgos de Gestión'!$AH$50="Leve"),CONCATENATE("R7C",'Riesgos de Gestión'!$V$50),"")</f>
        <v/>
      </c>
      <c r="L12" s="36" t="str">
        <f>IF(AND('Riesgos de Gestión'!$AF$51="Muy Alta",'Riesgos de Gestión'!$AH$51="Leve"),CONCATENATE("R7C",'Riesgos de Gestión'!$V$51),"")</f>
        <v/>
      </c>
      <c r="M12" s="36" t="str">
        <f>IF(AND('Riesgos de Gestión'!$AF$52="Muy Alta",'Riesgos de Gestión'!$AH$52="Leve"),CONCATENATE("R7C",'Riesgos de Gestión'!$V$52),"")</f>
        <v/>
      </c>
      <c r="N12" s="36" t="str">
        <f>IF(AND('Riesgos de Gestión'!$AF$53="Muy Alta",'Riesgos de Gestión'!$AH$53="Leve"),CONCATENATE("R7C",'Riesgos de Gestión'!$V$53),"")</f>
        <v/>
      </c>
      <c r="O12" s="37" t="str">
        <f>IF(AND('Riesgos de Gestión'!$AF$54="Muy Alta",'Riesgos de Gestión'!$AH$54="Leve"),CONCATENATE("R7C",'Riesgos de Gestión'!$V$54),"")</f>
        <v/>
      </c>
      <c r="P12" s="35" t="str">
        <f>IF(AND('Riesgos de Gestión'!$AF$49="Muy Alta",'Riesgos de Gestión'!$AH$49="Menor"),CONCATENATE("R7C",'Riesgos de Gestión'!$V$49),"")</f>
        <v/>
      </c>
      <c r="Q12" s="36" t="str">
        <f>IF(AND('Riesgos de Gestión'!$AF$50="Muy Alta",'Riesgos de Gestión'!$AH$50="Menor"),CONCATENATE("R7C",'Riesgos de Gestión'!$V$50),"")</f>
        <v/>
      </c>
      <c r="R12" s="36" t="str">
        <f>IF(AND('Riesgos de Gestión'!$AF$51="Muy Alta",'Riesgos de Gestión'!$AH$51="Menor"),CONCATENATE("R7C",'Riesgos de Gestión'!$V$51),"")</f>
        <v/>
      </c>
      <c r="S12" s="36" t="str">
        <f>IF(AND('Riesgos de Gestión'!$AF$52="Muy Alta",'Riesgos de Gestión'!$AH$52="Menor"),CONCATENATE("R7C",'Riesgos de Gestión'!$V$52),"")</f>
        <v/>
      </c>
      <c r="T12" s="36" t="str">
        <f>IF(AND('Riesgos de Gestión'!$AF$53="Muy Alta",'Riesgos de Gestión'!$AH$53="Menor"),CONCATENATE("R7C",'Riesgos de Gestión'!$V$53),"")</f>
        <v/>
      </c>
      <c r="U12" s="37" t="str">
        <f>IF(AND('Riesgos de Gestión'!$AF$54="Muy Alta",'Riesgos de Gestión'!$AH$54="Menor"),CONCATENATE("R7C",'Riesgos de Gestión'!$V$54),"")</f>
        <v/>
      </c>
      <c r="V12" s="35" t="str">
        <f>IF(AND('Riesgos de Gestión'!$AF$49="Muy Alta",'Riesgos de Gestión'!$AH$49="Moderado"),CONCATENATE("R7C",'Riesgos de Gestión'!$V$49),"")</f>
        <v/>
      </c>
      <c r="W12" s="36" t="str">
        <f>IF(AND('Riesgos de Gestión'!$AF$50="Muy Alta",'Riesgos de Gestión'!$AH$50="Moderado"),CONCATENATE("R7C",'Riesgos de Gestión'!$V$50),"")</f>
        <v/>
      </c>
      <c r="X12" s="36" t="str">
        <f>IF(AND('Riesgos de Gestión'!$AF$51="Muy Alta",'Riesgos de Gestión'!$AH$51="Moderado"),CONCATENATE("R7C",'Riesgos de Gestión'!$V$51),"")</f>
        <v/>
      </c>
      <c r="Y12" s="36" t="str">
        <f>IF(AND('Riesgos de Gestión'!$AF$52="Muy Alta",'Riesgos de Gestión'!$AH$52="Moderado"),CONCATENATE("R7C",'Riesgos de Gestión'!$V$52),"")</f>
        <v/>
      </c>
      <c r="Z12" s="36" t="str">
        <f>IF(AND('Riesgos de Gestión'!$AF$53="Muy Alta",'Riesgos de Gestión'!$AH$53="Moderado"),CONCATENATE("R7C",'Riesgos de Gestión'!$V$53),"")</f>
        <v/>
      </c>
      <c r="AA12" s="37" t="str">
        <f>IF(AND('Riesgos de Gestión'!$AF$54="Muy Alta",'Riesgos de Gestión'!$AH$54="Moderado"),CONCATENATE("R7C",'Riesgos de Gestión'!$V$54),"")</f>
        <v/>
      </c>
      <c r="AB12" s="35" t="str">
        <f>IF(AND('Riesgos de Gestión'!$AF$49="Muy Alta",'Riesgos de Gestión'!$AH$49="Mayor"),CONCATENATE("R7C",'Riesgos de Gestión'!$V$49),"")</f>
        <v/>
      </c>
      <c r="AC12" s="36" t="str">
        <f>IF(AND('Riesgos de Gestión'!$AF$50="Muy Alta",'Riesgos de Gestión'!$AH$50="Mayor"),CONCATENATE("R7C",'Riesgos de Gestión'!$V$50),"")</f>
        <v/>
      </c>
      <c r="AD12" s="36" t="str">
        <f>IF(AND('Riesgos de Gestión'!$AF$51="Muy Alta",'Riesgos de Gestión'!$AH$51="Mayor"),CONCATENATE("R7C",'Riesgos de Gestión'!$V$51),"")</f>
        <v/>
      </c>
      <c r="AE12" s="36" t="str">
        <f>IF(AND('Riesgos de Gestión'!$AF$52="Muy Alta",'Riesgos de Gestión'!$AH$52="Mayor"),CONCATENATE("R7C",'Riesgos de Gestión'!$V$52),"")</f>
        <v/>
      </c>
      <c r="AF12" s="36" t="str">
        <f>IF(AND('Riesgos de Gestión'!$AF$53="Muy Alta",'Riesgos de Gestión'!$AH$53="Mayor"),CONCATENATE("R7C",'Riesgos de Gestión'!$V$53),"")</f>
        <v/>
      </c>
      <c r="AG12" s="37" t="str">
        <f>IF(AND('Riesgos de Gestión'!$AF$54="Muy Alta",'Riesgos de Gestión'!$AH$54="Mayor"),CONCATENATE("R7C",'Riesgos de Gestión'!$V$54),"")</f>
        <v/>
      </c>
      <c r="AH12" s="38" t="str">
        <f>IF(AND('Riesgos de Gestión'!$AF$49="Muy Alta",'Riesgos de Gestión'!$AH$49="Catastrófico"),CONCATENATE("R7C",'Riesgos de Gestión'!$V$49),"")</f>
        <v/>
      </c>
      <c r="AI12" s="39" t="str">
        <f>IF(AND('Riesgos de Gestión'!$AF$50="Muy Alta",'Riesgos de Gestión'!$AH$50="Catastrófico"),CONCATENATE("R7C",'Riesgos de Gestión'!$V$50),"")</f>
        <v/>
      </c>
      <c r="AJ12" s="39" t="str">
        <f>IF(AND('Riesgos de Gestión'!$AF$51="Muy Alta",'Riesgos de Gestión'!$AH$51="Catastrófico"),CONCATENATE("R7C",'Riesgos de Gestión'!$V$51),"")</f>
        <v/>
      </c>
      <c r="AK12" s="39" t="str">
        <f>IF(AND('Riesgos de Gestión'!$AF$52="Muy Alta",'Riesgos de Gestión'!$AH$52="Catastrófico"),CONCATENATE("R7C",'Riesgos de Gestión'!$V$52),"")</f>
        <v/>
      </c>
      <c r="AL12" s="39" t="str">
        <f>IF(AND('Riesgos de Gestión'!$AF$53="Muy Alta",'Riesgos de Gestión'!$AH$53="Catastrófico"),CONCATENATE("R7C",'Riesgos de Gestión'!$V$53),"")</f>
        <v/>
      </c>
      <c r="AM12" s="40" t="str">
        <f>IF(AND('Riesgos de Gestión'!$AF$54="Muy Alta",'Riesgos de Gestión'!$AH$54="Catastrófico"),CONCATENATE("R7C",'Riesgos de Gestión'!$V$54),"")</f>
        <v/>
      </c>
      <c r="AN12" s="66"/>
      <c r="AO12" s="497"/>
      <c r="AP12" s="498"/>
      <c r="AQ12" s="498"/>
      <c r="AR12" s="498"/>
      <c r="AS12" s="498"/>
      <c r="AT12" s="499"/>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436"/>
      <c r="C13" s="436"/>
      <c r="D13" s="437"/>
      <c r="E13" s="477"/>
      <c r="F13" s="478"/>
      <c r="G13" s="478"/>
      <c r="H13" s="478"/>
      <c r="I13" s="479"/>
      <c r="J13" s="35" t="str">
        <f>IF(AND('Riesgos de Gestión'!$AF$55="Muy Alta",'Riesgos de Gestión'!$AH$55="Leve"),CONCATENATE("R8C",'Riesgos de Gestión'!$V$55),"")</f>
        <v/>
      </c>
      <c r="K13" s="36" t="str">
        <f>IF(AND('Riesgos de Gestión'!$AF$56="Muy Alta",'Riesgos de Gestión'!$AH$56="Leve"),CONCATENATE("R8C",'Riesgos de Gestión'!$V$56),"")</f>
        <v/>
      </c>
      <c r="L13" s="36" t="str">
        <f>IF(AND('Riesgos de Gestión'!$AF$57="Muy Alta",'Riesgos de Gestión'!$AH$57="Leve"),CONCATENATE("R8C",'Riesgos de Gestión'!$V$57),"")</f>
        <v/>
      </c>
      <c r="M13" s="36" t="str">
        <f>IF(AND('Riesgos de Gestión'!$AF$58="Muy Alta",'Riesgos de Gestión'!$AH$58="Leve"),CONCATENATE("R8C",'Riesgos de Gestión'!$V$58),"")</f>
        <v/>
      </c>
      <c r="N13" s="36" t="str">
        <f>IF(AND('Riesgos de Gestión'!$AF$59="Muy Alta",'Riesgos de Gestión'!$AH$59="Leve"),CONCATENATE("R8C",'Riesgos de Gestión'!$V$59),"")</f>
        <v/>
      </c>
      <c r="O13" s="37" t="str">
        <f>IF(AND('Riesgos de Gestión'!$AF$60="Muy Alta",'Riesgos de Gestión'!$AH$60="Leve"),CONCATENATE("R8C",'Riesgos de Gestión'!$V$60),"")</f>
        <v/>
      </c>
      <c r="P13" s="35" t="str">
        <f>IF(AND('Riesgos de Gestión'!$AF$55="Muy Alta",'Riesgos de Gestión'!$AH$55="Menor"),CONCATENATE("R8C",'Riesgos de Gestión'!$V$55),"")</f>
        <v/>
      </c>
      <c r="Q13" s="36" t="str">
        <f>IF(AND('Riesgos de Gestión'!$AF$56="Muy Alta",'Riesgos de Gestión'!$AH$56="Menor"),CONCATENATE("R8C",'Riesgos de Gestión'!$V$56),"")</f>
        <v/>
      </c>
      <c r="R13" s="36" t="str">
        <f>IF(AND('Riesgos de Gestión'!$AF$57="Muy Alta",'Riesgos de Gestión'!$AH$57="Menor"),CONCATENATE("R8C",'Riesgos de Gestión'!$V$57),"")</f>
        <v/>
      </c>
      <c r="S13" s="36" t="str">
        <f>IF(AND('Riesgos de Gestión'!$AF$58="Muy Alta",'Riesgos de Gestión'!$AH$58="Menor"),CONCATENATE("R8C",'Riesgos de Gestión'!$V$58),"")</f>
        <v/>
      </c>
      <c r="T13" s="36" t="str">
        <f>IF(AND('Riesgos de Gestión'!$AF$59="Muy Alta",'Riesgos de Gestión'!$AH$59="Menor"),CONCATENATE("R8C",'Riesgos de Gestión'!$V$59),"")</f>
        <v/>
      </c>
      <c r="U13" s="37" t="str">
        <f>IF(AND('Riesgos de Gestión'!$AF$60="Muy Alta",'Riesgos de Gestión'!$AH$60="Menor"),CONCATENATE("R8C",'Riesgos de Gestión'!$V$60),"")</f>
        <v/>
      </c>
      <c r="V13" s="35" t="str">
        <f>IF(AND('Riesgos de Gestión'!$AF$55="Muy Alta",'Riesgos de Gestión'!$AH$55="Moderado"),CONCATENATE("R8C",'Riesgos de Gestión'!$V$55),"")</f>
        <v/>
      </c>
      <c r="W13" s="36" t="str">
        <f>IF(AND('Riesgos de Gestión'!$AF$56="Muy Alta",'Riesgos de Gestión'!$AH$56="Moderado"),CONCATENATE("R8C",'Riesgos de Gestión'!$V$56),"")</f>
        <v/>
      </c>
      <c r="X13" s="36" t="str">
        <f>IF(AND('Riesgos de Gestión'!$AF$57="Muy Alta",'Riesgos de Gestión'!$AH$57="Moderado"),CONCATENATE("R8C",'Riesgos de Gestión'!$V$57),"")</f>
        <v/>
      </c>
      <c r="Y13" s="36" t="str">
        <f>IF(AND('Riesgos de Gestión'!$AF$58="Muy Alta",'Riesgos de Gestión'!$AH$58="Moderado"),CONCATENATE("R8C",'Riesgos de Gestión'!$V$58),"")</f>
        <v/>
      </c>
      <c r="Z13" s="36" t="str">
        <f>IF(AND('Riesgos de Gestión'!$AF$59="Muy Alta",'Riesgos de Gestión'!$AH$59="Moderado"),CONCATENATE("R8C",'Riesgos de Gestión'!$V$59),"")</f>
        <v/>
      </c>
      <c r="AA13" s="37" t="str">
        <f>IF(AND('Riesgos de Gestión'!$AF$60="Muy Alta",'Riesgos de Gestión'!$AH$60="Moderado"),CONCATENATE("R8C",'Riesgos de Gestión'!$V$60),"")</f>
        <v/>
      </c>
      <c r="AB13" s="35" t="str">
        <f>IF(AND('Riesgos de Gestión'!$AF$55="Muy Alta",'Riesgos de Gestión'!$AH$55="Mayor"),CONCATENATE("R8C",'Riesgos de Gestión'!$V$55),"")</f>
        <v/>
      </c>
      <c r="AC13" s="36" t="str">
        <f>IF(AND('Riesgos de Gestión'!$AF$56="Muy Alta",'Riesgos de Gestión'!$AH$56="Mayor"),CONCATENATE("R8C",'Riesgos de Gestión'!$V$56),"")</f>
        <v/>
      </c>
      <c r="AD13" s="36" t="str">
        <f>IF(AND('Riesgos de Gestión'!$AF$57="Muy Alta",'Riesgos de Gestión'!$AH$57="Mayor"),CONCATENATE("R8C",'Riesgos de Gestión'!$V$57),"")</f>
        <v/>
      </c>
      <c r="AE13" s="36" t="str">
        <f>IF(AND('Riesgos de Gestión'!$AF$58="Muy Alta",'Riesgos de Gestión'!$AH$58="Mayor"),CONCATENATE("R8C",'Riesgos de Gestión'!$V$58),"")</f>
        <v/>
      </c>
      <c r="AF13" s="36" t="str">
        <f>IF(AND('Riesgos de Gestión'!$AF$59="Muy Alta",'Riesgos de Gestión'!$AH$59="Mayor"),CONCATENATE("R8C",'Riesgos de Gestión'!$V$59),"")</f>
        <v/>
      </c>
      <c r="AG13" s="37" t="str">
        <f>IF(AND('Riesgos de Gestión'!$AF$60="Muy Alta",'Riesgos de Gestión'!$AH$60="Mayor"),CONCATENATE("R8C",'Riesgos de Gestión'!$V$60),"")</f>
        <v/>
      </c>
      <c r="AH13" s="38" t="str">
        <f>IF(AND('Riesgos de Gestión'!$AF$55="Muy Alta",'Riesgos de Gestión'!$AH$55="Catastrófico"),CONCATENATE("R8C",'Riesgos de Gestión'!$V$55),"")</f>
        <v/>
      </c>
      <c r="AI13" s="39" t="str">
        <f>IF(AND('Riesgos de Gestión'!$AF$56="Muy Alta",'Riesgos de Gestión'!$AH$56="Catastrófico"),CONCATENATE("R8C",'Riesgos de Gestión'!$V$56),"")</f>
        <v/>
      </c>
      <c r="AJ13" s="39" t="str">
        <f>IF(AND('Riesgos de Gestión'!$AF$57="Muy Alta",'Riesgos de Gestión'!$AH$57="Catastrófico"),CONCATENATE("R8C",'Riesgos de Gestión'!$V$57),"")</f>
        <v/>
      </c>
      <c r="AK13" s="39" t="str">
        <f>IF(AND('Riesgos de Gestión'!$AF$58="Muy Alta",'Riesgos de Gestión'!$AH$58="Catastrófico"),CONCATENATE("R8C",'Riesgos de Gestión'!$V$58),"")</f>
        <v/>
      </c>
      <c r="AL13" s="39" t="str">
        <f>IF(AND('Riesgos de Gestión'!$AF$59="Muy Alta",'Riesgos de Gestión'!$AH$59="Catastrófico"),CONCATENATE("R8C",'Riesgos de Gestión'!$V$59),"")</f>
        <v/>
      </c>
      <c r="AM13" s="40" t="str">
        <f>IF(AND('Riesgos de Gestión'!$AF$60="Muy Alta",'Riesgos de Gestión'!$AH$60="Catastrófico"),CONCATENATE("R8C",'Riesgos de Gestión'!$V$60),"")</f>
        <v/>
      </c>
      <c r="AN13" s="66"/>
      <c r="AO13" s="497"/>
      <c r="AP13" s="498"/>
      <c r="AQ13" s="498"/>
      <c r="AR13" s="498"/>
      <c r="AS13" s="498"/>
      <c r="AT13" s="499"/>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436"/>
      <c r="C14" s="436"/>
      <c r="D14" s="437"/>
      <c r="E14" s="477"/>
      <c r="F14" s="478"/>
      <c r="G14" s="478"/>
      <c r="H14" s="478"/>
      <c r="I14" s="479"/>
      <c r="J14" s="35" t="str">
        <f>IF(AND('Riesgos de Gestión'!$AF$61="Muy Alta",'Riesgos de Gestión'!$AH$61="Leve"),CONCATENATE("R9C",'Riesgos de Gestión'!$V$61),"")</f>
        <v/>
      </c>
      <c r="K14" s="36" t="str">
        <f>IF(AND('Riesgos de Gestión'!$AF$62="Muy Alta",'Riesgos de Gestión'!$AH$62="Leve"),CONCATENATE("R9C",'Riesgos de Gestión'!$V$62),"")</f>
        <v/>
      </c>
      <c r="L14" s="36" t="str">
        <f>IF(AND('Riesgos de Gestión'!$AF$63="Muy Alta",'Riesgos de Gestión'!$AH$63="Leve"),CONCATENATE("R9C",'Riesgos de Gestión'!$V$63),"")</f>
        <v/>
      </c>
      <c r="M14" s="36" t="str">
        <f>IF(AND('Riesgos de Gestión'!$AF$64="Muy Alta",'Riesgos de Gestión'!$AH$64="Leve"),CONCATENATE("R9C",'Riesgos de Gestión'!$V$64),"")</f>
        <v/>
      </c>
      <c r="N14" s="36" t="str">
        <f>IF(AND('Riesgos de Gestión'!$AF$65="Muy Alta",'Riesgos de Gestión'!$AH$65="Leve"),CONCATENATE("R9C",'Riesgos de Gestión'!$V$65),"")</f>
        <v/>
      </c>
      <c r="O14" s="37" t="str">
        <f>IF(AND('Riesgos de Gestión'!$AF$66="Muy Alta",'Riesgos de Gestión'!$AH$66="Leve"),CONCATENATE("R9C",'Riesgos de Gestión'!$V$66),"")</f>
        <v/>
      </c>
      <c r="P14" s="35" t="str">
        <f>IF(AND('Riesgos de Gestión'!$AF$61="Muy Alta",'Riesgos de Gestión'!$AH$61="Menor"),CONCATENATE("R9C",'Riesgos de Gestión'!$V$61),"")</f>
        <v/>
      </c>
      <c r="Q14" s="36" t="str">
        <f>IF(AND('Riesgos de Gestión'!$AF$62="Muy Alta",'Riesgos de Gestión'!$AH$62="Menor"),CONCATENATE("R9C",'Riesgos de Gestión'!$V$62),"")</f>
        <v/>
      </c>
      <c r="R14" s="36" t="str">
        <f>IF(AND('Riesgos de Gestión'!$AF$63="Muy Alta",'Riesgos de Gestión'!$AH$63="Menor"),CONCATENATE("R9C",'Riesgos de Gestión'!$V$63),"")</f>
        <v/>
      </c>
      <c r="S14" s="36" t="str">
        <f>IF(AND('Riesgos de Gestión'!$AF$64="Muy Alta",'Riesgos de Gestión'!$AH$64="Menor"),CONCATENATE("R9C",'Riesgos de Gestión'!$V$64),"")</f>
        <v/>
      </c>
      <c r="T14" s="36" t="str">
        <f>IF(AND('Riesgos de Gestión'!$AF$65="Muy Alta",'Riesgos de Gestión'!$AH$65="Menor"),CONCATENATE("R9C",'Riesgos de Gestión'!$V$65),"")</f>
        <v/>
      </c>
      <c r="U14" s="37" t="str">
        <f>IF(AND('Riesgos de Gestión'!$AF$66="Muy Alta",'Riesgos de Gestión'!$AH$66="Menor"),CONCATENATE("R9C",'Riesgos de Gestión'!$V$66),"")</f>
        <v/>
      </c>
      <c r="V14" s="35" t="str">
        <f>IF(AND('Riesgos de Gestión'!$AF$61="Muy Alta",'Riesgos de Gestión'!$AH$61="Moderado"),CONCATENATE("R9C",'Riesgos de Gestión'!$V$61),"")</f>
        <v/>
      </c>
      <c r="W14" s="36" t="str">
        <f>IF(AND('Riesgos de Gestión'!$AF$62="Muy Alta",'Riesgos de Gestión'!$AH$62="Moderado"),CONCATENATE("R9C",'Riesgos de Gestión'!$V$62),"")</f>
        <v/>
      </c>
      <c r="X14" s="36" t="str">
        <f>IF(AND('Riesgos de Gestión'!$AF$63="Muy Alta",'Riesgos de Gestión'!$AH$63="Moderado"),CONCATENATE("R9C",'Riesgos de Gestión'!$V$63),"")</f>
        <v/>
      </c>
      <c r="Y14" s="36" t="str">
        <f>IF(AND('Riesgos de Gestión'!$AF$64="Muy Alta",'Riesgos de Gestión'!$AH$64="Moderado"),CONCATENATE("R9C",'Riesgos de Gestión'!$V$64),"")</f>
        <v/>
      </c>
      <c r="Z14" s="36" t="str">
        <f>IF(AND('Riesgos de Gestión'!$AF$65="Muy Alta",'Riesgos de Gestión'!$AH$65="Moderado"),CONCATENATE("R9C",'Riesgos de Gestión'!$V$65),"")</f>
        <v/>
      </c>
      <c r="AA14" s="37" t="str">
        <f>IF(AND('Riesgos de Gestión'!$AF$66="Muy Alta",'Riesgos de Gestión'!$AH$66="Moderado"),CONCATENATE("R9C",'Riesgos de Gestión'!$V$66),"")</f>
        <v/>
      </c>
      <c r="AB14" s="35" t="str">
        <f>IF(AND('Riesgos de Gestión'!$AF$61="Muy Alta",'Riesgos de Gestión'!$AH$61="Mayor"),CONCATENATE("R9C",'Riesgos de Gestión'!$V$61),"")</f>
        <v/>
      </c>
      <c r="AC14" s="36" t="str">
        <f>IF(AND('Riesgos de Gestión'!$AF$62="Muy Alta",'Riesgos de Gestión'!$AH$62="Mayor"),CONCATENATE("R9C",'Riesgos de Gestión'!$V$62),"")</f>
        <v/>
      </c>
      <c r="AD14" s="36" t="str">
        <f>IF(AND('Riesgos de Gestión'!$AF$63="Muy Alta",'Riesgos de Gestión'!$AH$63="Mayor"),CONCATENATE("R9C",'Riesgos de Gestión'!$V$63),"")</f>
        <v/>
      </c>
      <c r="AE14" s="36" t="str">
        <f>IF(AND('Riesgos de Gestión'!$AF$64="Muy Alta",'Riesgos de Gestión'!$AH$64="Mayor"),CONCATENATE("R9C",'Riesgos de Gestión'!$V$64),"")</f>
        <v/>
      </c>
      <c r="AF14" s="36" t="str">
        <f>IF(AND('Riesgos de Gestión'!$AF$65="Muy Alta",'Riesgos de Gestión'!$AH$65="Mayor"),CONCATENATE("R9C",'Riesgos de Gestión'!$V$65),"")</f>
        <v/>
      </c>
      <c r="AG14" s="37" t="str">
        <f>IF(AND('Riesgos de Gestión'!$AF$66="Muy Alta",'Riesgos de Gestión'!$AH$66="Mayor"),CONCATENATE("R9C",'Riesgos de Gestión'!$V$66),"")</f>
        <v/>
      </c>
      <c r="AH14" s="38" t="str">
        <f>IF(AND('Riesgos de Gestión'!$AF$61="Muy Alta",'Riesgos de Gestión'!$AH$61="Catastrófico"),CONCATENATE("R9C",'Riesgos de Gestión'!$V$61),"")</f>
        <v/>
      </c>
      <c r="AI14" s="39" t="str">
        <f>IF(AND('Riesgos de Gestión'!$AF$62="Muy Alta",'Riesgos de Gestión'!$AH$62="Catastrófico"),CONCATENATE("R9C",'Riesgos de Gestión'!$V$62),"")</f>
        <v/>
      </c>
      <c r="AJ14" s="39" t="str">
        <f>IF(AND('Riesgos de Gestión'!$AF$63="Muy Alta",'Riesgos de Gestión'!$AH$63="Catastrófico"),CONCATENATE("R9C",'Riesgos de Gestión'!$V$63),"")</f>
        <v/>
      </c>
      <c r="AK14" s="39" t="str">
        <f>IF(AND('Riesgos de Gestión'!$AF$64="Muy Alta",'Riesgos de Gestión'!$AH$64="Catastrófico"),CONCATENATE("R9C",'Riesgos de Gestión'!$V$64),"")</f>
        <v/>
      </c>
      <c r="AL14" s="39" t="str">
        <f>IF(AND('Riesgos de Gestión'!$AF$65="Muy Alta",'Riesgos de Gestión'!$AH$65="Catastrófico"),CONCATENATE("R9C",'Riesgos de Gestión'!$V$65),"")</f>
        <v/>
      </c>
      <c r="AM14" s="40" t="str">
        <f>IF(AND('Riesgos de Gestión'!$AF$66="Muy Alta",'Riesgos de Gestión'!$AH$66="Catastrófico"),CONCATENATE("R9C",'Riesgos de Gestión'!$V$66),"")</f>
        <v/>
      </c>
      <c r="AN14" s="66"/>
      <c r="AO14" s="497"/>
      <c r="AP14" s="498"/>
      <c r="AQ14" s="498"/>
      <c r="AR14" s="498"/>
      <c r="AS14" s="498"/>
      <c r="AT14" s="499"/>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436"/>
      <c r="C15" s="436"/>
      <c r="D15" s="437"/>
      <c r="E15" s="480"/>
      <c r="F15" s="481"/>
      <c r="G15" s="481"/>
      <c r="H15" s="481"/>
      <c r="I15" s="482"/>
      <c r="J15" s="41" t="str">
        <f>IF(AND('Riesgos de Gestión'!$AF$67="Muy Alta",'Riesgos de Gestión'!$AH$67="Leve"),CONCATENATE("R10C",'Riesgos de Gestión'!$V$67),"")</f>
        <v/>
      </c>
      <c r="K15" s="42" t="str">
        <f>IF(AND('Riesgos de Gestión'!$AF$68="Muy Alta",'Riesgos de Gestión'!$AH$68="Leve"),CONCATENATE("R10C",'Riesgos de Gestión'!$V$68),"")</f>
        <v/>
      </c>
      <c r="L15" s="42" t="str">
        <f>IF(AND('Riesgos de Gestión'!$AF$69="Muy Alta",'Riesgos de Gestión'!$AH$69="Leve"),CONCATENATE("R10C",'Riesgos de Gestión'!$V$69),"")</f>
        <v/>
      </c>
      <c r="M15" s="42" t="str">
        <f>IF(AND('Riesgos de Gestión'!$AF$70="Muy Alta",'Riesgos de Gestión'!$AH$70="Leve"),CONCATENATE("R10C",'Riesgos de Gestión'!$V$70),"")</f>
        <v/>
      </c>
      <c r="N15" s="42" t="str">
        <f>IF(AND('Riesgos de Gestión'!$AF$71="Muy Alta",'Riesgos de Gestión'!$AH$71="Leve"),CONCATENATE("R10C",'Riesgos de Gestión'!$V$71),"")</f>
        <v/>
      </c>
      <c r="O15" s="43" t="str">
        <f>IF(AND('Riesgos de Gestión'!$AF$72="Muy Alta",'Riesgos de Gestión'!$AH$72="Leve"),CONCATENATE("R10C",'Riesgos de Gestión'!$V$72),"")</f>
        <v/>
      </c>
      <c r="P15" s="35" t="str">
        <f>IF(AND('Riesgos de Gestión'!$AF$67="Muy Alta",'Riesgos de Gestión'!$AH$67="Menor"),CONCATENATE("R10C",'Riesgos de Gestión'!$V$67),"")</f>
        <v/>
      </c>
      <c r="Q15" s="36" t="str">
        <f>IF(AND('Riesgos de Gestión'!$AF$68="Muy Alta",'Riesgos de Gestión'!$AH$68="Menor"),CONCATENATE("R10C",'Riesgos de Gestión'!$V$68),"")</f>
        <v/>
      </c>
      <c r="R15" s="36" t="str">
        <f>IF(AND('Riesgos de Gestión'!$AF$69="Muy Alta",'Riesgos de Gestión'!$AH$69="Menor"),CONCATENATE("R10C",'Riesgos de Gestión'!$V$69),"")</f>
        <v/>
      </c>
      <c r="S15" s="36" t="str">
        <f>IF(AND('Riesgos de Gestión'!$AF$70="Muy Alta",'Riesgos de Gestión'!$AH$70="Menor"),CONCATENATE("R10C",'Riesgos de Gestión'!$V$70),"")</f>
        <v/>
      </c>
      <c r="T15" s="36" t="str">
        <f>IF(AND('Riesgos de Gestión'!$AF$71="Muy Alta",'Riesgos de Gestión'!$AH$71="Menor"),CONCATENATE("R10C",'Riesgos de Gestión'!$V$71),"")</f>
        <v/>
      </c>
      <c r="U15" s="37" t="str">
        <f>IF(AND('Riesgos de Gestión'!$AF$72="Muy Alta",'Riesgos de Gestión'!$AH$72="Menor"),CONCATENATE("R10C",'Riesgos de Gestión'!$V$72),"")</f>
        <v/>
      </c>
      <c r="V15" s="41" t="str">
        <f>IF(AND('Riesgos de Gestión'!$AF$67="Muy Alta",'Riesgos de Gestión'!$AH$67="Moderado"),CONCATENATE("R10C",'Riesgos de Gestión'!$V$67),"")</f>
        <v/>
      </c>
      <c r="W15" s="42" t="str">
        <f>IF(AND('Riesgos de Gestión'!$AF$68="Muy Alta",'Riesgos de Gestión'!$AH$68="Moderado"),CONCATENATE("R10C",'Riesgos de Gestión'!$V$68),"")</f>
        <v/>
      </c>
      <c r="X15" s="42" t="str">
        <f>IF(AND('Riesgos de Gestión'!$AF$69="Muy Alta",'Riesgos de Gestión'!$AH$69="Moderado"),CONCATENATE("R10C",'Riesgos de Gestión'!$V$69),"")</f>
        <v/>
      </c>
      <c r="Y15" s="42" t="str">
        <f>IF(AND('Riesgos de Gestión'!$AF$70="Muy Alta",'Riesgos de Gestión'!$AH$70="Moderado"),CONCATENATE("R10C",'Riesgos de Gestión'!$V$70),"")</f>
        <v/>
      </c>
      <c r="Z15" s="42" t="str">
        <f>IF(AND('Riesgos de Gestión'!$AF$71="Muy Alta",'Riesgos de Gestión'!$AH$71="Moderado"),CONCATENATE("R10C",'Riesgos de Gestión'!$V$71),"")</f>
        <v/>
      </c>
      <c r="AA15" s="43" t="str">
        <f>IF(AND('Riesgos de Gestión'!$AF$72="Muy Alta",'Riesgos de Gestión'!$AH$72="Moderado"),CONCATENATE("R10C",'Riesgos de Gestión'!$V$72),"")</f>
        <v/>
      </c>
      <c r="AB15" s="35" t="str">
        <f>IF(AND('Riesgos de Gestión'!$AF$67="Muy Alta",'Riesgos de Gestión'!$AH$67="Mayor"),CONCATENATE("R10C",'Riesgos de Gestión'!$V$67),"")</f>
        <v/>
      </c>
      <c r="AC15" s="36" t="str">
        <f>IF(AND('Riesgos de Gestión'!$AF$68="Muy Alta",'Riesgos de Gestión'!$AH$68="Mayor"),CONCATENATE("R10C",'Riesgos de Gestión'!$V$68),"")</f>
        <v/>
      </c>
      <c r="AD15" s="36" t="str">
        <f>IF(AND('Riesgos de Gestión'!$AF$69="Muy Alta",'Riesgos de Gestión'!$AH$69="Mayor"),CONCATENATE("R10C",'Riesgos de Gestión'!$V$69),"")</f>
        <v/>
      </c>
      <c r="AE15" s="36" t="str">
        <f>IF(AND('Riesgos de Gestión'!$AF$70="Muy Alta",'Riesgos de Gestión'!$AH$70="Mayor"),CONCATENATE("R10C",'Riesgos de Gestión'!$V$70),"")</f>
        <v/>
      </c>
      <c r="AF15" s="36" t="str">
        <f>IF(AND('Riesgos de Gestión'!$AF$71="Muy Alta",'Riesgos de Gestión'!$AH$71="Mayor"),CONCATENATE("R10C",'Riesgos de Gestión'!$V$71),"")</f>
        <v/>
      </c>
      <c r="AG15" s="37" t="str">
        <f>IF(AND('Riesgos de Gestión'!$AF$72="Muy Alta",'Riesgos de Gestión'!$AH$72="Mayor"),CONCATENATE("R10C",'Riesgos de Gestión'!$V$72),"")</f>
        <v/>
      </c>
      <c r="AH15" s="44" t="str">
        <f>IF(AND('Riesgos de Gestión'!$AF$67="Muy Alta",'Riesgos de Gestión'!$AH$67="Catastrófico"),CONCATENATE("R10C",'Riesgos de Gestión'!$V$67),"")</f>
        <v/>
      </c>
      <c r="AI15" s="45" t="str">
        <f>IF(AND('Riesgos de Gestión'!$AF$68="Muy Alta",'Riesgos de Gestión'!$AH$68="Catastrófico"),CONCATENATE("R10C",'Riesgos de Gestión'!$V$68),"")</f>
        <v/>
      </c>
      <c r="AJ15" s="45" t="str">
        <f>IF(AND('Riesgos de Gestión'!$AF$69="Muy Alta",'Riesgos de Gestión'!$AH$69="Catastrófico"),CONCATENATE("R10C",'Riesgos de Gestión'!$V$69),"")</f>
        <v/>
      </c>
      <c r="AK15" s="45" t="str">
        <f>IF(AND('Riesgos de Gestión'!$AF$70="Muy Alta",'Riesgos de Gestión'!$AH$70="Catastrófico"),CONCATENATE("R10C",'Riesgos de Gestión'!$V$70),"")</f>
        <v/>
      </c>
      <c r="AL15" s="45" t="str">
        <f>IF(AND('Riesgos de Gestión'!$AF$71="Muy Alta",'Riesgos de Gestión'!$AH$71="Catastrófico"),CONCATENATE("R10C",'Riesgos de Gestión'!$V$71),"")</f>
        <v/>
      </c>
      <c r="AM15" s="46" t="str">
        <f>IF(AND('Riesgos de Gestión'!$AF$72="Muy Alta",'Riesgos de Gestión'!$AH$72="Catastrófico"),CONCATENATE("R10C",'Riesgos de Gestión'!$V$72),"")</f>
        <v/>
      </c>
      <c r="AN15" s="66"/>
      <c r="AO15" s="500"/>
      <c r="AP15" s="501"/>
      <c r="AQ15" s="501"/>
      <c r="AR15" s="501"/>
      <c r="AS15" s="501"/>
      <c r="AT15" s="502"/>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436"/>
      <c r="C16" s="436"/>
      <c r="D16" s="437"/>
      <c r="E16" s="474" t="s">
        <v>267</v>
      </c>
      <c r="F16" s="475"/>
      <c r="G16" s="475"/>
      <c r="H16" s="475"/>
      <c r="I16" s="475"/>
      <c r="J16" s="47" t="str">
        <f>IF(AND('Riesgos de Gestión'!$AF$13="Alta",'Riesgos de Gestión'!$AH$13="Leve"),CONCATENATE("R1C",'Riesgos de Gestión'!$V$13),"")</f>
        <v/>
      </c>
      <c r="K16" s="48" t="str">
        <f>IF(AND('Riesgos de Gestión'!$AF$14="Alta",'Riesgos de Gestión'!$AH$14="Leve"),CONCATENATE("R1C",'Riesgos de Gestión'!$V$14),"")</f>
        <v/>
      </c>
      <c r="L16" s="48" t="str">
        <f>IF(AND('Riesgos de Gestión'!$AF$15="Alta",'Riesgos de Gestión'!$AH$15="Leve"),CONCATENATE("R1C",'Riesgos de Gestión'!$V$15),"")</f>
        <v/>
      </c>
      <c r="M16" s="48" t="str">
        <f>IF(AND('Riesgos de Gestión'!$AF$16="Alta",'Riesgos de Gestión'!$AH$16="Leve"),CONCATENATE("R1C",'Riesgos de Gestión'!$V$16),"")</f>
        <v/>
      </c>
      <c r="N16" s="48" t="str">
        <f>IF(AND('Riesgos de Gestión'!$AF$17="Alta",'Riesgos de Gestión'!$AH$17="Leve"),CONCATENATE("R1C",'Riesgos de Gestión'!$V$17),"")</f>
        <v/>
      </c>
      <c r="O16" s="49" t="str">
        <f>IF(AND('Riesgos de Gestión'!$AF$18="Alta",'Riesgos de Gestión'!$AH$18="Leve"),CONCATENATE("R1C",'Riesgos de Gestión'!$V$18),"")</f>
        <v/>
      </c>
      <c r="P16" s="47" t="str">
        <f>IF(AND('Riesgos de Gestión'!$AF$13="Alta",'Riesgos de Gestión'!$AH$13="Menor"),CONCATENATE("R1C",'Riesgos de Gestión'!$V$13),"")</f>
        <v/>
      </c>
      <c r="Q16" s="48" t="str">
        <f>IF(AND('Riesgos de Gestión'!$AF$14="Alta",'Riesgos de Gestión'!$AH$14="Menor"),CONCATENATE("R1C",'Riesgos de Gestión'!$V$14),"")</f>
        <v/>
      </c>
      <c r="R16" s="48" t="str">
        <f>IF(AND('Riesgos de Gestión'!$AF$15="Alta",'Riesgos de Gestión'!$AH$15="Menor"),CONCATENATE("R1C",'Riesgos de Gestión'!$V$15),"")</f>
        <v/>
      </c>
      <c r="S16" s="48" t="str">
        <f>IF(AND('Riesgos de Gestión'!$AF$16="Alta",'Riesgos de Gestión'!$AH$16="Menor"),CONCATENATE("R1C",'Riesgos de Gestión'!$V$16),"")</f>
        <v/>
      </c>
      <c r="T16" s="48" t="str">
        <f>IF(AND('Riesgos de Gestión'!$AF$17="Alta",'Riesgos de Gestión'!$AH$17="Menor"),CONCATENATE("R1C",'Riesgos de Gestión'!$V$17),"")</f>
        <v/>
      </c>
      <c r="U16" s="49" t="str">
        <f>IF(AND('Riesgos de Gestión'!$AF$18="Alta",'Riesgos de Gestión'!$AH$18="Menor"),CONCATENATE("R1C",'Riesgos de Gestión'!$V$18),"")</f>
        <v/>
      </c>
      <c r="V16" s="29" t="str">
        <f>IF(AND('Riesgos de Gestión'!$AF$13="Alta",'Riesgos de Gestión'!$AH$13="Moderado"),CONCATENATE("R1C",'Riesgos de Gestión'!$V$13),"")</f>
        <v/>
      </c>
      <c r="W16" s="30" t="str">
        <f>IF(AND('Riesgos de Gestión'!$AF$14="Alta",'Riesgos de Gestión'!$AH$14="Moderado"),CONCATENATE("R1C",'Riesgos de Gestión'!$V$14),"")</f>
        <v/>
      </c>
      <c r="X16" s="30" t="str">
        <f>IF(AND('Riesgos de Gestión'!$AF$15="Alta",'Riesgos de Gestión'!$AH$15="Moderado"),CONCATENATE("R1C",'Riesgos de Gestión'!$V$15),"")</f>
        <v/>
      </c>
      <c r="Y16" s="30" t="str">
        <f>IF(AND('Riesgos de Gestión'!$AF$16="Alta",'Riesgos de Gestión'!$AH$16="Moderado"),CONCATENATE("R1C",'Riesgos de Gestión'!$V$16),"")</f>
        <v/>
      </c>
      <c r="Z16" s="30" t="str">
        <f>IF(AND('Riesgos de Gestión'!$AF$17="Alta",'Riesgos de Gestión'!$AH$17="Moderado"),CONCATENATE("R1C",'Riesgos de Gestión'!$V$17),"")</f>
        <v/>
      </c>
      <c r="AA16" s="31" t="str">
        <f>IF(AND('Riesgos de Gestión'!$AF$18="Alta",'Riesgos de Gestión'!$AH$18="Moderado"),CONCATENATE("R1C",'Riesgos de Gestión'!$V$18),"")</f>
        <v/>
      </c>
      <c r="AB16" s="29" t="str">
        <f>IF(AND('Riesgos de Gestión'!$AF$13="Alta",'Riesgos de Gestión'!$AH$13="Mayor"),CONCATENATE("R1C",'Riesgos de Gestión'!$V$13),"")</f>
        <v/>
      </c>
      <c r="AC16" s="30" t="str">
        <f>IF(AND('Riesgos de Gestión'!$AF$14="Alta",'Riesgos de Gestión'!$AH$14="Mayor"),CONCATENATE("R1C",'Riesgos de Gestión'!$V$14),"")</f>
        <v/>
      </c>
      <c r="AD16" s="30" t="str">
        <f>IF(AND('Riesgos de Gestión'!$AF$15="Alta",'Riesgos de Gestión'!$AH$15="Mayor"),CONCATENATE("R1C",'Riesgos de Gestión'!$V$15),"")</f>
        <v/>
      </c>
      <c r="AE16" s="30" t="str">
        <f>IF(AND('Riesgos de Gestión'!$AF$16="Alta",'Riesgos de Gestión'!$AH$16="Mayor"),CONCATENATE("R1C",'Riesgos de Gestión'!$V$16),"")</f>
        <v/>
      </c>
      <c r="AF16" s="30" t="str">
        <f>IF(AND('Riesgos de Gestión'!$AF$17="Alta",'Riesgos de Gestión'!$AH$17="Mayor"),CONCATENATE("R1C",'Riesgos de Gestión'!$V$17),"")</f>
        <v/>
      </c>
      <c r="AG16" s="31" t="str">
        <f>IF(AND('Riesgos de Gestión'!$AF$18="Alta",'Riesgos de Gestión'!$AH$18="Mayor"),CONCATENATE("R1C",'Riesgos de Gestión'!$V$18),"")</f>
        <v/>
      </c>
      <c r="AH16" s="32" t="str">
        <f>IF(AND('Riesgos de Gestión'!$AF$13="Alta",'Riesgos de Gestión'!$AH$13="Catastrófico"),CONCATENATE("R1C",'Riesgos de Gestión'!$V$13),"")</f>
        <v/>
      </c>
      <c r="AI16" s="33" t="str">
        <f>IF(AND('Riesgos de Gestión'!$AF$14="Alta",'Riesgos de Gestión'!$AH$14="Catastrófico"),CONCATENATE("R1C",'Riesgos de Gestión'!$V$14),"")</f>
        <v/>
      </c>
      <c r="AJ16" s="33" t="str">
        <f>IF(AND('Riesgos de Gestión'!$AF$15="Alta",'Riesgos de Gestión'!$AH$15="Catastrófico"),CONCATENATE("R1C",'Riesgos de Gestión'!$V$15),"")</f>
        <v/>
      </c>
      <c r="AK16" s="33" t="str">
        <f>IF(AND('Riesgos de Gestión'!$AF$16="Alta",'Riesgos de Gestión'!$AH$16="Catastrófico"),CONCATENATE("R1C",'Riesgos de Gestión'!$V$16),"")</f>
        <v/>
      </c>
      <c r="AL16" s="33" t="str">
        <f>IF(AND('Riesgos de Gestión'!$AF$17="Alta",'Riesgos de Gestión'!$AH$17="Catastrófico"),CONCATENATE("R1C",'Riesgos de Gestión'!$V$17),"")</f>
        <v/>
      </c>
      <c r="AM16" s="34" t="str">
        <f>IF(AND('Riesgos de Gestión'!$AF$18="Alta",'Riesgos de Gestión'!$AH$18="Catastrófico"),CONCATENATE("R1C",'Riesgos de Gestión'!$V$18),"")</f>
        <v/>
      </c>
      <c r="AN16" s="66"/>
      <c r="AO16" s="484" t="s">
        <v>268</v>
      </c>
      <c r="AP16" s="485"/>
      <c r="AQ16" s="485"/>
      <c r="AR16" s="485"/>
      <c r="AS16" s="485"/>
      <c r="AT16" s="48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436"/>
      <c r="C17" s="436"/>
      <c r="D17" s="437"/>
      <c r="E17" s="493"/>
      <c r="F17" s="478"/>
      <c r="G17" s="478"/>
      <c r="H17" s="478"/>
      <c r="I17" s="478"/>
      <c r="J17" s="50" t="str">
        <f>IF(AND('Riesgos de Gestión'!$AF$19="Alta",'Riesgos de Gestión'!$AH$19="Leve"),CONCATENATE("R2C",'Riesgos de Gestión'!$V$19),"")</f>
        <v/>
      </c>
      <c r="K17" s="51" t="str">
        <f>IF(AND('Riesgos de Gestión'!$AF$20="Alta",'Riesgos de Gestión'!$AH$20="Leve"),CONCATENATE("R2C",'Riesgos de Gestión'!$V$20),"")</f>
        <v/>
      </c>
      <c r="L17" s="51" t="str">
        <f>IF(AND('Riesgos de Gestión'!$AF$21="Alta",'Riesgos de Gestión'!$AH$21="Leve"),CONCATENATE("R2C",'Riesgos de Gestión'!$V$21),"")</f>
        <v/>
      </c>
      <c r="M17" s="51" t="str">
        <f>IF(AND('Riesgos de Gestión'!$AF$22="Alta",'Riesgos de Gestión'!$AH$22="Leve"),CONCATENATE("R2C",'Riesgos de Gestión'!$V$22),"")</f>
        <v/>
      </c>
      <c r="N17" s="51" t="str">
        <f>IF(AND('Riesgos de Gestión'!$AF$23="Alta",'Riesgos de Gestión'!$AH$23="Leve"),CONCATENATE("R2C",'Riesgos de Gestión'!$V$23),"")</f>
        <v/>
      </c>
      <c r="O17" s="52" t="str">
        <f>IF(AND('Riesgos de Gestión'!$AF$24="Alta",'Riesgos de Gestión'!$AH$24="Leve"),CONCATENATE("R2C",'Riesgos de Gestión'!$V$24),"")</f>
        <v/>
      </c>
      <c r="P17" s="50" t="str">
        <f>IF(AND('Riesgos de Gestión'!$AF$19="Alta",'Riesgos de Gestión'!$AH$19="Menor"),CONCATENATE("R2C",'Riesgos de Gestión'!$V$19),"")</f>
        <v/>
      </c>
      <c r="Q17" s="51" t="str">
        <f>IF(AND('Riesgos de Gestión'!$AF$20="Alta",'Riesgos de Gestión'!$AH$20="Menor"),CONCATENATE("R2C",'Riesgos de Gestión'!$V$20),"")</f>
        <v/>
      </c>
      <c r="R17" s="51" t="str">
        <f>IF(AND('Riesgos de Gestión'!$AF$21="Alta",'Riesgos de Gestión'!$AH$21="Menor"),CONCATENATE("R2C",'Riesgos de Gestión'!$V$21),"")</f>
        <v/>
      </c>
      <c r="S17" s="51" t="str">
        <f>IF(AND('Riesgos de Gestión'!$AF$22="Alta",'Riesgos de Gestión'!$AH$22="Menor"),CONCATENATE("R2C",'Riesgos de Gestión'!$V$22),"")</f>
        <v/>
      </c>
      <c r="T17" s="51" t="str">
        <f>IF(AND('Riesgos de Gestión'!$AF$23="Alta",'Riesgos de Gestión'!$AH$23="Menor"),CONCATENATE("R2C",'Riesgos de Gestión'!$V$23),"")</f>
        <v/>
      </c>
      <c r="U17" s="52" t="str">
        <f>IF(AND('Riesgos de Gestión'!$AF$24="Alta",'Riesgos de Gestión'!$AH$24="Menor"),CONCATENATE("R2C",'Riesgos de Gestión'!$V$24),"")</f>
        <v/>
      </c>
      <c r="V17" s="35" t="str">
        <f>IF(AND('Riesgos de Gestión'!$AF$19="Alta",'Riesgos de Gestión'!$AH$19="Moderado"),CONCATENATE("R2C",'Riesgos de Gestión'!$V$19),"")</f>
        <v/>
      </c>
      <c r="W17" s="36" t="str">
        <f>IF(AND('Riesgos de Gestión'!$AF$20="Alta",'Riesgos de Gestión'!$AH$20="Moderado"),CONCATENATE("R2C",'Riesgos de Gestión'!$V$20),"")</f>
        <v/>
      </c>
      <c r="X17" s="36" t="str">
        <f>IF(AND('Riesgos de Gestión'!$AF$21="Alta",'Riesgos de Gestión'!$AH$21="Moderado"),CONCATENATE("R2C",'Riesgos de Gestión'!$V$21),"")</f>
        <v/>
      </c>
      <c r="Y17" s="36" t="str">
        <f>IF(AND('Riesgos de Gestión'!$AF$22="Alta",'Riesgos de Gestión'!$AH$22="Moderado"),CONCATENATE("R2C",'Riesgos de Gestión'!$V$22),"")</f>
        <v/>
      </c>
      <c r="Z17" s="36" t="str">
        <f>IF(AND('Riesgos de Gestión'!$AF$23="Alta",'Riesgos de Gestión'!$AH$23="Moderado"),CONCATENATE("R2C",'Riesgos de Gestión'!$V$23),"")</f>
        <v/>
      </c>
      <c r="AA17" s="37" t="str">
        <f>IF(AND('Riesgos de Gestión'!$AF$24="Alta",'Riesgos de Gestión'!$AH$24="Moderado"),CONCATENATE("R2C",'Riesgos de Gestión'!$V$24),"")</f>
        <v/>
      </c>
      <c r="AB17" s="35" t="str">
        <f>IF(AND('Riesgos de Gestión'!$AF$19="Alta",'Riesgos de Gestión'!$AH$19="Mayor"),CONCATENATE("R2C",'Riesgos de Gestión'!$V$19),"")</f>
        <v/>
      </c>
      <c r="AC17" s="36" t="str">
        <f>IF(AND('Riesgos de Gestión'!$AF$20="Alta",'Riesgos de Gestión'!$AH$20="Mayor"),CONCATENATE("R2C",'Riesgos de Gestión'!$V$20),"")</f>
        <v/>
      </c>
      <c r="AD17" s="36" t="str">
        <f>IF(AND('Riesgos de Gestión'!$AF$21="Alta",'Riesgos de Gestión'!$AH$21="Mayor"),CONCATENATE("R2C",'Riesgos de Gestión'!$V$21),"")</f>
        <v/>
      </c>
      <c r="AE17" s="36" t="str">
        <f>IF(AND('Riesgos de Gestión'!$AF$22="Alta",'Riesgos de Gestión'!$AH$22="Mayor"),CONCATENATE("R2C",'Riesgos de Gestión'!$V$22),"")</f>
        <v/>
      </c>
      <c r="AF17" s="36" t="str">
        <f>IF(AND('Riesgos de Gestión'!$AF$23="Alta",'Riesgos de Gestión'!$AH$23="Mayor"),CONCATENATE("R2C",'Riesgos de Gestión'!$V$23),"")</f>
        <v/>
      </c>
      <c r="AG17" s="37" t="str">
        <f>IF(AND('Riesgos de Gestión'!$AF$24="Alta",'Riesgos de Gestión'!$AH$24="Mayor"),CONCATENATE("R2C",'Riesgos de Gestión'!$V$24),"")</f>
        <v/>
      </c>
      <c r="AH17" s="38" t="str">
        <f>IF(AND('Riesgos de Gestión'!$AF$19="Alta",'Riesgos de Gestión'!$AH$19="Catastrófico"),CONCATENATE("R2C",'Riesgos de Gestión'!$V$19),"")</f>
        <v/>
      </c>
      <c r="AI17" s="39" t="str">
        <f>IF(AND('Riesgos de Gestión'!$AF$20="Alta",'Riesgos de Gestión'!$AH$20="Catastrófico"),CONCATENATE("R2C",'Riesgos de Gestión'!$V$20),"")</f>
        <v/>
      </c>
      <c r="AJ17" s="39" t="str">
        <f>IF(AND('Riesgos de Gestión'!$AF$21="Alta",'Riesgos de Gestión'!$AH$21="Catastrófico"),CONCATENATE("R2C",'Riesgos de Gestión'!$V$21),"")</f>
        <v/>
      </c>
      <c r="AK17" s="39" t="str">
        <f>IF(AND('Riesgos de Gestión'!$AF$22="Alta",'Riesgos de Gestión'!$AH$22="Catastrófico"),CONCATENATE("R2C",'Riesgos de Gestión'!$V$22),"")</f>
        <v/>
      </c>
      <c r="AL17" s="39" t="str">
        <f>IF(AND('Riesgos de Gestión'!$AF$23="Alta",'Riesgos de Gestión'!$AH$23="Catastrófico"),CONCATENATE("R2C",'Riesgos de Gestión'!$V$23),"")</f>
        <v/>
      </c>
      <c r="AM17" s="40" t="str">
        <f>IF(AND('Riesgos de Gestión'!$AF$24="Alta",'Riesgos de Gestión'!$AH$24="Catastrófico"),CONCATENATE("R2C",'Riesgos de Gestión'!$V$24),"")</f>
        <v/>
      </c>
      <c r="AN17" s="66"/>
      <c r="AO17" s="487"/>
      <c r="AP17" s="488"/>
      <c r="AQ17" s="488"/>
      <c r="AR17" s="488"/>
      <c r="AS17" s="488"/>
      <c r="AT17" s="489"/>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436"/>
      <c r="C18" s="436"/>
      <c r="D18" s="437"/>
      <c r="E18" s="477"/>
      <c r="F18" s="478"/>
      <c r="G18" s="478"/>
      <c r="H18" s="478"/>
      <c r="I18" s="478"/>
      <c r="J18" s="50" t="str">
        <f>IF(AND('Riesgos de Gestión'!$AF$25="Alta",'Riesgos de Gestión'!$AH$25="Leve"),CONCATENATE("R3C",'Riesgos de Gestión'!$V$25),"")</f>
        <v/>
      </c>
      <c r="K18" s="51" t="str">
        <f>IF(AND('Riesgos de Gestión'!$AF$26="Alta",'Riesgos de Gestión'!$AH$26="Leve"),CONCATENATE("R3C",'Riesgos de Gestión'!$V$26),"")</f>
        <v/>
      </c>
      <c r="L18" s="51" t="str">
        <f>IF(AND('Riesgos de Gestión'!$AF$27="Alta",'Riesgos de Gestión'!$AH$27="Leve"),CONCATENATE("R3C",'Riesgos de Gestión'!$V$27),"")</f>
        <v/>
      </c>
      <c r="M18" s="51" t="str">
        <f>IF(AND('Riesgos de Gestión'!$AF$28="Alta",'Riesgos de Gestión'!$AH$28="Leve"),CONCATENATE("R3C",'Riesgos de Gestión'!$V$28),"")</f>
        <v/>
      </c>
      <c r="N18" s="51" t="str">
        <f>IF(AND('Riesgos de Gestión'!$AF$29="Alta",'Riesgos de Gestión'!$AH$29="Leve"),CONCATENATE("R3C",'Riesgos de Gestión'!$V$29),"")</f>
        <v/>
      </c>
      <c r="O18" s="52" t="str">
        <f>IF(AND('Riesgos de Gestión'!$AF$30="Alta",'Riesgos de Gestión'!$AH$30="Leve"),CONCATENATE("R3C",'Riesgos de Gestión'!$V$30),"")</f>
        <v/>
      </c>
      <c r="P18" s="50" t="str">
        <f>IF(AND('Riesgos de Gestión'!$AF$25="Alta",'Riesgos de Gestión'!$AH$25="Menor"),CONCATENATE("R3C",'Riesgos de Gestión'!$V$25),"")</f>
        <v/>
      </c>
      <c r="Q18" s="51" t="str">
        <f>IF(AND('Riesgos de Gestión'!$AF$26="Alta",'Riesgos de Gestión'!$AH$26="Menor"),CONCATENATE("R3C",'Riesgos de Gestión'!$V$26),"")</f>
        <v/>
      </c>
      <c r="R18" s="51" t="str">
        <f>IF(AND('Riesgos de Gestión'!$AF$27="Alta",'Riesgos de Gestión'!$AH$27="Menor"),CONCATENATE("R3C",'Riesgos de Gestión'!$V$27),"")</f>
        <v/>
      </c>
      <c r="S18" s="51" t="str">
        <f>IF(AND('Riesgos de Gestión'!$AF$28="Alta",'Riesgos de Gestión'!$AH$28="Menor"),CONCATENATE("R3C",'Riesgos de Gestión'!$V$28),"")</f>
        <v/>
      </c>
      <c r="T18" s="51" t="str">
        <f>IF(AND('Riesgos de Gestión'!$AF$29="Alta",'Riesgos de Gestión'!$AH$29="Menor"),CONCATENATE("R3C",'Riesgos de Gestión'!$V$29),"")</f>
        <v/>
      </c>
      <c r="U18" s="52" t="str">
        <f>IF(AND('Riesgos de Gestión'!$AF$30="Alta",'Riesgos de Gestión'!$AH$30="Menor"),CONCATENATE("R3C",'Riesgos de Gestión'!$V$30),"")</f>
        <v/>
      </c>
      <c r="V18" s="35" t="str">
        <f>IF(AND('Riesgos de Gestión'!$AF$25="Alta",'Riesgos de Gestión'!$AH$25="Moderado"),CONCATENATE("R3C",'Riesgos de Gestión'!$V$25),"")</f>
        <v/>
      </c>
      <c r="W18" s="36" t="str">
        <f>IF(AND('Riesgos de Gestión'!$AF$26="Alta",'Riesgos de Gestión'!$AH$26="Moderado"),CONCATENATE("R3C",'Riesgos de Gestión'!$V$26),"")</f>
        <v/>
      </c>
      <c r="X18" s="36" t="str">
        <f>IF(AND('Riesgos de Gestión'!$AF$27="Alta",'Riesgos de Gestión'!$AH$27="Moderado"),CONCATENATE("R3C",'Riesgos de Gestión'!$V$27),"")</f>
        <v/>
      </c>
      <c r="Y18" s="36" t="str">
        <f>IF(AND('Riesgos de Gestión'!$AF$28="Alta",'Riesgos de Gestión'!$AH$28="Moderado"),CONCATENATE("R3C",'Riesgos de Gestión'!$V$28),"")</f>
        <v/>
      </c>
      <c r="Z18" s="36" t="str">
        <f>IF(AND('Riesgos de Gestión'!$AF$29="Alta",'Riesgos de Gestión'!$AH$29="Moderado"),CONCATENATE("R3C",'Riesgos de Gestión'!$V$29),"")</f>
        <v/>
      </c>
      <c r="AA18" s="37" t="str">
        <f>IF(AND('Riesgos de Gestión'!$AF$30="Alta",'Riesgos de Gestión'!$AH$30="Moderado"),CONCATENATE("R3C",'Riesgos de Gestión'!$V$30),"")</f>
        <v/>
      </c>
      <c r="AB18" s="35" t="str">
        <f>IF(AND('Riesgos de Gestión'!$AF$25="Alta",'Riesgos de Gestión'!$AH$25="Mayor"),CONCATENATE("R3C",'Riesgos de Gestión'!$V$25),"")</f>
        <v/>
      </c>
      <c r="AC18" s="36" t="str">
        <f>IF(AND('Riesgos de Gestión'!$AF$26="Alta",'Riesgos de Gestión'!$AH$26="Mayor"),CONCATENATE("R3C",'Riesgos de Gestión'!$V$26),"")</f>
        <v/>
      </c>
      <c r="AD18" s="36" t="str">
        <f>IF(AND('Riesgos de Gestión'!$AF$27="Alta",'Riesgos de Gestión'!$AH$27="Mayor"),CONCATENATE("R3C",'Riesgos de Gestión'!$V$27),"")</f>
        <v/>
      </c>
      <c r="AE18" s="36" t="str">
        <f>IF(AND('Riesgos de Gestión'!$AF$28="Alta",'Riesgos de Gestión'!$AH$28="Mayor"),CONCATENATE("R3C",'Riesgos de Gestión'!$V$28),"")</f>
        <v/>
      </c>
      <c r="AF18" s="36" t="str">
        <f>IF(AND('Riesgos de Gestión'!$AF$29="Alta",'Riesgos de Gestión'!$AH$29="Mayor"),CONCATENATE("R3C",'Riesgos de Gestión'!$V$29),"")</f>
        <v/>
      </c>
      <c r="AG18" s="37" t="str">
        <f>IF(AND('Riesgos de Gestión'!$AF$30="Alta",'Riesgos de Gestión'!$AH$30="Mayor"),CONCATENATE("R3C",'Riesgos de Gestión'!$V$30),"")</f>
        <v/>
      </c>
      <c r="AH18" s="38" t="str">
        <f>IF(AND('Riesgos de Gestión'!$AF$25="Alta",'Riesgos de Gestión'!$AH$25="Catastrófico"),CONCATENATE("R3C",'Riesgos de Gestión'!$V$25),"")</f>
        <v/>
      </c>
      <c r="AI18" s="39" t="str">
        <f>IF(AND('Riesgos de Gestión'!$AF$26="Alta",'Riesgos de Gestión'!$AH$26="Catastrófico"),CONCATENATE("R3C",'Riesgos de Gestión'!$V$26),"")</f>
        <v/>
      </c>
      <c r="AJ18" s="39" t="str">
        <f>IF(AND('Riesgos de Gestión'!$AF$27="Alta",'Riesgos de Gestión'!$AH$27="Catastrófico"),CONCATENATE("R3C",'Riesgos de Gestión'!$V$27),"")</f>
        <v/>
      </c>
      <c r="AK18" s="39" t="str">
        <f>IF(AND('Riesgos de Gestión'!$AF$28="Alta",'Riesgos de Gestión'!$AH$28="Catastrófico"),CONCATENATE("R3C",'Riesgos de Gestión'!$V$28),"")</f>
        <v/>
      </c>
      <c r="AL18" s="39" t="str">
        <f>IF(AND('Riesgos de Gestión'!$AF$29="Alta",'Riesgos de Gestión'!$AH$29="Catastrófico"),CONCATENATE("R3C",'Riesgos de Gestión'!$V$29),"")</f>
        <v/>
      </c>
      <c r="AM18" s="40" t="str">
        <f>IF(AND('Riesgos de Gestión'!$AF$30="Alta",'Riesgos de Gestión'!$AH$30="Catastrófico"),CONCATENATE("R3C",'Riesgos de Gestión'!$V$30),"")</f>
        <v/>
      </c>
      <c r="AN18" s="66"/>
      <c r="AO18" s="487"/>
      <c r="AP18" s="488"/>
      <c r="AQ18" s="488"/>
      <c r="AR18" s="488"/>
      <c r="AS18" s="488"/>
      <c r="AT18" s="489"/>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436"/>
      <c r="C19" s="436"/>
      <c r="D19" s="437"/>
      <c r="E19" s="477"/>
      <c r="F19" s="478"/>
      <c r="G19" s="478"/>
      <c r="H19" s="478"/>
      <c r="I19" s="478"/>
      <c r="J19" s="50" t="str">
        <f>IF(AND('Riesgos de Gestión'!$AF$31="Alta",'Riesgos de Gestión'!$AH$31="Leve"),CONCATENATE("R4C",'Riesgos de Gestión'!$V$31),"")</f>
        <v/>
      </c>
      <c r="K19" s="51" t="str">
        <f>IF(AND('Riesgos de Gestión'!$AF$32="Alta",'Riesgos de Gestión'!$AH$32="Leve"),CONCATENATE("R4C",'Riesgos de Gestión'!$V$32),"")</f>
        <v/>
      </c>
      <c r="L19" s="51" t="str">
        <f>IF(AND('Riesgos de Gestión'!$AF$33="Alta",'Riesgos de Gestión'!$AH$33="Leve"),CONCATENATE("R4C",'Riesgos de Gestión'!$V$33),"")</f>
        <v/>
      </c>
      <c r="M19" s="51" t="str">
        <f>IF(AND('Riesgos de Gestión'!$AF$34="Alta",'Riesgos de Gestión'!$AH$34="Leve"),CONCATENATE("R4C",'Riesgos de Gestión'!$V$34),"")</f>
        <v/>
      </c>
      <c r="N19" s="51" t="str">
        <f>IF(AND('Riesgos de Gestión'!$AF$35="Alta",'Riesgos de Gestión'!$AH$35="Leve"),CONCATENATE("R4C",'Riesgos de Gestión'!$V$35),"")</f>
        <v/>
      </c>
      <c r="O19" s="52" t="str">
        <f>IF(AND('Riesgos de Gestión'!$AF$36="Alta",'Riesgos de Gestión'!$AH$36="Leve"),CONCATENATE("R4C",'Riesgos de Gestión'!$V$36),"")</f>
        <v/>
      </c>
      <c r="P19" s="50" t="str">
        <f>IF(AND('Riesgos de Gestión'!$AF$31="Alta",'Riesgos de Gestión'!$AH$31="Menor"),CONCATENATE("R4C",'Riesgos de Gestión'!$V$31),"")</f>
        <v/>
      </c>
      <c r="Q19" s="51" t="str">
        <f>IF(AND('Riesgos de Gestión'!$AF$32="Alta",'Riesgos de Gestión'!$AH$32="Menor"),CONCATENATE("R4C",'Riesgos de Gestión'!$V$32),"")</f>
        <v/>
      </c>
      <c r="R19" s="51" t="str">
        <f>IF(AND('Riesgos de Gestión'!$AF$33="Alta",'Riesgos de Gestión'!$AH$33="Menor"),CONCATENATE("R4C",'Riesgos de Gestión'!$V$33),"")</f>
        <v/>
      </c>
      <c r="S19" s="51" t="str">
        <f>IF(AND('Riesgos de Gestión'!$AF$34="Alta",'Riesgos de Gestión'!$AH$34="Menor"),CONCATENATE("R4C",'Riesgos de Gestión'!$V$34),"")</f>
        <v/>
      </c>
      <c r="T19" s="51" t="str">
        <f>IF(AND('Riesgos de Gestión'!$AF$35="Alta",'Riesgos de Gestión'!$AH$35="Menor"),CONCATENATE("R4C",'Riesgos de Gestión'!$V$35),"")</f>
        <v/>
      </c>
      <c r="U19" s="52" t="str">
        <f>IF(AND('Riesgos de Gestión'!$AF$36="Alta",'Riesgos de Gestión'!$AH$36="Menor"),CONCATENATE("R4C",'Riesgos de Gestión'!$V$36),"")</f>
        <v/>
      </c>
      <c r="V19" s="35" t="str">
        <f>IF(AND('Riesgos de Gestión'!$AF$31="Alta",'Riesgos de Gestión'!$AH$31="Moderado"),CONCATENATE("R4C",'Riesgos de Gestión'!$V$31),"")</f>
        <v>R4C1</v>
      </c>
      <c r="W19" s="36" t="str">
        <f>IF(AND('Riesgos de Gestión'!$AF$32="Alta",'Riesgos de Gestión'!$AH$32="Moderado"),CONCATENATE("R4C",'Riesgos de Gestión'!$V$32),"")</f>
        <v/>
      </c>
      <c r="X19" s="36" t="str">
        <f>IF(AND('Riesgos de Gestión'!$AF$33="Alta",'Riesgos de Gestión'!$AH$33="Moderado"),CONCATENATE("R4C",'Riesgos de Gestión'!$V$33),"")</f>
        <v/>
      </c>
      <c r="Y19" s="36" t="str">
        <f>IF(AND('Riesgos de Gestión'!$AF$34="Alta",'Riesgos de Gestión'!$AH$34="Moderado"),CONCATENATE("R4C",'Riesgos de Gestión'!$V$34),"")</f>
        <v/>
      </c>
      <c r="Z19" s="36" t="str">
        <f>IF(AND('Riesgos de Gestión'!$AF$35="Alta",'Riesgos de Gestión'!$AH$35="Moderado"),CONCATENATE("R4C",'Riesgos de Gestión'!$V$35),"")</f>
        <v/>
      </c>
      <c r="AA19" s="37" t="str">
        <f>IF(AND('Riesgos de Gestión'!$AF$36="Alta",'Riesgos de Gestión'!$AH$36="Moderado"),CONCATENATE("R4C",'Riesgos de Gestión'!$V$36),"")</f>
        <v/>
      </c>
      <c r="AB19" s="35" t="str">
        <f>IF(AND('Riesgos de Gestión'!$AF$31="Alta",'Riesgos de Gestión'!$AH$31="Mayor"),CONCATENATE("R4C",'Riesgos de Gestión'!$V$31),"")</f>
        <v/>
      </c>
      <c r="AC19" s="36" t="str">
        <f>IF(AND('Riesgos de Gestión'!$AF$32="Alta",'Riesgos de Gestión'!$AH$32="Mayor"),CONCATENATE("R4C",'Riesgos de Gestión'!$V$32),"")</f>
        <v/>
      </c>
      <c r="AD19" s="36" t="str">
        <f>IF(AND('Riesgos de Gestión'!$AF$33="Alta",'Riesgos de Gestión'!$AH$33="Mayor"),CONCATENATE("R4C",'Riesgos de Gestión'!$V$33),"")</f>
        <v/>
      </c>
      <c r="AE19" s="36" t="str">
        <f>IF(AND('Riesgos de Gestión'!$AF$34="Alta",'Riesgos de Gestión'!$AH$34="Mayor"),CONCATENATE("R4C",'Riesgos de Gestión'!$V$34),"")</f>
        <v/>
      </c>
      <c r="AF19" s="36" t="str">
        <f>IF(AND('Riesgos de Gestión'!$AF$35="Alta",'Riesgos de Gestión'!$AH$35="Mayor"),CONCATENATE("R4C",'Riesgos de Gestión'!$V$35),"")</f>
        <v/>
      </c>
      <c r="AG19" s="37" t="str">
        <f>IF(AND('Riesgos de Gestión'!$AF$36="Alta",'Riesgos de Gestión'!$AH$36="Mayor"),CONCATENATE("R4C",'Riesgos de Gestión'!$V$36),"")</f>
        <v/>
      </c>
      <c r="AH19" s="38" t="str">
        <f>IF(AND('Riesgos de Gestión'!$AF$31="Alta",'Riesgos de Gestión'!$AH$31="Catastrófico"),CONCATENATE("R4C",'Riesgos de Gestión'!$V$31),"")</f>
        <v/>
      </c>
      <c r="AI19" s="39" t="str">
        <f>IF(AND('Riesgos de Gestión'!$AF$32="Alta",'Riesgos de Gestión'!$AH$32="Catastrófico"),CONCATENATE("R4C",'Riesgos de Gestión'!$V$32),"")</f>
        <v/>
      </c>
      <c r="AJ19" s="39" t="str">
        <f>IF(AND('Riesgos de Gestión'!$AF$33="Alta",'Riesgos de Gestión'!$AH$33="Catastrófico"),CONCATENATE("R4C",'Riesgos de Gestión'!$V$33),"")</f>
        <v/>
      </c>
      <c r="AK19" s="39" t="str">
        <f>IF(AND('Riesgos de Gestión'!$AF$34="Alta",'Riesgos de Gestión'!$AH$34="Catastrófico"),CONCATENATE("R4C",'Riesgos de Gestión'!$V$34),"")</f>
        <v/>
      </c>
      <c r="AL19" s="39" t="str">
        <f>IF(AND('Riesgos de Gestión'!$AF$35="Alta",'Riesgos de Gestión'!$AH$35="Catastrófico"),CONCATENATE("R4C",'Riesgos de Gestión'!$V$35),"")</f>
        <v/>
      </c>
      <c r="AM19" s="40" t="str">
        <f>IF(AND('Riesgos de Gestión'!$AF$36="Alta",'Riesgos de Gestión'!$AH$36="Catastrófico"),CONCATENATE("R4C",'Riesgos de Gestión'!$V$36),"")</f>
        <v/>
      </c>
      <c r="AN19" s="66"/>
      <c r="AO19" s="487"/>
      <c r="AP19" s="488"/>
      <c r="AQ19" s="488"/>
      <c r="AR19" s="488"/>
      <c r="AS19" s="488"/>
      <c r="AT19" s="489"/>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436"/>
      <c r="C20" s="436"/>
      <c r="D20" s="437"/>
      <c r="E20" s="477"/>
      <c r="F20" s="478"/>
      <c r="G20" s="478"/>
      <c r="H20" s="478"/>
      <c r="I20" s="478"/>
      <c r="J20" s="50" t="str">
        <f>IF(AND('Riesgos de Gestión'!$AF$37="Alta",'Riesgos de Gestión'!$AH$37="Leve"),CONCATENATE("R5C",'Riesgos de Gestión'!$V$37),"")</f>
        <v/>
      </c>
      <c r="K20" s="51" t="str">
        <f>IF(AND('Riesgos de Gestión'!$AF$38="Alta",'Riesgos de Gestión'!$AH$38="Leve"),CONCATENATE("R5C",'Riesgos de Gestión'!$V$38),"")</f>
        <v/>
      </c>
      <c r="L20" s="51" t="str">
        <f>IF(AND('Riesgos de Gestión'!$AF$39="Alta",'Riesgos de Gestión'!$AH$39="Leve"),CONCATENATE("R5C",'Riesgos de Gestión'!$V$39),"")</f>
        <v/>
      </c>
      <c r="M20" s="51" t="str">
        <f>IF(AND('Riesgos de Gestión'!$AF$40="Alta",'Riesgos de Gestión'!$AH$40="Leve"),CONCATENATE("R5C",'Riesgos de Gestión'!$V$40),"")</f>
        <v/>
      </c>
      <c r="N20" s="51" t="str">
        <f>IF(AND('Riesgos de Gestión'!$AF$41="Alta",'Riesgos de Gestión'!$AH$41="Leve"),CONCATENATE("R5C",'Riesgos de Gestión'!$V$41),"")</f>
        <v/>
      </c>
      <c r="O20" s="52" t="str">
        <f>IF(AND('Riesgos de Gestión'!$AF$42="Alta",'Riesgos de Gestión'!$AH$42="Leve"),CONCATENATE("R5C",'Riesgos de Gestión'!$V$42),"")</f>
        <v/>
      </c>
      <c r="P20" s="50" t="str">
        <f>IF(AND('Riesgos de Gestión'!$AF$37="Alta",'Riesgos de Gestión'!$AH$37="Menor"),CONCATENATE("R5C",'Riesgos de Gestión'!$V$37),"")</f>
        <v/>
      </c>
      <c r="Q20" s="51" t="str">
        <f>IF(AND('Riesgos de Gestión'!$AF$38="Alta",'Riesgos de Gestión'!$AH$38="Menor"),CONCATENATE("R5C",'Riesgos de Gestión'!$V$38),"")</f>
        <v/>
      </c>
      <c r="R20" s="51" t="str">
        <f>IF(AND('Riesgos de Gestión'!$AF$39="Alta",'Riesgos de Gestión'!$AH$39="Menor"),CONCATENATE("R5C",'Riesgos de Gestión'!$V$39),"")</f>
        <v/>
      </c>
      <c r="S20" s="51" t="str">
        <f>IF(AND('Riesgos de Gestión'!$AF$40="Alta",'Riesgos de Gestión'!$AH$40="Menor"),CONCATENATE("R5C",'Riesgos de Gestión'!$V$40),"")</f>
        <v/>
      </c>
      <c r="T20" s="51" t="str">
        <f>IF(AND('Riesgos de Gestión'!$AF$41="Alta",'Riesgos de Gestión'!$AH$41="Menor"),CONCATENATE("R5C",'Riesgos de Gestión'!$V$41),"")</f>
        <v/>
      </c>
      <c r="U20" s="52" t="str">
        <f>IF(AND('Riesgos de Gestión'!$AF$42="Alta",'Riesgos de Gestión'!$AH$42="Menor"),CONCATENATE("R5C",'Riesgos de Gestión'!$V$42),"")</f>
        <v/>
      </c>
      <c r="V20" s="35" t="str">
        <f>IF(AND('Riesgos de Gestión'!$AF$37="Alta",'Riesgos de Gestión'!$AH$37="Moderado"),CONCATENATE("R5C",'Riesgos de Gestión'!$V$37),"")</f>
        <v/>
      </c>
      <c r="W20" s="36" t="str">
        <f>IF(AND('Riesgos de Gestión'!$AF$38="Alta",'Riesgos de Gestión'!$AH$38="Moderado"),CONCATENATE("R5C",'Riesgos de Gestión'!$V$38),"")</f>
        <v/>
      </c>
      <c r="X20" s="36" t="str">
        <f>IF(AND('Riesgos de Gestión'!$AF$39="Alta",'Riesgos de Gestión'!$AH$39="Moderado"),CONCATENATE("R5C",'Riesgos de Gestión'!$V$39),"")</f>
        <v/>
      </c>
      <c r="Y20" s="36" t="str">
        <f>IF(AND('Riesgos de Gestión'!$AF$40="Alta",'Riesgos de Gestión'!$AH$40="Moderado"),CONCATENATE("R5C",'Riesgos de Gestión'!$V$40),"")</f>
        <v/>
      </c>
      <c r="Z20" s="36" t="str">
        <f>IF(AND('Riesgos de Gestión'!$AF$41="Alta",'Riesgos de Gestión'!$AH$41="Moderado"),CONCATENATE("R5C",'Riesgos de Gestión'!$V$41),"")</f>
        <v/>
      </c>
      <c r="AA20" s="37" t="str">
        <f>IF(AND('Riesgos de Gestión'!$AF$42="Alta",'Riesgos de Gestión'!$AH$42="Moderado"),CONCATENATE("R5C",'Riesgos de Gestión'!$V$42),"")</f>
        <v/>
      </c>
      <c r="AB20" s="35" t="str">
        <f>IF(AND('Riesgos de Gestión'!$AF$37="Alta",'Riesgos de Gestión'!$AH$37="Mayor"),CONCATENATE("R5C",'Riesgos de Gestión'!$V$37),"")</f>
        <v/>
      </c>
      <c r="AC20" s="36" t="str">
        <f>IF(AND('Riesgos de Gestión'!$AF$38="Alta",'Riesgos de Gestión'!$AH$38="Mayor"),CONCATENATE("R5C",'Riesgos de Gestión'!$V$38),"")</f>
        <v/>
      </c>
      <c r="AD20" s="36" t="str">
        <f>IF(AND('Riesgos de Gestión'!$AF$39="Alta",'Riesgos de Gestión'!$AH$39="Mayor"),CONCATENATE("R5C",'Riesgos de Gestión'!$V$39),"")</f>
        <v/>
      </c>
      <c r="AE20" s="36" t="str">
        <f>IF(AND('Riesgos de Gestión'!$AF$40="Alta",'Riesgos de Gestión'!$AH$40="Mayor"),CONCATENATE("R5C",'Riesgos de Gestión'!$V$40),"")</f>
        <v/>
      </c>
      <c r="AF20" s="36" t="str">
        <f>IF(AND('Riesgos de Gestión'!$AF$41="Alta",'Riesgos de Gestión'!$AH$41="Mayor"),CONCATENATE("R5C",'Riesgos de Gestión'!$V$41),"")</f>
        <v/>
      </c>
      <c r="AG20" s="37" t="str">
        <f>IF(AND('Riesgos de Gestión'!$AF$42="Alta",'Riesgos de Gestión'!$AH$42="Mayor"),CONCATENATE("R5C",'Riesgos de Gestión'!$V$42),"")</f>
        <v/>
      </c>
      <c r="AH20" s="38" t="str">
        <f>IF(AND('Riesgos de Gestión'!$AF$37="Alta",'Riesgos de Gestión'!$AH$37="Catastrófico"),CONCATENATE("R5C",'Riesgos de Gestión'!$V$37),"")</f>
        <v/>
      </c>
      <c r="AI20" s="39" t="str">
        <f>IF(AND('Riesgos de Gestión'!$AF$38="Alta",'Riesgos de Gestión'!$AH$38="Catastrófico"),CONCATENATE("R5C",'Riesgos de Gestión'!$V$38),"")</f>
        <v/>
      </c>
      <c r="AJ20" s="39" t="str">
        <f>IF(AND('Riesgos de Gestión'!$AF$39="Alta",'Riesgos de Gestión'!$AH$39="Catastrófico"),CONCATENATE("R5C",'Riesgos de Gestión'!$V$39),"")</f>
        <v/>
      </c>
      <c r="AK20" s="39" t="str">
        <f>IF(AND('Riesgos de Gestión'!$AF$40="Alta",'Riesgos de Gestión'!$AH$40="Catastrófico"),CONCATENATE("R5C",'Riesgos de Gestión'!$V$40),"")</f>
        <v/>
      </c>
      <c r="AL20" s="39" t="str">
        <f>IF(AND('Riesgos de Gestión'!$AF$41="Alta",'Riesgos de Gestión'!$AH$41="Catastrófico"),CONCATENATE("R5C",'Riesgos de Gestión'!$V$41),"")</f>
        <v/>
      </c>
      <c r="AM20" s="40" t="str">
        <f>IF(AND('Riesgos de Gestión'!$AF$42="Alta",'Riesgos de Gestión'!$AH$42="Catastrófico"),CONCATENATE("R5C",'Riesgos de Gestión'!$V$42),"")</f>
        <v/>
      </c>
      <c r="AN20" s="66"/>
      <c r="AO20" s="487"/>
      <c r="AP20" s="488"/>
      <c r="AQ20" s="488"/>
      <c r="AR20" s="488"/>
      <c r="AS20" s="488"/>
      <c r="AT20" s="489"/>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436"/>
      <c r="C21" s="436"/>
      <c r="D21" s="437"/>
      <c r="E21" s="477"/>
      <c r="F21" s="478"/>
      <c r="G21" s="478"/>
      <c r="H21" s="478"/>
      <c r="I21" s="478"/>
      <c r="J21" s="50" t="str">
        <f>IF(AND('Riesgos de Gestión'!$AF$43="Alta",'Riesgos de Gestión'!$AH$43="Leve"),CONCATENATE("R6C",'Riesgos de Gestión'!$V$43),"")</f>
        <v/>
      </c>
      <c r="K21" s="51" t="str">
        <f>IF(AND('Riesgos de Gestión'!$AF$44="Alta",'Riesgos de Gestión'!$AH$44="Leve"),CONCATENATE("R6C",'Riesgos de Gestión'!$V$44),"")</f>
        <v/>
      </c>
      <c r="L21" s="51" t="str">
        <f>IF(AND('Riesgos de Gestión'!$AF$45="Alta",'Riesgos de Gestión'!$AH$45="Leve"),CONCATENATE("R6C",'Riesgos de Gestión'!$V$45),"")</f>
        <v/>
      </c>
      <c r="M21" s="51" t="str">
        <f>IF(AND('Riesgos de Gestión'!$AF$46="Alta",'Riesgos de Gestión'!$AH$46="Leve"),CONCATENATE("R6C",'Riesgos de Gestión'!$V$46),"")</f>
        <v/>
      </c>
      <c r="N21" s="51" t="str">
        <f>IF(AND('Riesgos de Gestión'!$AF$47="Alta",'Riesgos de Gestión'!$AH$47="Leve"),CONCATENATE("R6C",'Riesgos de Gestión'!$V$47),"")</f>
        <v/>
      </c>
      <c r="O21" s="52" t="str">
        <f>IF(AND('Riesgos de Gestión'!$AF$48="Alta",'Riesgos de Gestión'!$AH$48="Leve"),CONCATENATE("R6C",'Riesgos de Gestión'!$V$48),"")</f>
        <v/>
      </c>
      <c r="P21" s="50" t="str">
        <f>IF(AND('Riesgos de Gestión'!$AF$43="Alta",'Riesgos de Gestión'!$AH$43="Menor"),CONCATENATE("R6C",'Riesgos de Gestión'!$V$43),"")</f>
        <v/>
      </c>
      <c r="Q21" s="51" t="str">
        <f>IF(AND('Riesgos de Gestión'!$AF$44="Alta",'Riesgos de Gestión'!$AH$44="Menor"),CONCATENATE("R6C",'Riesgos de Gestión'!$V$44),"")</f>
        <v/>
      </c>
      <c r="R21" s="51" t="str">
        <f>IF(AND('Riesgos de Gestión'!$AF$45="Alta",'Riesgos de Gestión'!$AH$45="Menor"),CONCATENATE("R6C",'Riesgos de Gestión'!$V$45),"")</f>
        <v/>
      </c>
      <c r="S21" s="51" t="str">
        <f>IF(AND('Riesgos de Gestión'!$AF$46="Alta",'Riesgos de Gestión'!$AH$46="Menor"),CONCATENATE("R6C",'Riesgos de Gestión'!$V$46),"")</f>
        <v/>
      </c>
      <c r="T21" s="51" t="str">
        <f>IF(AND('Riesgos de Gestión'!$AF$47="Alta",'Riesgos de Gestión'!$AH$47="Menor"),CONCATENATE("R6C",'Riesgos de Gestión'!$V$47),"")</f>
        <v/>
      </c>
      <c r="U21" s="52" t="str">
        <f>IF(AND('Riesgos de Gestión'!$AF$48="Alta",'Riesgos de Gestión'!$AH$48="Menor"),CONCATENATE("R6C",'Riesgos de Gestión'!$V$48),"")</f>
        <v/>
      </c>
      <c r="V21" s="35" t="str">
        <f>IF(AND('Riesgos de Gestión'!$AF$43="Alta",'Riesgos de Gestión'!$AH$43="Moderado"),CONCATENATE("R6C",'Riesgos de Gestión'!$V$43),"")</f>
        <v/>
      </c>
      <c r="W21" s="36" t="str">
        <f>IF(AND('Riesgos de Gestión'!$AF$44="Alta",'Riesgos de Gestión'!$AH$44="Moderado"),CONCATENATE("R6C",'Riesgos de Gestión'!$V$44),"")</f>
        <v/>
      </c>
      <c r="X21" s="36" t="str">
        <f>IF(AND('Riesgos de Gestión'!$AF$45="Alta",'Riesgos de Gestión'!$AH$45="Moderado"),CONCATENATE("R6C",'Riesgos de Gestión'!$V$45),"")</f>
        <v/>
      </c>
      <c r="Y21" s="36" t="str">
        <f>IF(AND('Riesgos de Gestión'!$AF$46="Alta",'Riesgos de Gestión'!$AH$46="Moderado"),CONCATENATE("R6C",'Riesgos de Gestión'!$V$46),"")</f>
        <v/>
      </c>
      <c r="Z21" s="36" t="str">
        <f>IF(AND('Riesgos de Gestión'!$AF$47="Alta",'Riesgos de Gestión'!$AH$47="Moderado"),CONCATENATE("R6C",'Riesgos de Gestión'!$V$47),"")</f>
        <v/>
      </c>
      <c r="AA21" s="37" t="str">
        <f>IF(AND('Riesgos de Gestión'!$AF$48="Alta",'Riesgos de Gestión'!$AH$48="Moderado"),CONCATENATE("R6C",'Riesgos de Gestión'!$V$48),"")</f>
        <v/>
      </c>
      <c r="AB21" s="35" t="str">
        <f>IF(AND('Riesgos de Gestión'!$AF$43="Alta",'Riesgos de Gestión'!$AH$43="Mayor"),CONCATENATE("R6C",'Riesgos de Gestión'!$V$43),"")</f>
        <v/>
      </c>
      <c r="AC21" s="36" t="str">
        <f>IF(AND('Riesgos de Gestión'!$AF$44="Alta",'Riesgos de Gestión'!$AH$44="Mayor"),CONCATENATE("R6C",'Riesgos de Gestión'!$V$44),"")</f>
        <v/>
      </c>
      <c r="AD21" s="36" t="str">
        <f>IF(AND('Riesgos de Gestión'!$AF$45="Alta",'Riesgos de Gestión'!$AH$45="Mayor"),CONCATENATE("R6C",'Riesgos de Gestión'!$V$45),"")</f>
        <v/>
      </c>
      <c r="AE21" s="36" t="str">
        <f>IF(AND('Riesgos de Gestión'!$AF$46="Alta",'Riesgos de Gestión'!$AH$46="Mayor"),CONCATENATE("R6C",'Riesgos de Gestión'!$V$46),"")</f>
        <v/>
      </c>
      <c r="AF21" s="36" t="str">
        <f>IF(AND('Riesgos de Gestión'!$AF$47="Alta",'Riesgos de Gestión'!$AH$47="Mayor"),CONCATENATE("R6C",'Riesgos de Gestión'!$V$47),"")</f>
        <v/>
      </c>
      <c r="AG21" s="37" t="str">
        <f>IF(AND('Riesgos de Gestión'!$AF$48="Alta",'Riesgos de Gestión'!$AH$48="Mayor"),CONCATENATE("R6C",'Riesgos de Gestión'!$V$48),"")</f>
        <v/>
      </c>
      <c r="AH21" s="38" t="str">
        <f>IF(AND('Riesgos de Gestión'!$AF$43="Alta",'Riesgos de Gestión'!$AH$43="Catastrófico"),CONCATENATE("R6C",'Riesgos de Gestión'!$V$43),"")</f>
        <v/>
      </c>
      <c r="AI21" s="39" t="str">
        <f>IF(AND('Riesgos de Gestión'!$AF$44="Alta",'Riesgos de Gestión'!$AH$44="Catastrófico"),CONCATENATE("R6C",'Riesgos de Gestión'!$V$44),"")</f>
        <v/>
      </c>
      <c r="AJ21" s="39" t="str">
        <f>IF(AND('Riesgos de Gestión'!$AF$45="Alta",'Riesgos de Gestión'!$AH$45="Catastrófico"),CONCATENATE("R6C",'Riesgos de Gestión'!$V$45),"")</f>
        <v/>
      </c>
      <c r="AK21" s="39" t="str">
        <f>IF(AND('Riesgos de Gestión'!$AF$46="Alta",'Riesgos de Gestión'!$AH$46="Catastrófico"),CONCATENATE("R6C",'Riesgos de Gestión'!$V$46),"")</f>
        <v/>
      </c>
      <c r="AL21" s="39" t="str">
        <f>IF(AND('Riesgos de Gestión'!$AF$47="Alta",'Riesgos de Gestión'!$AH$47="Catastrófico"),CONCATENATE("R6C",'Riesgos de Gestión'!$V$47),"")</f>
        <v/>
      </c>
      <c r="AM21" s="40" t="str">
        <f>IF(AND('Riesgos de Gestión'!$AF$48="Alta",'Riesgos de Gestión'!$AH$48="Catastrófico"),CONCATENATE("R6C",'Riesgos de Gestión'!$V$48),"")</f>
        <v/>
      </c>
      <c r="AN21" s="66"/>
      <c r="AO21" s="487"/>
      <c r="AP21" s="488"/>
      <c r="AQ21" s="488"/>
      <c r="AR21" s="488"/>
      <c r="AS21" s="488"/>
      <c r="AT21" s="489"/>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436"/>
      <c r="C22" s="436"/>
      <c r="D22" s="437"/>
      <c r="E22" s="477"/>
      <c r="F22" s="478"/>
      <c r="G22" s="478"/>
      <c r="H22" s="478"/>
      <c r="I22" s="478"/>
      <c r="J22" s="50" t="str">
        <f>IF(AND('Riesgos de Gestión'!$AF$49="Alta",'Riesgos de Gestión'!$AH$49="Leve"),CONCATENATE("R7C",'Riesgos de Gestión'!$V$49),"")</f>
        <v/>
      </c>
      <c r="K22" s="51" t="str">
        <f>IF(AND('Riesgos de Gestión'!$AF$50="Alta",'Riesgos de Gestión'!$AH$50="Leve"),CONCATENATE("R7C",'Riesgos de Gestión'!$V$50),"")</f>
        <v/>
      </c>
      <c r="L22" s="51" t="str">
        <f>IF(AND('Riesgos de Gestión'!$AF$51="Alta",'Riesgos de Gestión'!$AH$51="Leve"),CONCATENATE("R7C",'Riesgos de Gestión'!$V$51),"")</f>
        <v/>
      </c>
      <c r="M22" s="51" t="str">
        <f>IF(AND('Riesgos de Gestión'!$AF$52="Alta",'Riesgos de Gestión'!$AH$52="Leve"),CONCATENATE("R7C",'Riesgos de Gestión'!$V$52),"")</f>
        <v/>
      </c>
      <c r="N22" s="51" t="str">
        <f>IF(AND('Riesgos de Gestión'!$AF$53="Alta",'Riesgos de Gestión'!$AH$53="Leve"),CONCATENATE("R7C",'Riesgos de Gestión'!$V$53),"")</f>
        <v/>
      </c>
      <c r="O22" s="52" t="str">
        <f>IF(AND('Riesgos de Gestión'!$AF$54="Alta",'Riesgos de Gestión'!$AH$54="Leve"),CONCATENATE("R7C",'Riesgos de Gestión'!$V$54),"")</f>
        <v/>
      </c>
      <c r="P22" s="50" t="str">
        <f>IF(AND('Riesgos de Gestión'!$AF$49="Alta",'Riesgos de Gestión'!$AH$49="Menor"),CONCATENATE("R7C",'Riesgos de Gestión'!$V$49),"")</f>
        <v/>
      </c>
      <c r="Q22" s="51" t="str">
        <f>IF(AND('Riesgos de Gestión'!$AF$50="Alta",'Riesgos de Gestión'!$AH$50="Menor"),CONCATENATE("R7C",'Riesgos de Gestión'!$V$50),"")</f>
        <v/>
      </c>
      <c r="R22" s="51" t="str">
        <f>IF(AND('Riesgos de Gestión'!$AF$51="Alta",'Riesgos de Gestión'!$AH$51="Menor"),CONCATENATE("R7C",'Riesgos de Gestión'!$V$51),"")</f>
        <v/>
      </c>
      <c r="S22" s="51" t="str">
        <f>IF(AND('Riesgos de Gestión'!$AF$52="Alta",'Riesgos de Gestión'!$AH$52="Menor"),CONCATENATE("R7C",'Riesgos de Gestión'!$V$52),"")</f>
        <v/>
      </c>
      <c r="T22" s="51" t="str">
        <f>IF(AND('Riesgos de Gestión'!$AF$53="Alta",'Riesgos de Gestión'!$AH$53="Menor"),CONCATENATE("R7C",'Riesgos de Gestión'!$V$53),"")</f>
        <v/>
      </c>
      <c r="U22" s="52" t="str">
        <f>IF(AND('Riesgos de Gestión'!$AF$54="Alta",'Riesgos de Gestión'!$AH$54="Menor"),CONCATENATE("R7C",'Riesgos de Gestión'!$V$54),"")</f>
        <v/>
      </c>
      <c r="V22" s="35" t="str">
        <f>IF(AND('Riesgos de Gestión'!$AF$49="Alta",'Riesgos de Gestión'!$AH$49="Moderado"),CONCATENATE("R7C",'Riesgos de Gestión'!$V$49),"")</f>
        <v/>
      </c>
      <c r="W22" s="36" t="str">
        <f>IF(AND('Riesgos de Gestión'!$AF$50="Alta",'Riesgos de Gestión'!$AH$50="Moderado"),CONCATENATE("R7C",'Riesgos de Gestión'!$V$50),"")</f>
        <v/>
      </c>
      <c r="X22" s="36" t="str">
        <f>IF(AND('Riesgos de Gestión'!$AF$51="Alta",'Riesgos de Gestión'!$AH$51="Moderado"),CONCATENATE("R7C",'Riesgos de Gestión'!$V$51),"")</f>
        <v/>
      </c>
      <c r="Y22" s="36" t="str">
        <f>IF(AND('Riesgos de Gestión'!$AF$52="Alta",'Riesgos de Gestión'!$AH$52="Moderado"),CONCATENATE("R7C",'Riesgos de Gestión'!$V$52),"")</f>
        <v/>
      </c>
      <c r="Z22" s="36" t="str">
        <f>IF(AND('Riesgos de Gestión'!$AF$53="Alta",'Riesgos de Gestión'!$AH$53="Moderado"),CONCATENATE("R7C",'Riesgos de Gestión'!$V$53),"")</f>
        <v/>
      </c>
      <c r="AA22" s="37" t="str">
        <f>IF(AND('Riesgos de Gestión'!$AF$54="Alta",'Riesgos de Gestión'!$AH$54="Moderado"),CONCATENATE("R7C",'Riesgos de Gestión'!$V$54),"")</f>
        <v/>
      </c>
      <c r="AB22" s="35" t="str">
        <f>IF(AND('Riesgos de Gestión'!$AF$49="Alta",'Riesgos de Gestión'!$AH$49="Mayor"),CONCATENATE("R7C",'Riesgos de Gestión'!$V$49),"")</f>
        <v/>
      </c>
      <c r="AC22" s="36" t="str">
        <f>IF(AND('Riesgos de Gestión'!$AF$50="Alta",'Riesgos de Gestión'!$AH$50="Mayor"),CONCATENATE("R7C",'Riesgos de Gestión'!$V$50),"")</f>
        <v/>
      </c>
      <c r="AD22" s="36" t="str">
        <f>IF(AND('Riesgos de Gestión'!$AF$51="Alta",'Riesgos de Gestión'!$AH$51="Mayor"),CONCATENATE("R7C",'Riesgos de Gestión'!$V$51),"")</f>
        <v/>
      </c>
      <c r="AE22" s="36" t="str">
        <f>IF(AND('Riesgos de Gestión'!$AF$52="Alta",'Riesgos de Gestión'!$AH$52="Mayor"),CONCATENATE("R7C",'Riesgos de Gestión'!$V$52),"")</f>
        <v/>
      </c>
      <c r="AF22" s="36" t="str">
        <f>IF(AND('Riesgos de Gestión'!$AF$53="Alta",'Riesgos de Gestión'!$AH$53="Mayor"),CONCATENATE("R7C",'Riesgos de Gestión'!$V$53),"")</f>
        <v/>
      </c>
      <c r="AG22" s="37" t="str">
        <f>IF(AND('Riesgos de Gestión'!$AF$54="Alta",'Riesgos de Gestión'!$AH$54="Mayor"),CONCATENATE("R7C",'Riesgos de Gestión'!$V$54),"")</f>
        <v/>
      </c>
      <c r="AH22" s="38" t="str">
        <f>IF(AND('Riesgos de Gestión'!$AF$49="Alta",'Riesgos de Gestión'!$AH$49="Catastrófico"),CONCATENATE("R7C",'Riesgos de Gestión'!$V$49),"")</f>
        <v/>
      </c>
      <c r="AI22" s="39" t="str">
        <f>IF(AND('Riesgos de Gestión'!$AF$50="Alta",'Riesgos de Gestión'!$AH$50="Catastrófico"),CONCATENATE("R7C",'Riesgos de Gestión'!$V$50),"")</f>
        <v/>
      </c>
      <c r="AJ22" s="39" t="str">
        <f>IF(AND('Riesgos de Gestión'!$AF$51="Alta",'Riesgos de Gestión'!$AH$51="Catastrófico"),CONCATENATE("R7C",'Riesgos de Gestión'!$V$51),"")</f>
        <v/>
      </c>
      <c r="AK22" s="39" t="str">
        <f>IF(AND('Riesgos de Gestión'!$AF$52="Alta",'Riesgos de Gestión'!$AH$52="Catastrófico"),CONCATENATE("R7C",'Riesgos de Gestión'!$V$52),"")</f>
        <v/>
      </c>
      <c r="AL22" s="39" t="str">
        <f>IF(AND('Riesgos de Gestión'!$AF$53="Alta",'Riesgos de Gestión'!$AH$53="Catastrófico"),CONCATENATE("R7C",'Riesgos de Gestión'!$V$53),"")</f>
        <v/>
      </c>
      <c r="AM22" s="40" t="str">
        <f>IF(AND('Riesgos de Gestión'!$AF$54="Alta",'Riesgos de Gestión'!$AH$54="Catastrófico"),CONCATENATE("R7C",'Riesgos de Gestión'!$V$54),"")</f>
        <v/>
      </c>
      <c r="AN22" s="66"/>
      <c r="AO22" s="487"/>
      <c r="AP22" s="488"/>
      <c r="AQ22" s="488"/>
      <c r="AR22" s="488"/>
      <c r="AS22" s="488"/>
      <c r="AT22" s="489"/>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436"/>
      <c r="C23" s="436"/>
      <c r="D23" s="437"/>
      <c r="E23" s="477"/>
      <c r="F23" s="478"/>
      <c r="G23" s="478"/>
      <c r="H23" s="478"/>
      <c r="I23" s="478"/>
      <c r="J23" s="50" t="str">
        <f>IF(AND('Riesgos de Gestión'!$AF$55="Alta",'Riesgos de Gestión'!$AH$55="Leve"),CONCATENATE("R8C",'Riesgos de Gestión'!$V$55),"")</f>
        <v/>
      </c>
      <c r="K23" s="51" t="str">
        <f>IF(AND('Riesgos de Gestión'!$AF$56="Alta",'Riesgos de Gestión'!$AH$56="Leve"),CONCATENATE("R8C",'Riesgos de Gestión'!$V$56),"")</f>
        <v/>
      </c>
      <c r="L23" s="51" t="str">
        <f>IF(AND('Riesgos de Gestión'!$AF$57="Alta",'Riesgos de Gestión'!$AH$57="Leve"),CONCATENATE("R8C",'Riesgos de Gestión'!$V$57),"")</f>
        <v/>
      </c>
      <c r="M23" s="51" t="str">
        <f>IF(AND('Riesgos de Gestión'!$AF$58="Alta",'Riesgos de Gestión'!$AH$58="Leve"),CONCATENATE("R8C",'Riesgos de Gestión'!$V$58),"")</f>
        <v/>
      </c>
      <c r="N23" s="51" t="str">
        <f>IF(AND('Riesgos de Gestión'!$AF$59="Alta",'Riesgos de Gestión'!$AH$59="Leve"),CONCATENATE("R8C",'Riesgos de Gestión'!$V$59),"")</f>
        <v/>
      </c>
      <c r="O23" s="52" t="str">
        <f>IF(AND('Riesgos de Gestión'!$AF$60="Alta",'Riesgos de Gestión'!$AH$60="Leve"),CONCATENATE("R8C",'Riesgos de Gestión'!$V$60),"")</f>
        <v/>
      </c>
      <c r="P23" s="50" t="str">
        <f>IF(AND('Riesgos de Gestión'!$AF$55="Alta",'Riesgos de Gestión'!$AH$55="Menor"),CONCATENATE("R8C",'Riesgos de Gestión'!$V$55),"")</f>
        <v/>
      </c>
      <c r="Q23" s="51" t="str">
        <f>IF(AND('Riesgos de Gestión'!$AF$56="Alta",'Riesgos de Gestión'!$AH$56="Menor"),CONCATENATE("R8C",'Riesgos de Gestión'!$V$56),"")</f>
        <v/>
      </c>
      <c r="R23" s="51" t="str">
        <f>IF(AND('Riesgos de Gestión'!$AF$57="Alta",'Riesgos de Gestión'!$AH$57="Menor"),CONCATENATE("R8C",'Riesgos de Gestión'!$V$57),"")</f>
        <v/>
      </c>
      <c r="S23" s="51" t="str">
        <f>IF(AND('Riesgos de Gestión'!$AF$58="Alta",'Riesgos de Gestión'!$AH$58="Menor"),CONCATENATE("R8C",'Riesgos de Gestión'!$V$58),"")</f>
        <v/>
      </c>
      <c r="T23" s="51" t="str">
        <f>IF(AND('Riesgos de Gestión'!$AF$59="Alta",'Riesgos de Gestión'!$AH$59="Menor"),CONCATENATE("R8C",'Riesgos de Gestión'!$V$59),"")</f>
        <v/>
      </c>
      <c r="U23" s="52" t="str">
        <f>IF(AND('Riesgos de Gestión'!$AF$60="Alta",'Riesgos de Gestión'!$AH$60="Menor"),CONCATENATE("R8C",'Riesgos de Gestión'!$V$60),"")</f>
        <v/>
      </c>
      <c r="V23" s="35" t="str">
        <f>IF(AND('Riesgos de Gestión'!$AF$55="Alta",'Riesgos de Gestión'!$AH$55="Moderado"),CONCATENATE("R8C",'Riesgos de Gestión'!$V$55),"")</f>
        <v/>
      </c>
      <c r="W23" s="36" t="str">
        <f>IF(AND('Riesgos de Gestión'!$AF$56="Alta",'Riesgos de Gestión'!$AH$56="Moderado"),CONCATENATE("R8C",'Riesgos de Gestión'!$V$56),"")</f>
        <v/>
      </c>
      <c r="X23" s="36" t="str">
        <f>IF(AND('Riesgos de Gestión'!$AF$57="Alta",'Riesgos de Gestión'!$AH$57="Moderado"),CONCATENATE("R8C",'Riesgos de Gestión'!$V$57),"")</f>
        <v/>
      </c>
      <c r="Y23" s="36" t="str">
        <f>IF(AND('Riesgos de Gestión'!$AF$58="Alta",'Riesgos de Gestión'!$AH$58="Moderado"),CONCATENATE("R8C",'Riesgos de Gestión'!$V$58),"")</f>
        <v/>
      </c>
      <c r="Z23" s="36" t="str">
        <f>IF(AND('Riesgos de Gestión'!$AF$59="Alta",'Riesgos de Gestión'!$AH$59="Moderado"),CONCATENATE("R8C",'Riesgos de Gestión'!$V$59),"")</f>
        <v/>
      </c>
      <c r="AA23" s="37" t="str">
        <f>IF(AND('Riesgos de Gestión'!$AF$60="Alta",'Riesgos de Gestión'!$AH$60="Moderado"),CONCATENATE("R8C",'Riesgos de Gestión'!$V$60),"")</f>
        <v/>
      </c>
      <c r="AB23" s="35" t="str">
        <f>IF(AND('Riesgos de Gestión'!$AF$55="Alta",'Riesgos de Gestión'!$AH$55="Mayor"),CONCATENATE("R8C",'Riesgos de Gestión'!$V$55),"")</f>
        <v/>
      </c>
      <c r="AC23" s="36" t="str">
        <f>IF(AND('Riesgos de Gestión'!$AF$56="Alta",'Riesgos de Gestión'!$AH$56="Mayor"),CONCATENATE("R8C",'Riesgos de Gestión'!$V$56),"")</f>
        <v/>
      </c>
      <c r="AD23" s="36" t="str">
        <f>IF(AND('Riesgos de Gestión'!$AF$57="Alta",'Riesgos de Gestión'!$AH$57="Mayor"),CONCATENATE("R8C",'Riesgos de Gestión'!$V$57),"")</f>
        <v/>
      </c>
      <c r="AE23" s="36" t="str">
        <f>IF(AND('Riesgos de Gestión'!$AF$58="Alta",'Riesgos de Gestión'!$AH$58="Mayor"),CONCATENATE("R8C",'Riesgos de Gestión'!$V$58),"")</f>
        <v/>
      </c>
      <c r="AF23" s="36" t="str">
        <f>IF(AND('Riesgos de Gestión'!$AF$59="Alta",'Riesgos de Gestión'!$AH$59="Mayor"),CONCATENATE("R8C",'Riesgos de Gestión'!$V$59),"")</f>
        <v/>
      </c>
      <c r="AG23" s="37" t="str">
        <f>IF(AND('Riesgos de Gestión'!$AF$60="Alta",'Riesgos de Gestión'!$AH$60="Mayor"),CONCATENATE("R8C",'Riesgos de Gestión'!$V$60),"")</f>
        <v/>
      </c>
      <c r="AH23" s="38" t="str">
        <f>IF(AND('Riesgos de Gestión'!$AF$55="Alta",'Riesgos de Gestión'!$AH$55="Catastrófico"),CONCATENATE("R8C",'Riesgos de Gestión'!$V$55),"")</f>
        <v/>
      </c>
      <c r="AI23" s="39" t="str">
        <f>IF(AND('Riesgos de Gestión'!$AF$56="Alta",'Riesgos de Gestión'!$AH$56="Catastrófico"),CONCATENATE("R8C",'Riesgos de Gestión'!$V$56),"")</f>
        <v/>
      </c>
      <c r="AJ23" s="39" t="str">
        <f>IF(AND('Riesgos de Gestión'!$AF$57="Alta",'Riesgos de Gestión'!$AH$57="Catastrófico"),CONCATENATE("R8C",'Riesgos de Gestión'!$V$57),"")</f>
        <v/>
      </c>
      <c r="AK23" s="39" t="str">
        <f>IF(AND('Riesgos de Gestión'!$AF$58="Alta",'Riesgos de Gestión'!$AH$58="Catastrófico"),CONCATENATE("R8C",'Riesgos de Gestión'!$V$58),"")</f>
        <v/>
      </c>
      <c r="AL23" s="39" t="str">
        <f>IF(AND('Riesgos de Gestión'!$AF$59="Alta",'Riesgos de Gestión'!$AH$59="Catastrófico"),CONCATENATE("R8C",'Riesgos de Gestión'!$V$59),"")</f>
        <v/>
      </c>
      <c r="AM23" s="40" t="str">
        <f>IF(AND('Riesgos de Gestión'!$AF$60="Alta",'Riesgos de Gestión'!$AH$60="Catastrófico"),CONCATENATE("R8C",'Riesgos de Gestión'!$V$60),"")</f>
        <v/>
      </c>
      <c r="AN23" s="66"/>
      <c r="AO23" s="487"/>
      <c r="AP23" s="488"/>
      <c r="AQ23" s="488"/>
      <c r="AR23" s="488"/>
      <c r="AS23" s="488"/>
      <c r="AT23" s="489"/>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436"/>
      <c r="C24" s="436"/>
      <c r="D24" s="437"/>
      <c r="E24" s="477"/>
      <c r="F24" s="478"/>
      <c r="G24" s="478"/>
      <c r="H24" s="478"/>
      <c r="I24" s="478"/>
      <c r="J24" s="50" t="str">
        <f>IF(AND('Riesgos de Gestión'!$AF$61="Alta",'Riesgos de Gestión'!$AH$61="Leve"),CONCATENATE("R9C",'Riesgos de Gestión'!$V$61),"")</f>
        <v/>
      </c>
      <c r="K24" s="51" t="str">
        <f>IF(AND('Riesgos de Gestión'!$AF$62="Alta",'Riesgos de Gestión'!$AH$62="Leve"),CONCATENATE("R9C",'Riesgos de Gestión'!$V$62),"")</f>
        <v/>
      </c>
      <c r="L24" s="51" t="str">
        <f>IF(AND('Riesgos de Gestión'!$AF$63="Alta",'Riesgos de Gestión'!$AH$63="Leve"),CONCATENATE("R9C",'Riesgos de Gestión'!$V$63),"")</f>
        <v/>
      </c>
      <c r="M24" s="51" t="str">
        <f>IF(AND('Riesgos de Gestión'!$AF$64="Alta",'Riesgos de Gestión'!$AH$64="Leve"),CONCATENATE("R9C",'Riesgos de Gestión'!$V$64),"")</f>
        <v/>
      </c>
      <c r="N24" s="51" t="str">
        <f>IF(AND('Riesgos de Gestión'!$AF$65="Alta",'Riesgos de Gestión'!$AH$65="Leve"),CONCATENATE("R9C",'Riesgos de Gestión'!$V$65),"")</f>
        <v/>
      </c>
      <c r="O24" s="52" t="str">
        <f>IF(AND('Riesgos de Gestión'!$AF$66="Alta",'Riesgos de Gestión'!$AH$66="Leve"),CONCATENATE("R9C",'Riesgos de Gestión'!$V$66),"")</f>
        <v/>
      </c>
      <c r="P24" s="50" t="str">
        <f>IF(AND('Riesgos de Gestión'!$AF$61="Alta",'Riesgos de Gestión'!$AH$61="Menor"),CONCATENATE("R9C",'Riesgos de Gestión'!$V$61),"")</f>
        <v/>
      </c>
      <c r="Q24" s="51" t="str">
        <f>IF(AND('Riesgos de Gestión'!$AF$62="Alta",'Riesgos de Gestión'!$AH$62="Menor"),CONCATENATE("R9C",'Riesgos de Gestión'!$V$62),"")</f>
        <v/>
      </c>
      <c r="R24" s="51" t="str">
        <f>IF(AND('Riesgos de Gestión'!$AF$63="Alta",'Riesgos de Gestión'!$AH$63="Menor"),CONCATENATE("R9C",'Riesgos de Gestión'!$V$63),"")</f>
        <v/>
      </c>
      <c r="S24" s="51" t="str">
        <f>IF(AND('Riesgos de Gestión'!$AF$64="Alta",'Riesgos de Gestión'!$AH$64="Menor"),CONCATENATE("R9C",'Riesgos de Gestión'!$V$64),"")</f>
        <v/>
      </c>
      <c r="T24" s="51" t="str">
        <f>IF(AND('Riesgos de Gestión'!$AF$65="Alta",'Riesgos de Gestión'!$AH$65="Menor"),CONCATENATE("R9C",'Riesgos de Gestión'!$V$65),"")</f>
        <v/>
      </c>
      <c r="U24" s="52" t="str">
        <f>IF(AND('Riesgos de Gestión'!$AF$66="Alta",'Riesgos de Gestión'!$AH$66="Menor"),CONCATENATE("R9C",'Riesgos de Gestión'!$V$66),"")</f>
        <v/>
      </c>
      <c r="V24" s="35" t="str">
        <f>IF(AND('Riesgos de Gestión'!$AF$61="Alta",'Riesgos de Gestión'!$AH$61="Moderado"),CONCATENATE("R9C",'Riesgos de Gestión'!$V$61),"")</f>
        <v/>
      </c>
      <c r="W24" s="36" t="str">
        <f>IF(AND('Riesgos de Gestión'!$AF$62="Alta",'Riesgos de Gestión'!$AH$62="Moderado"),CONCATENATE("R9C",'Riesgos de Gestión'!$V$62),"")</f>
        <v/>
      </c>
      <c r="X24" s="36" t="str">
        <f>IF(AND('Riesgos de Gestión'!$AF$63="Alta",'Riesgos de Gestión'!$AH$63="Moderado"),CONCATENATE("R9C",'Riesgos de Gestión'!$V$63),"")</f>
        <v/>
      </c>
      <c r="Y24" s="36" t="str">
        <f>IF(AND('Riesgos de Gestión'!$AF$64="Alta",'Riesgos de Gestión'!$AH$64="Moderado"),CONCATENATE("R9C",'Riesgos de Gestión'!$V$64),"")</f>
        <v/>
      </c>
      <c r="Z24" s="36" t="str">
        <f>IF(AND('Riesgos de Gestión'!$AF$65="Alta",'Riesgos de Gestión'!$AH$65="Moderado"),CONCATENATE("R9C",'Riesgos de Gestión'!$V$65),"")</f>
        <v/>
      </c>
      <c r="AA24" s="37" t="str">
        <f>IF(AND('Riesgos de Gestión'!$AF$66="Alta",'Riesgos de Gestión'!$AH$66="Moderado"),CONCATENATE("R9C",'Riesgos de Gestión'!$V$66),"")</f>
        <v/>
      </c>
      <c r="AB24" s="35" t="str">
        <f>IF(AND('Riesgos de Gestión'!$AF$61="Alta",'Riesgos de Gestión'!$AH$61="Mayor"),CONCATENATE("R9C",'Riesgos de Gestión'!$V$61),"")</f>
        <v/>
      </c>
      <c r="AC24" s="36" t="str">
        <f>IF(AND('Riesgos de Gestión'!$AF$62="Alta",'Riesgos de Gestión'!$AH$62="Mayor"),CONCATENATE("R9C",'Riesgos de Gestión'!$V$62),"")</f>
        <v/>
      </c>
      <c r="AD24" s="36" t="str">
        <f>IF(AND('Riesgos de Gestión'!$AF$63="Alta",'Riesgos de Gestión'!$AH$63="Mayor"),CONCATENATE("R9C",'Riesgos de Gestión'!$V$63),"")</f>
        <v/>
      </c>
      <c r="AE24" s="36" t="str">
        <f>IF(AND('Riesgos de Gestión'!$AF$64="Alta",'Riesgos de Gestión'!$AH$64="Mayor"),CONCATENATE("R9C",'Riesgos de Gestión'!$V$64),"")</f>
        <v/>
      </c>
      <c r="AF24" s="36" t="str">
        <f>IF(AND('Riesgos de Gestión'!$AF$65="Alta",'Riesgos de Gestión'!$AH$65="Mayor"),CONCATENATE("R9C",'Riesgos de Gestión'!$V$65),"")</f>
        <v/>
      </c>
      <c r="AG24" s="37" t="str">
        <f>IF(AND('Riesgos de Gestión'!$AF$66="Alta",'Riesgos de Gestión'!$AH$66="Mayor"),CONCATENATE("R9C",'Riesgos de Gestión'!$V$66),"")</f>
        <v/>
      </c>
      <c r="AH24" s="38" t="str">
        <f>IF(AND('Riesgos de Gestión'!$AF$61="Alta",'Riesgos de Gestión'!$AH$61="Catastrófico"),CONCATENATE("R9C",'Riesgos de Gestión'!$V$61),"")</f>
        <v/>
      </c>
      <c r="AI24" s="39" t="str">
        <f>IF(AND('Riesgos de Gestión'!$AF$62="Alta",'Riesgos de Gestión'!$AH$62="Catastrófico"),CONCATENATE("R9C",'Riesgos de Gestión'!$V$62),"")</f>
        <v/>
      </c>
      <c r="AJ24" s="39" t="str">
        <f>IF(AND('Riesgos de Gestión'!$AF$63="Alta",'Riesgos de Gestión'!$AH$63="Catastrófico"),CONCATENATE("R9C",'Riesgos de Gestión'!$V$63),"")</f>
        <v/>
      </c>
      <c r="AK24" s="39" t="str">
        <f>IF(AND('Riesgos de Gestión'!$AF$64="Alta",'Riesgos de Gestión'!$AH$64="Catastrófico"),CONCATENATE("R9C",'Riesgos de Gestión'!$V$64),"")</f>
        <v/>
      </c>
      <c r="AL24" s="39" t="str">
        <f>IF(AND('Riesgos de Gestión'!$AF$65="Alta",'Riesgos de Gestión'!$AH$65="Catastrófico"),CONCATENATE("R9C",'Riesgos de Gestión'!$V$65),"")</f>
        <v/>
      </c>
      <c r="AM24" s="40" t="str">
        <f>IF(AND('Riesgos de Gestión'!$AF$66="Alta",'Riesgos de Gestión'!$AH$66="Catastrófico"),CONCATENATE("R9C",'Riesgos de Gestión'!$V$66),"")</f>
        <v/>
      </c>
      <c r="AN24" s="66"/>
      <c r="AO24" s="487"/>
      <c r="AP24" s="488"/>
      <c r="AQ24" s="488"/>
      <c r="AR24" s="488"/>
      <c r="AS24" s="488"/>
      <c r="AT24" s="489"/>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436"/>
      <c r="C25" s="436"/>
      <c r="D25" s="437"/>
      <c r="E25" s="480"/>
      <c r="F25" s="481"/>
      <c r="G25" s="481"/>
      <c r="H25" s="481"/>
      <c r="I25" s="481"/>
      <c r="J25" s="53" t="str">
        <f>IF(AND('Riesgos de Gestión'!$AF$67="Alta",'Riesgos de Gestión'!$AH$67="Leve"),CONCATENATE("R10C",'Riesgos de Gestión'!$V$67),"")</f>
        <v/>
      </c>
      <c r="K25" s="54" t="str">
        <f>IF(AND('Riesgos de Gestión'!$AF$68="Alta",'Riesgos de Gestión'!$AH$68="Leve"),CONCATENATE("R10C",'Riesgos de Gestión'!$V$68),"")</f>
        <v/>
      </c>
      <c r="L25" s="54" t="str">
        <f>IF(AND('Riesgos de Gestión'!$AF$69="Alta",'Riesgos de Gestión'!$AH$69="Leve"),CONCATENATE("R10C",'Riesgos de Gestión'!$V$69),"")</f>
        <v/>
      </c>
      <c r="M25" s="54" t="str">
        <f>IF(AND('Riesgos de Gestión'!$AF$70="Alta",'Riesgos de Gestión'!$AH$70="Leve"),CONCATENATE("R10C",'Riesgos de Gestión'!$V$70),"")</f>
        <v/>
      </c>
      <c r="N25" s="54" t="str">
        <f>IF(AND('Riesgos de Gestión'!$AF$71="Alta",'Riesgos de Gestión'!$AH$71="Leve"),CONCATENATE("R10C",'Riesgos de Gestión'!$V$71),"")</f>
        <v/>
      </c>
      <c r="O25" s="55" t="str">
        <f>IF(AND('Riesgos de Gestión'!$AF$72="Alta",'Riesgos de Gestión'!$AH$72="Leve"),CONCATENATE("R10C",'Riesgos de Gestión'!$V$72),"")</f>
        <v/>
      </c>
      <c r="P25" s="53" t="str">
        <f>IF(AND('Riesgos de Gestión'!$AF$67="Alta",'Riesgos de Gestión'!$AH$67="Menor"),CONCATENATE("R10C",'Riesgos de Gestión'!$V$67),"")</f>
        <v/>
      </c>
      <c r="Q25" s="54" t="str">
        <f>IF(AND('Riesgos de Gestión'!$AF$68="Alta",'Riesgos de Gestión'!$AH$68="Menor"),CONCATENATE("R10C",'Riesgos de Gestión'!$V$68),"")</f>
        <v/>
      </c>
      <c r="R25" s="54" t="str">
        <f>IF(AND('Riesgos de Gestión'!$AF$69="Alta",'Riesgos de Gestión'!$AH$69="Menor"),CONCATENATE("R10C",'Riesgos de Gestión'!$V$69),"")</f>
        <v/>
      </c>
      <c r="S25" s="54" t="str">
        <f>IF(AND('Riesgos de Gestión'!$AF$70="Alta",'Riesgos de Gestión'!$AH$70="Menor"),CONCATENATE("R10C",'Riesgos de Gestión'!$V$70),"")</f>
        <v/>
      </c>
      <c r="T25" s="54" t="str">
        <f>IF(AND('Riesgos de Gestión'!$AF$71="Alta",'Riesgos de Gestión'!$AH$71="Menor"),CONCATENATE("R10C",'Riesgos de Gestión'!$V$71),"")</f>
        <v/>
      </c>
      <c r="U25" s="55" t="str">
        <f>IF(AND('Riesgos de Gestión'!$AF$72="Alta",'Riesgos de Gestión'!$AH$72="Menor"),CONCATENATE("R10C",'Riesgos de Gestión'!$V$72),"")</f>
        <v/>
      </c>
      <c r="V25" s="41" t="str">
        <f>IF(AND('Riesgos de Gestión'!$AF$67="Alta",'Riesgos de Gestión'!$AH$67="Moderado"),CONCATENATE("R10C",'Riesgos de Gestión'!$V$67),"")</f>
        <v/>
      </c>
      <c r="W25" s="42" t="str">
        <f>IF(AND('Riesgos de Gestión'!$AF$68="Alta",'Riesgos de Gestión'!$AH$68="Moderado"),CONCATENATE("R10C",'Riesgos de Gestión'!$V$68),"")</f>
        <v/>
      </c>
      <c r="X25" s="42" t="str">
        <f>IF(AND('Riesgos de Gestión'!$AF$69="Alta",'Riesgos de Gestión'!$AH$69="Moderado"),CONCATENATE("R10C",'Riesgos de Gestión'!$V$69),"")</f>
        <v/>
      </c>
      <c r="Y25" s="42" t="str">
        <f>IF(AND('Riesgos de Gestión'!$AF$70="Alta",'Riesgos de Gestión'!$AH$70="Moderado"),CONCATENATE("R10C",'Riesgos de Gestión'!$V$70),"")</f>
        <v/>
      </c>
      <c r="Z25" s="42" t="str">
        <f>IF(AND('Riesgos de Gestión'!$AF$71="Alta",'Riesgos de Gestión'!$AH$71="Moderado"),CONCATENATE("R10C",'Riesgos de Gestión'!$V$71),"")</f>
        <v/>
      </c>
      <c r="AA25" s="43" t="str">
        <f>IF(AND('Riesgos de Gestión'!$AF$72="Alta",'Riesgos de Gestión'!$AH$72="Moderado"),CONCATENATE("R10C",'Riesgos de Gestión'!$V$72),"")</f>
        <v/>
      </c>
      <c r="AB25" s="41" t="str">
        <f>IF(AND('Riesgos de Gestión'!$AF$67="Alta",'Riesgos de Gestión'!$AH$67="Mayor"),CONCATENATE("R10C",'Riesgos de Gestión'!$V$67),"")</f>
        <v/>
      </c>
      <c r="AC25" s="42" t="str">
        <f>IF(AND('Riesgos de Gestión'!$AF$68="Alta",'Riesgos de Gestión'!$AH$68="Mayor"),CONCATENATE("R10C",'Riesgos de Gestión'!$V$68),"")</f>
        <v/>
      </c>
      <c r="AD25" s="42" t="str">
        <f>IF(AND('Riesgos de Gestión'!$AF$69="Alta",'Riesgos de Gestión'!$AH$69="Mayor"),CONCATENATE("R10C",'Riesgos de Gestión'!$V$69),"")</f>
        <v/>
      </c>
      <c r="AE25" s="42" t="str">
        <f>IF(AND('Riesgos de Gestión'!$AF$70="Alta",'Riesgos de Gestión'!$AH$70="Mayor"),CONCATENATE("R10C",'Riesgos de Gestión'!$V$70),"")</f>
        <v/>
      </c>
      <c r="AF25" s="42" t="str">
        <f>IF(AND('Riesgos de Gestión'!$AF$71="Alta",'Riesgos de Gestión'!$AH$71="Mayor"),CONCATENATE("R10C",'Riesgos de Gestión'!$V$71),"")</f>
        <v/>
      </c>
      <c r="AG25" s="43" t="str">
        <f>IF(AND('Riesgos de Gestión'!$AF$72="Alta",'Riesgos de Gestión'!$AH$72="Mayor"),CONCATENATE("R10C",'Riesgos de Gestión'!$V$72),"")</f>
        <v/>
      </c>
      <c r="AH25" s="44" t="str">
        <f>IF(AND('Riesgos de Gestión'!$AF$67="Alta",'Riesgos de Gestión'!$AH$67="Catastrófico"),CONCATENATE("R10C",'Riesgos de Gestión'!$V$67),"")</f>
        <v/>
      </c>
      <c r="AI25" s="45" t="str">
        <f>IF(AND('Riesgos de Gestión'!$AF$68="Alta",'Riesgos de Gestión'!$AH$68="Catastrófico"),CONCATENATE("R10C",'Riesgos de Gestión'!$V$68),"")</f>
        <v/>
      </c>
      <c r="AJ25" s="45" t="str">
        <f>IF(AND('Riesgos de Gestión'!$AF$69="Alta",'Riesgos de Gestión'!$AH$69="Catastrófico"),CONCATENATE("R10C",'Riesgos de Gestión'!$V$69),"")</f>
        <v/>
      </c>
      <c r="AK25" s="45" t="str">
        <f>IF(AND('Riesgos de Gestión'!$AF$70="Alta",'Riesgos de Gestión'!$AH$70="Catastrófico"),CONCATENATE("R10C",'Riesgos de Gestión'!$V$70),"")</f>
        <v/>
      </c>
      <c r="AL25" s="45" t="str">
        <f>IF(AND('Riesgos de Gestión'!$AF$71="Alta",'Riesgos de Gestión'!$AH$71="Catastrófico"),CONCATENATE("R10C",'Riesgos de Gestión'!$V$71),"")</f>
        <v/>
      </c>
      <c r="AM25" s="46" t="str">
        <f>IF(AND('Riesgos de Gestión'!$AF$72="Alta",'Riesgos de Gestión'!$AH$72="Catastrófico"),CONCATENATE("R10C",'Riesgos de Gestión'!$V$72),"")</f>
        <v/>
      </c>
      <c r="AN25" s="66"/>
      <c r="AO25" s="490"/>
      <c r="AP25" s="491"/>
      <c r="AQ25" s="491"/>
      <c r="AR25" s="491"/>
      <c r="AS25" s="491"/>
      <c r="AT25" s="492"/>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436"/>
      <c r="C26" s="436"/>
      <c r="D26" s="437"/>
      <c r="E26" s="474" t="s">
        <v>269</v>
      </c>
      <c r="F26" s="475"/>
      <c r="G26" s="475"/>
      <c r="H26" s="475"/>
      <c r="I26" s="476"/>
      <c r="J26" s="47" t="str">
        <f>IF(AND('Riesgos de Gestión'!$AF$13="Media",'Riesgos de Gestión'!$AH$13="Leve"),CONCATENATE("R1C",'Riesgos de Gestión'!$V$13),"")</f>
        <v/>
      </c>
      <c r="K26" s="48" t="str">
        <f>IF(AND('Riesgos de Gestión'!$AF$14="Media",'Riesgos de Gestión'!$AH$14="Leve"),CONCATENATE("R1C",'Riesgos de Gestión'!$V$14),"")</f>
        <v/>
      </c>
      <c r="L26" s="48" t="str">
        <f>IF(AND('Riesgos de Gestión'!$AF$15="Media",'Riesgos de Gestión'!$AH$15="Leve"),CONCATENATE("R1C",'Riesgos de Gestión'!$V$15),"")</f>
        <v/>
      </c>
      <c r="M26" s="48" t="str">
        <f>IF(AND('Riesgos de Gestión'!$AF$16="Media",'Riesgos de Gestión'!$AH$16="Leve"),CONCATENATE("R1C",'Riesgos de Gestión'!$V$16),"")</f>
        <v/>
      </c>
      <c r="N26" s="48" t="str">
        <f>IF(AND('Riesgos de Gestión'!$AF$17="Media",'Riesgos de Gestión'!$AH$17="Leve"),CONCATENATE("R1C",'Riesgos de Gestión'!$V$17),"")</f>
        <v/>
      </c>
      <c r="O26" s="49" t="str">
        <f>IF(AND('Riesgos de Gestión'!$AF$18="Media",'Riesgos de Gestión'!$AH$18="Leve"),CONCATENATE("R1C",'Riesgos de Gestión'!$V$18),"")</f>
        <v/>
      </c>
      <c r="P26" s="47" t="str">
        <f>IF(AND('Riesgos de Gestión'!$AF$13="Media",'Riesgos de Gestión'!$AH$13="Menor"),CONCATENATE("R1C",'Riesgos de Gestión'!$V$13),"")</f>
        <v/>
      </c>
      <c r="Q26" s="48" t="str">
        <f>IF(AND('Riesgos de Gestión'!$AF$14="Media",'Riesgos de Gestión'!$AH$14="Menor"),CONCATENATE("R1C",'Riesgos de Gestión'!$V$14),"")</f>
        <v/>
      </c>
      <c r="R26" s="48" t="str">
        <f>IF(AND('Riesgos de Gestión'!$AF$15="Media",'Riesgos de Gestión'!$AH$15="Menor"),CONCATENATE("R1C",'Riesgos de Gestión'!$V$15),"")</f>
        <v/>
      </c>
      <c r="S26" s="48" t="str">
        <f>IF(AND('Riesgos de Gestión'!$AF$16="Media",'Riesgos de Gestión'!$AH$16="Menor"),CONCATENATE("R1C",'Riesgos de Gestión'!$V$16),"")</f>
        <v/>
      </c>
      <c r="T26" s="48" t="str">
        <f>IF(AND('Riesgos de Gestión'!$AF$17="Media",'Riesgos de Gestión'!$AH$17="Menor"),CONCATENATE("R1C",'Riesgos de Gestión'!$V$17),"")</f>
        <v/>
      </c>
      <c r="U26" s="49" t="str">
        <f>IF(AND('Riesgos de Gestión'!$AF$18="Media",'Riesgos de Gestión'!$AH$18="Menor"),CONCATENATE("R1C",'Riesgos de Gestión'!$V$18),"")</f>
        <v/>
      </c>
      <c r="V26" s="47" t="str">
        <f>IF(AND('Riesgos de Gestión'!$AF$13="Media",'Riesgos de Gestión'!$AH$13="Moderado"),CONCATENATE("R1C",'Riesgos de Gestión'!$V$13),"")</f>
        <v>R1C1</v>
      </c>
      <c r="W26" s="48" t="str">
        <f>IF(AND('Riesgos de Gestión'!$AF$14="Media",'Riesgos de Gestión'!$AH$14="Moderado"),CONCATENATE("R1C",'Riesgos de Gestión'!$V$14),"")</f>
        <v/>
      </c>
      <c r="X26" s="48" t="str">
        <f>IF(AND('Riesgos de Gestión'!$AF$15="Media",'Riesgos de Gestión'!$AH$15="Moderado"),CONCATENATE("R1C",'Riesgos de Gestión'!$V$15),"")</f>
        <v/>
      </c>
      <c r="Y26" s="48" t="str">
        <f>IF(AND('Riesgos de Gestión'!$AF$16="Media",'Riesgos de Gestión'!$AH$16="Moderado"),CONCATENATE("R1C",'Riesgos de Gestión'!$V$16),"")</f>
        <v/>
      </c>
      <c r="Z26" s="48" t="str">
        <f>IF(AND('Riesgos de Gestión'!$AF$17="Media",'Riesgos de Gestión'!$AH$17="Moderado"),CONCATENATE("R1C",'Riesgos de Gestión'!$V$17),"")</f>
        <v/>
      </c>
      <c r="AA26" s="49" t="str">
        <f>IF(AND('Riesgos de Gestión'!$AF$18="Media",'Riesgos de Gestión'!$AH$18="Moderado"),CONCATENATE("R1C",'Riesgos de Gestión'!$V$18),"")</f>
        <v/>
      </c>
      <c r="AB26" s="29" t="str">
        <f>IF(AND('Riesgos de Gestión'!$AF$13="Media",'Riesgos de Gestión'!$AH$13="Mayor"),CONCATENATE("R1C",'Riesgos de Gestión'!$V$13),"")</f>
        <v/>
      </c>
      <c r="AC26" s="30" t="str">
        <f>IF(AND('Riesgos de Gestión'!$AF$14="Media",'Riesgos de Gestión'!$AH$14="Mayor"),CONCATENATE("R1C",'Riesgos de Gestión'!$V$14),"")</f>
        <v/>
      </c>
      <c r="AD26" s="30" t="str">
        <f>IF(AND('Riesgos de Gestión'!$AF$15="Media",'Riesgos de Gestión'!$AH$15="Mayor"),CONCATENATE("R1C",'Riesgos de Gestión'!$V$15),"")</f>
        <v/>
      </c>
      <c r="AE26" s="30" t="str">
        <f>IF(AND('Riesgos de Gestión'!$AF$16="Media",'Riesgos de Gestión'!$AH$16="Mayor"),CONCATENATE("R1C",'Riesgos de Gestión'!$V$16),"")</f>
        <v/>
      </c>
      <c r="AF26" s="30" t="str">
        <f>IF(AND('Riesgos de Gestión'!$AF$17="Media",'Riesgos de Gestión'!$AH$17="Mayor"),CONCATENATE("R1C",'Riesgos de Gestión'!$V$17),"")</f>
        <v/>
      </c>
      <c r="AG26" s="31" t="str">
        <f>IF(AND('Riesgos de Gestión'!$AF$18="Media",'Riesgos de Gestión'!$AH$18="Mayor"),CONCATENATE("R1C",'Riesgos de Gestión'!$V$18),"")</f>
        <v/>
      </c>
      <c r="AH26" s="32" t="str">
        <f>IF(AND('Riesgos de Gestión'!$AF$13="Media",'Riesgos de Gestión'!$AH$13="Catastrófico"),CONCATENATE("R1C",'Riesgos de Gestión'!$V$13),"")</f>
        <v/>
      </c>
      <c r="AI26" s="33" t="str">
        <f>IF(AND('Riesgos de Gestión'!$AF$14="Media",'Riesgos de Gestión'!$AH$14="Catastrófico"),CONCATENATE("R1C",'Riesgos de Gestión'!$V$14),"")</f>
        <v/>
      </c>
      <c r="AJ26" s="33" t="str">
        <f>IF(AND('Riesgos de Gestión'!$AF$15="Media",'Riesgos de Gestión'!$AH$15="Catastrófico"),CONCATENATE("R1C",'Riesgos de Gestión'!$V$15),"")</f>
        <v/>
      </c>
      <c r="AK26" s="33" t="str">
        <f>IF(AND('Riesgos de Gestión'!$AF$16="Media",'Riesgos de Gestión'!$AH$16="Catastrófico"),CONCATENATE("R1C",'Riesgos de Gestión'!$V$16),"")</f>
        <v/>
      </c>
      <c r="AL26" s="33" t="str">
        <f>IF(AND('Riesgos de Gestión'!$AF$17="Media",'Riesgos de Gestión'!$AH$17="Catastrófico"),CONCATENATE("R1C",'Riesgos de Gestión'!$V$17),"")</f>
        <v/>
      </c>
      <c r="AM26" s="34" t="str">
        <f>IF(AND('Riesgos de Gestión'!$AF$18="Media",'Riesgos de Gestión'!$AH$18="Catastrófico"),CONCATENATE("R1C",'Riesgos de Gestión'!$V$18),"")</f>
        <v/>
      </c>
      <c r="AN26" s="66"/>
      <c r="AO26" s="514" t="s">
        <v>270</v>
      </c>
      <c r="AP26" s="515"/>
      <c r="AQ26" s="515"/>
      <c r="AR26" s="515"/>
      <c r="AS26" s="515"/>
      <c r="AT26" s="51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436"/>
      <c r="C27" s="436"/>
      <c r="D27" s="437"/>
      <c r="E27" s="493"/>
      <c r="F27" s="478"/>
      <c r="G27" s="478"/>
      <c r="H27" s="478"/>
      <c r="I27" s="479"/>
      <c r="J27" s="50" t="str">
        <f>IF(AND('Riesgos de Gestión'!$AF$19="Media",'Riesgos de Gestión'!$AH$19="Leve"),CONCATENATE("R2C",'Riesgos de Gestión'!$V$19),"")</f>
        <v/>
      </c>
      <c r="K27" s="51" t="str">
        <f>IF(AND('Riesgos de Gestión'!$AF$20="Media",'Riesgos de Gestión'!$AH$20="Leve"),CONCATENATE("R2C",'Riesgos de Gestión'!$V$20),"")</f>
        <v/>
      </c>
      <c r="L27" s="51" t="str">
        <f>IF(AND('Riesgos de Gestión'!$AF$21="Media",'Riesgos de Gestión'!$AH$21="Leve"),CONCATENATE("R2C",'Riesgos de Gestión'!$V$21),"")</f>
        <v/>
      </c>
      <c r="M27" s="51" t="str">
        <f>IF(AND('Riesgos de Gestión'!$AF$22="Media",'Riesgos de Gestión'!$AH$22="Leve"),CONCATENATE("R2C",'Riesgos de Gestión'!$V$22),"")</f>
        <v/>
      </c>
      <c r="N27" s="51" t="str">
        <f>IF(AND('Riesgos de Gestión'!$AF$23="Media",'Riesgos de Gestión'!$AH$23="Leve"),CONCATENATE("R2C",'Riesgos de Gestión'!$V$23),"")</f>
        <v/>
      </c>
      <c r="O27" s="52" t="str">
        <f>IF(AND('Riesgos de Gestión'!$AF$24="Media",'Riesgos de Gestión'!$AH$24="Leve"),CONCATENATE("R2C",'Riesgos de Gestión'!$V$24),"")</f>
        <v/>
      </c>
      <c r="P27" s="50" t="str">
        <f>IF(AND('Riesgos de Gestión'!$AF$19="Media",'Riesgos de Gestión'!$AH$19="Menor"),CONCATENATE("R2C",'Riesgos de Gestión'!$V$19),"")</f>
        <v/>
      </c>
      <c r="Q27" s="51" t="str">
        <f>IF(AND('Riesgos de Gestión'!$AF$20="Media",'Riesgos de Gestión'!$AH$20="Menor"),CONCATENATE("R2C",'Riesgos de Gestión'!$V$20),"")</f>
        <v/>
      </c>
      <c r="R27" s="51" t="str">
        <f>IF(AND('Riesgos de Gestión'!$AF$21="Media",'Riesgos de Gestión'!$AH$21="Menor"),CONCATENATE("R2C",'Riesgos de Gestión'!$V$21),"")</f>
        <v/>
      </c>
      <c r="S27" s="51" t="str">
        <f>IF(AND('Riesgos de Gestión'!$AF$22="Media",'Riesgos de Gestión'!$AH$22="Menor"),CONCATENATE("R2C",'Riesgos de Gestión'!$V$22),"")</f>
        <v/>
      </c>
      <c r="T27" s="51" t="str">
        <f>IF(AND('Riesgos de Gestión'!$AF$23="Media",'Riesgos de Gestión'!$AH$23="Menor"),CONCATENATE("R2C",'Riesgos de Gestión'!$V$23),"")</f>
        <v/>
      </c>
      <c r="U27" s="52" t="str">
        <f>IF(AND('Riesgos de Gestión'!$AF$24="Media",'Riesgos de Gestión'!$AH$24="Menor"),CONCATENATE("R2C",'Riesgos de Gestión'!$V$24),"")</f>
        <v/>
      </c>
      <c r="V27" s="50" t="str">
        <f>IF(AND('Riesgos de Gestión'!$AF$19="Media",'Riesgos de Gestión'!$AH$19="Moderado"),CONCATENATE("R2C",'Riesgos de Gestión'!$V$19),"")</f>
        <v>R2C1</v>
      </c>
      <c r="W27" s="51" t="str">
        <f>IF(AND('Riesgos de Gestión'!$AF$20="Media",'Riesgos de Gestión'!$AH$20="Moderado"),CONCATENATE("R2C",'Riesgos de Gestión'!$V$20),"")</f>
        <v/>
      </c>
      <c r="X27" s="51" t="str">
        <f>IF(AND('Riesgos de Gestión'!$AF$21="Media",'Riesgos de Gestión'!$AH$21="Moderado"),CONCATENATE("R2C",'Riesgos de Gestión'!$V$21),"")</f>
        <v/>
      </c>
      <c r="Y27" s="51" t="str">
        <f>IF(AND('Riesgos de Gestión'!$AF$22="Media",'Riesgos de Gestión'!$AH$22="Moderado"),CONCATENATE("R2C",'Riesgos de Gestión'!$V$22),"")</f>
        <v/>
      </c>
      <c r="Z27" s="51" t="str">
        <f>IF(AND('Riesgos de Gestión'!$AF$23="Media",'Riesgos de Gestión'!$AH$23="Moderado"),CONCATENATE("R2C",'Riesgos de Gestión'!$V$23),"")</f>
        <v/>
      </c>
      <c r="AA27" s="52" t="str">
        <f>IF(AND('Riesgos de Gestión'!$AF$24="Media",'Riesgos de Gestión'!$AH$24="Moderado"),CONCATENATE("R2C",'Riesgos de Gestión'!$V$24),"")</f>
        <v/>
      </c>
      <c r="AB27" s="35" t="str">
        <f>IF(AND('Riesgos de Gestión'!$AF$19="Media",'Riesgos de Gestión'!$AH$19="Mayor"),CONCATENATE("R2C",'Riesgos de Gestión'!$V$19),"")</f>
        <v/>
      </c>
      <c r="AC27" s="36" t="str">
        <f>IF(AND('Riesgos de Gestión'!$AF$20="Media",'Riesgos de Gestión'!$AH$20="Mayor"),CONCATENATE("R2C",'Riesgos de Gestión'!$V$20),"")</f>
        <v/>
      </c>
      <c r="AD27" s="36" t="str">
        <f>IF(AND('Riesgos de Gestión'!$AF$21="Media",'Riesgos de Gestión'!$AH$21="Mayor"),CONCATENATE("R2C",'Riesgos de Gestión'!$V$21),"")</f>
        <v/>
      </c>
      <c r="AE27" s="36" t="str">
        <f>IF(AND('Riesgos de Gestión'!$AF$22="Media",'Riesgos de Gestión'!$AH$22="Mayor"),CONCATENATE("R2C",'Riesgos de Gestión'!$V$22),"")</f>
        <v/>
      </c>
      <c r="AF27" s="36" t="str">
        <f>IF(AND('Riesgos de Gestión'!$AF$23="Media",'Riesgos de Gestión'!$AH$23="Mayor"),CONCATENATE("R2C",'Riesgos de Gestión'!$V$23),"")</f>
        <v/>
      </c>
      <c r="AG27" s="37" t="str">
        <f>IF(AND('Riesgos de Gestión'!$AF$24="Media",'Riesgos de Gestión'!$AH$24="Mayor"),CONCATENATE("R2C",'Riesgos de Gestión'!$V$24),"")</f>
        <v/>
      </c>
      <c r="AH27" s="38" t="str">
        <f>IF(AND('Riesgos de Gestión'!$AF$19="Media",'Riesgos de Gestión'!$AH$19="Catastrófico"),CONCATENATE("R2C",'Riesgos de Gestión'!$V$19),"")</f>
        <v/>
      </c>
      <c r="AI27" s="39" t="str">
        <f>IF(AND('Riesgos de Gestión'!$AF$20="Media",'Riesgos de Gestión'!$AH$20="Catastrófico"),CONCATENATE("R2C",'Riesgos de Gestión'!$V$20),"")</f>
        <v/>
      </c>
      <c r="AJ27" s="39" t="str">
        <f>IF(AND('Riesgos de Gestión'!$AF$21="Media",'Riesgos de Gestión'!$AH$21="Catastrófico"),CONCATENATE("R2C",'Riesgos de Gestión'!$V$21),"")</f>
        <v/>
      </c>
      <c r="AK27" s="39" t="str">
        <f>IF(AND('Riesgos de Gestión'!$AF$22="Media",'Riesgos de Gestión'!$AH$22="Catastrófico"),CONCATENATE("R2C",'Riesgos de Gestión'!$V$22),"")</f>
        <v/>
      </c>
      <c r="AL27" s="39" t="str">
        <f>IF(AND('Riesgos de Gestión'!$AF$23="Media",'Riesgos de Gestión'!$AH$23="Catastrófico"),CONCATENATE("R2C",'Riesgos de Gestión'!$V$23),"")</f>
        <v/>
      </c>
      <c r="AM27" s="40" t="str">
        <f>IF(AND('Riesgos de Gestión'!$AF$24="Media",'Riesgos de Gestión'!$AH$24="Catastrófico"),CONCATENATE("R2C",'Riesgos de Gestión'!$V$24),"")</f>
        <v/>
      </c>
      <c r="AN27" s="66"/>
      <c r="AO27" s="517"/>
      <c r="AP27" s="518"/>
      <c r="AQ27" s="518"/>
      <c r="AR27" s="518"/>
      <c r="AS27" s="518"/>
      <c r="AT27" s="519"/>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436"/>
      <c r="C28" s="436"/>
      <c r="D28" s="437"/>
      <c r="E28" s="477"/>
      <c r="F28" s="478"/>
      <c r="G28" s="478"/>
      <c r="H28" s="478"/>
      <c r="I28" s="479"/>
      <c r="J28" s="50" t="str">
        <f>IF(AND('Riesgos de Gestión'!$AF$25="Media",'Riesgos de Gestión'!$AH$25="Leve"),CONCATENATE("R3C",'Riesgos de Gestión'!$V$25),"")</f>
        <v/>
      </c>
      <c r="K28" s="51" t="str">
        <f>IF(AND('Riesgos de Gestión'!$AF$26="Media",'Riesgos de Gestión'!$AH$26="Leve"),CONCATENATE("R3C",'Riesgos de Gestión'!$V$26),"")</f>
        <v/>
      </c>
      <c r="L28" s="51" t="str">
        <f>IF(AND('Riesgos de Gestión'!$AF$27="Media",'Riesgos de Gestión'!$AH$27="Leve"),CONCATENATE("R3C",'Riesgos de Gestión'!$V$27),"")</f>
        <v/>
      </c>
      <c r="M28" s="51" t="str">
        <f>IF(AND('Riesgos de Gestión'!$AF$28="Media",'Riesgos de Gestión'!$AH$28="Leve"),CONCATENATE("R3C",'Riesgos de Gestión'!$V$28),"")</f>
        <v/>
      </c>
      <c r="N28" s="51" t="str">
        <f>IF(AND('Riesgos de Gestión'!$AF$29="Media",'Riesgos de Gestión'!$AH$29="Leve"),CONCATENATE("R3C",'Riesgos de Gestión'!$V$29),"")</f>
        <v/>
      </c>
      <c r="O28" s="52" t="str">
        <f>IF(AND('Riesgos de Gestión'!$AF$30="Media",'Riesgos de Gestión'!$AH$30="Leve"),CONCATENATE("R3C",'Riesgos de Gestión'!$V$30),"")</f>
        <v/>
      </c>
      <c r="P28" s="50" t="str">
        <f>IF(AND('Riesgos de Gestión'!$AF$25="Media",'Riesgos de Gestión'!$AH$25="Menor"),CONCATENATE("R3C",'Riesgos de Gestión'!$V$25),"")</f>
        <v/>
      </c>
      <c r="Q28" s="51" t="str">
        <f>IF(AND('Riesgos de Gestión'!$AF$26="Media",'Riesgos de Gestión'!$AH$26="Menor"),CONCATENATE("R3C",'Riesgos de Gestión'!$V$26),"")</f>
        <v/>
      </c>
      <c r="R28" s="51" t="str">
        <f>IF(AND('Riesgos de Gestión'!$AF$27="Media",'Riesgos de Gestión'!$AH$27="Menor"),CONCATENATE("R3C",'Riesgos de Gestión'!$V$27),"")</f>
        <v/>
      </c>
      <c r="S28" s="51" t="str">
        <f>IF(AND('Riesgos de Gestión'!$AF$28="Media",'Riesgos de Gestión'!$AH$28="Menor"),CONCATENATE("R3C",'Riesgos de Gestión'!$V$28),"")</f>
        <v/>
      </c>
      <c r="T28" s="51" t="str">
        <f>IF(AND('Riesgos de Gestión'!$AF$29="Media",'Riesgos de Gestión'!$AH$29="Menor"),CONCATENATE("R3C",'Riesgos de Gestión'!$V$29),"")</f>
        <v/>
      </c>
      <c r="U28" s="52" t="str">
        <f>IF(AND('Riesgos de Gestión'!$AF$30="Media",'Riesgos de Gestión'!$AH$30="Menor"),CONCATENATE("R3C",'Riesgos de Gestión'!$V$30),"")</f>
        <v/>
      </c>
      <c r="V28" s="50" t="str">
        <f>IF(AND('Riesgos de Gestión'!$AF$25="Media",'Riesgos de Gestión'!$AH$25="Moderado"),CONCATENATE("R3C",'Riesgos de Gestión'!$V$25),"")</f>
        <v/>
      </c>
      <c r="W28" s="51" t="str">
        <f>IF(AND('Riesgos de Gestión'!$AF$26="Media",'Riesgos de Gestión'!$AH$26="Moderado"),CONCATENATE("R3C",'Riesgos de Gestión'!$V$26),"")</f>
        <v/>
      </c>
      <c r="X28" s="51" t="str">
        <f>IF(AND('Riesgos de Gestión'!$AF$27="Media",'Riesgos de Gestión'!$AH$27="Moderado"),CONCATENATE("R3C",'Riesgos de Gestión'!$V$27),"")</f>
        <v/>
      </c>
      <c r="Y28" s="51" t="str">
        <f>IF(AND('Riesgos de Gestión'!$AF$28="Media",'Riesgos de Gestión'!$AH$28="Moderado"),CONCATENATE("R3C",'Riesgos de Gestión'!$V$28),"")</f>
        <v/>
      </c>
      <c r="Z28" s="51" t="str">
        <f>IF(AND('Riesgos de Gestión'!$AF$29="Media",'Riesgos de Gestión'!$AH$29="Moderado"),CONCATENATE("R3C",'Riesgos de Gestión'!$V$29),"")</f>
        <v/>
      </c>
      <c r="AA28" s="52" t="str">
        <f>IF(AND('Riesgos de Gestión'!$AF$30="Media",'Riesgos de Gestión'!$AH$30="Moderado"),CONCATENATE("R3C",'Riesgos de Gestión'!$V$30),"")</f>
        <v/>
      </c>
      <c r="AB28" s="35" t="str">
        <f>IF(AND('Riesgos de Gestión'!$AF$25="Media",'Riesgos de Gestión'!$AH$25="Mayor"),CONCATENATE("R3C",'Riesgos de Gestión'!$V$25),"")</f>
        <v/>
      </c>
      <c r="AC28" s="36" t="str">
        <f>IF(AND('Riesgos de Gestión'!$AF$26="Media",'Riesgos de Gestión'!$AH$26="Mayor"),CONCATENATE("R3C",'Riesgos de Gestión'!$V$26),"")</f>
        <v/>
      </c>
      <c r="AD28" s="36" t="str">
        <f>IF(AND('Riesgos de Gestión'!$AF$27="Media",'Riesgos de Gestión'!$AH$27="Mayor"),CONCATENATE("R3C",'Riesgos de Gestión'!$V$27),"")</f>
        <v/>
      </c>
      <c r="AE28" s="36" t="str">
        <f>IF(AND('Riesgos de Gestión'!$AF$28="Media",'Riesgos de Gestión'!$AH$28="Mayor"),CONCATENATE("R3C",'Riesgos de Gestión'!$V$28),"")</f>
        <v/>
      </c>
      <c r="AF28" s="36" t="str">
        <f>IF(AND('Riesgos de Gestión'!$AF$29="Media",'Riesgos de Gestión'!$AH$29="Mayor"),CONCATENATE("R3C",'Riesgos de Gestión'!$V$29),"")</f>
        <v/>
      </c>
      <c r="AG28" s="37" t="str">
        <f>IF(AND('Riesgos de Gestión'!$AF$30="Media",'Riesgos de Gestión'!$AH$30="Mayor"),CONCATENATE("R3C",'Riesgos de Gestión'!$V$30),"")</f>
        <v/>
      </c>
      <c r="AH28" s="38" t="str">
        <f>IF(AND('Riesgos de Gestión'!$AF$25="Media",'Riesgos de Gestión'!$AH$25="Catastrófico"),CONCATENATE("R3C",'Riesgos de Gestión'!$V$25),"")</f>
        <v/>
      </c>
      <c r="AI28" s="39" t="str">
        <f>IF(AND('Riesgos de Gestión'!$AF$26="Media",'Riesgos de Gestión'!$AH$26="Catastrófico"),CONCATENATE("R3C",'Riesgos de Gestión'!$V$26),"")</f>
        <v/>
      </c>
      <c r="AJ28" s="39" t="str">
        <f>IF(AND('Riesgos de Gestión'!$AF$27="Media",'Riesgos de Gestión'!$AH$27="Catastrófico"),CONCATENATE("R3C",'Riesgos de Gestión'!$V$27),"")</f>
        <v/>
      </c>
      <c r="AK28" s="39" t="str">
        <f>IF(AND('Riesgos de Gestión'!$AF$28="Media",'Riesgos de Gestión'!$AH$28="Catastrófico"),CONCATENATE("R3C",'Riesgos de Gestión'!$V$28),"")</f>
        <v/>
      </c>
      <c r="AL28" s="39" t="str">
        <f>IF(AND('Riesgos de Gestión'!$AF$29="Media",'Riesgos de Gestión'!$AH$29="Catastrófico"),CONCATENATE("R3C",'Riesgos de Gestión'!$V$29),"")</f>
        <v/>
      </c>
      <c r="AM28" s="40" t="str">
        <f>IF(AND('Riesgos de Gestión'!$AF$30="Media",'Riesgos de Gestión'!$AH$30="Catastrófico"),CONCATENATE("R3C",'Riesgos de Gestión'!$V$30),"")</f>
        <v/>
      </c>
      <c r="AN28" s="66"/>
      <c r="AO28" s="517"/>
      <c r="AP28" s="518"/>
      <c r="AQ28" s="518"/>
      <c r="AR28" s="518"/>
      <c r="AS28" s="518"/>
      <c r="AT28" s="519"/>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436"/>
      <c r="C29" s="436"/>
      <c r="D29" s="437"/>
      <c r="E29" s="477"/>
      <c r="F29" s="478"/>
      <c r="G29" s="478"/>
      <c r="H29" s="478"/>
      <c r="I29" s="479"/>
      <c r="J29" s="50" t="str">
        <f>IF(AND('Riesgos de Gestión'!$AF$31="Media",'Riesgos de Gestión'!$AH$31="Leve"),CONCATENATE("R4C",'Riesgos de Gestión'!$V$31),"")</f>
        <v/>
      </c>
      <c r="K29" s="51" t="str">
        <f>IF(AND('Riesgos de Gestión'!$AF$32="Media",'Riesgos de Gestión'!$AH$32="Leve"),CONCATENATE("R4C",'Riesgos de Gestión'!$V$32),"")</f>
        <v/>
      </c>
      <c r="L29" s="51" t="str">
        <f>IF(AND('Riesgos de Gestión'!$AF$33="Media",'Riesgos de Gestión'!$AH$33="Leve"),CONCATENATE("R4C",'Riesgos de Gestión'!$V$33),"")</f>
        <v/>
      </c>
      <c r="M29" s="51" t="str">
        <f>IF(AND('Riesgos de Gestión'!$AF$34="Media",'Riesgos de Gestión'!$AH$34="Leve"),CONCATENATE("R4C",'Riesgos de Gestión'!$V$34),"")</f>
        <v/>
      </c>
      <c r="N29" s="51" t="str">
        <f>IF(AND('Riesgos de Gestión'!$AF$35="Media",'Riesgos de Gestión'!$AH$35="Leve"),CONCATENATE("R4C",'Riesgos de Gestión'!$V$35),"")</f>
        <v/>
      </c>
      <c r="O29" s="52" t="str">
        <f>IF(AND('Riesgos de Gestión'!$AF$36="Media",'Riesgos de Gestión'!$AH$36="Leve"),CONCATENATE("R4C",'Riesgos de Gestión'!$V$36),"")</f>
        <v/>
      </c>
      <c r="P29" s="50" t="str">
        <f>IF(AND('Riesgos de Gestión'!$AF$31="Media",'Riesgos de Gestión'!$AH$31="Menor"),CONCATENATE("R4C",'Riesgos de Gestión'!$V$31),"")</f>
        <v/>
      </c>
      <c r="Q29" s="51" t="str">
        <f>IF(AND('Riesgos de Gestión'!$AF$32="Media",'Riesgos de Gestión'!$AH$32="Menor"),CONCATENATE("R4C",'Riesgos de Gestión'!$V$32),"")</f>
        <v/>
      </c>
      <c r="R29" s="51" t="str">
        <f>IF(AND('Riesgos de Gestión'!$AF$33="Media",'Riesgos de Gestión'!$AH$33="Menor"),CONCATENATE("R4C",'Riesgos de Gestión'!$V$33),"")</f>
        <v/>
      </c>
      <c r="S29" s="51" t="str">
        <f>IF(AND('Riesgos de Gestión'!$AF$34="Media",'Riesgos de Gestión'!$AH$34="Menor"),CONCATENATE("R4C",'Riesgos de Gestión'!$V$34),"")</f>
        <v/>
      </c>
      <c r="T29" s="51" t="str">
        <f>IF(AND('Riesgos de Gestión'!$AF$35="Media",'Riesgos de Gestión'!$AH$35="Menor"),CONCATENATE("R4C",'Riesgos de Gestión'!$V$35),"")</f>
        <v/>
      </c>
      <c r="U29" s="52" t="str">
        <f>IF(AND('Riesgos de Gestión'!$AF$36="Media",'Riesgos de Gestión'!$AH$36="Menor"),CONCATENATE("R4C",'Riesgos de Gestión'!$V$36),"")</f>
        <v/>
      </c>
      <c r="V29" s="50" t="str">
        <f>IF(AND('Riesgos de Gestión'!$AF$31="Media",'Riesgos de Gestión'!$AH$31="Moderado"),CONCATENATE("R4C",'Riesgos de Gestión'!$V$31),"")</f>
        <v/>
      </c>
      <c r="W29" s="51" t="str">
        <f>IF(AND('Riesgos de Gestión'!$AF$32="Media",'Riesgos de Gestión'!$AH$32="Moderado"),CONCATENATE("R4C",'Riesgos de Gestión'!$V$32),"")</f>
        <v/>
      </c>
      <c r="X29" s="51" t="str">
        <f>IF(AND('Riesgos de Gestión'!$AF$33="Media",'Riesgos de Gestión'!$AH$33="Moderado"),CONCATENATE("R4C",'Riesgos de Gestión'!$V$33),"")</f>
        <v/>
      </c>
      <c r="Y29" s="51" t="str">
        <f>IF(AND('Riesgos de Gestión'!$AF$34="Media",'Riesgos de Gestión'!$AH$34="Moderado"),CONCATENATE("R4C",'Riesgos de Gestión'!$V$34),"")</f>
        <v/>
      </c>
      <c r="Z29" s="51" t="str">
        <f>IF(AND('Riesgos de Gestión'!$AF$35="Media",'Riesgos de Gestión'!$AH$35="Moderado"),CONCATENATE("R4C",'Riesgos de Gestión'!$V$35),"")</f>
        <v/>
      </c>
      <c r="AA29" s="52" t="str">
        <f>IF(AND('Riesgos de Gestión'!$AF$36="Media",'Riesgos de Gestión'!$AH$36="Moderado"),CONCATENATE("R4C",'Riesgos de Gestión'!$V$36),"")</f>
        <v/>
      </c>
      <c r="AB29" s="35" t="str">
        <f>IF(AND('Riesgos de Gestión'!$AF$31="Media",'Riesgos de Gestión'!$AH$31="Mayor"),CONCATENATE("R4C",'Riesgos de Gestión'!$V$31),"")</f>
        <v/>
      </c>
      <c r="AC29" s="36" t="str">
        <f>IF(AND('Riesgos de Gestión'!$AF$32="Media",'Riesgos de Gestión'!$AH$32="Mayor"),CONCATENATE("R4C",'Riesgos de Gestión'!$V$32),"")</f>
        <v/>
      </c>
      <c r="AD29" s="36" t="str">
        <f>IF(AND('Riesgos de Gestión'!$AF$33="Media",'Riesgos de Gestión'!$AH$33="Mayor"),CONCATENATE("R4C",'Riesgos de Gestión'!$V$33),"")</f>
        <v/>
      </c>
      <c r="AE29" s="36" t="str">
        <f>IF(AND('Riesgos de Gestión'!$AF$34="Media",'Riesgos de Gestión'!$AH$34="Mayor"),CONCATENATE("R4C",'Riesgos de Gestión'!$V$34),"")</f>
        <v/>
      </c>
      <c r="AF29" s="36" t="str">
        <f>IF(AND('Riesgos de Gestión'!$AF$35="Media",'Riesgos de Gestión'!$AH$35="Mayor"),CONCATENATE("R4C",'Riesgos de Gestión'!$V$35),"")</f>
        <v/>
      </c>
      <c r="AG29" s="37" t="str">
        <f>IF(AND('Riesgos de Gestión'!$AF$36="Media",'Riesgos de Gestión'!$AH$36="Mayor"),CONCATENATE("R4C",'Riesgos de Gestión'!$V$36),"")</f>
        <v/>
      </c>
      <c r="AH29" s="38" t="str">
        <f>IF(AND('Riesgos de Gestión'!$AF$31="Media",'Riesgos de Gestión'!$AH$31="Catastrófico"),CONCATENATE("R4C",'Riesgos de Gestión'!$V$31),"")</f>
        <v/>
      </c>
      <c r="AI29" s="39" t="str">
        <f>IF(AND('Riesgos de Gestión'!$AF$32="Media",'Riesgos de Gestión'!$AH$32="Catastrófico"),CONCATENATE("R4C",'Riesgos de Gestión'!$V$32),"")</f>
        <v/>
      </c>
      <c r="AJ29" s="39" t="str">
        <f>IF(AND('Riesgos de Gestión'!$AF$33="Media",'Riesgos de Gestión'!$AH$33="Catastrófico"),CONCATENATE("R4C",'Riesgos de Gestión'!$V$33),"")</f>
        <v/>
      </c>
      <c r="AK29" s="39" t="str">
        <f>IF(AND('Riesgos de Gestión'!$AF$34="Media",'Riesgos de Gestión'!$AH$34="Catastrófico"),CONCATENATE("R4C",'Riesgos de Gestión'!$V$34),"")</f>
        <v/>
      </c>
      <c r="AL29" s="39" t="str">
        <f>IF(AND('Riesgos de Gestión'!$AF$35="Media",'Riesgos de Gestión'!$AH$35="Catastrófico"),CONCATENATE("R4C",'Riesgos de Gestión'!$V$35),"")</f>
        <v/>
      </c>
      <c r="AM29" s="40" t="str">
        <f>IF(AND('Riesgos de Gestión'!$AF$36="Media",'Riesgos de Gestión'!$AH$36="Catastrófico"),CONCATENATE("R4C",'Riesgos de Gestión'!$V$36),"")</f>
        <v/>
      </c>
      <c r="AN29" s="66"/>
      <c r="AO29" s="517"/>
      <c r="AP29" s="518"/>
      <c r="AQ29" s="518"/>
      <c r="AR29" s="518"/>
      <c r="AS29" s="518"/>
      <c r="AT29" s="519"/>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436"/>
      <c r="C30" s="436"/>
      <c r="D30" s="437"/>
      <c r="E30" s="477"/>
      <c r="F30" s="478"/>
      <c r="G30" s="478"/>
      <c r="H30" s="478"/>
      <c r="I30" s="479"/>
      <c r="J30" s="50" t="str">
        <f>IF(AND('Riesgos de Gestión'!$AF$37="Media",'Riesgos de Gestión'!$AH$37="Leve"),CONCATENATE("R5C",'Riesgos de Gestión'!$V$37),"")</f>
        <v/>
      </c>
      <c r="K30" s="51" t="str">
        <f>IF(AND('Riesgos de Gestión'!$AF$38="Media",'Riesgos de Gestión'!$AH$38="Leve"),CONCATENATE("R5C",'Riesgos de Gestión'!$V$38),"")</f>
        <v/>
      </c>
      <c r="L30" s="51" t="str">
        <f>IF(AND('Riesgos de Gestión'!$AF$39="Media",'Riesgos de Gestión'!$AH$39="Leve"),CONCATENATE("R5C",'Riesgos de Gestión'!$V$39),"")</f>
        <v/>
      </c>
      <c r="M30" s="51" t="str">
        <f>IF(AND('Riesgos de Gestión'!$AF$40="Media",'Riesgos de Gestión'!$AH$40="Leve"),CONCATENATE("R5C",'Riesgos de Gestión'!$V$40),"")</f>
        <v/>
      </c>
      <c r="N30" s="51" t="str">
        <f>IF(AND('Riesgos de Gestión'!$AF$41="Media",'Riesgos de Gestión'!$AH$41="Leve"),CONCATENATE("R5C",'Riesgos de Gestión'!$V$41),"")</f>
        <v/>
      </c>
      <c r="O30" s="52" t="str">
        <f>IF(AND('Riesgos de Gestión'!$AF$42="Media",'Riesgos de Gestión'!$AH$42="Leve"),CONCATENATE("R5C",'Riesgos de Gestión'!$V$42),"")</f>
        <v/>
      </c>
      <c r="P30" s="50" t="str">
        <f>IF(AND('Riesgos de Gestión'!$AF$37="Media",'Riesgos de Gestión'!$AH$37="Menor"),CONCATENATE("R5C",'Riesgos de Gestión'!$V$37),"")</f>
        <v/>
      </c>
      <c r="Q30" s="51" t="str">
        <f>IF(AND('Riesgos de Gestión'!$AF$38="Media",'Riesgos de Gestión'!$AH$38="Menor"),CONCATENATE("R5C",'Riesgos de Gestión'!$V$38),"")</f>
        <v/>
      </c>
      <c r="R30" s="51" t="str">
        <f>IF(AND('Riesgos de Gestión'!$AF$39="Media",'Riesgos de Gestión'!$AH$39="Menor"),CONCATENATE("R5C",'Riesgos de Gestión'!$V$39),"")</f>
        <v/>
      </c>
      <c r="S30" s="51" t="str">
        <f>IF(AND('Riesgos de Gestión'!$AF$40="Media",'Riesgos de Gestión'!$AH$40="Menor"),CONCATENATE("R5C",'Riesgos de Gestión'!$V$40),"")</f>
        <v/>
      </c>
      <c r="T30" s="51" t="str">
        <f>IF(AND('Riesgos de Gestión'!$AF$41="Media",'Riesgos de Gestión'!$AH$41="Menor"),CONCATENATE("R5C",'Riesgos de Gestión'!$V$41),"")</f>
        <v/>
      </c>
      <c r="U30" s="52" t="str">
        <f>IF(AND('Riesgos de Gestión'!$AF$42="Media",'Riesgos de Gestión'!$AH$42="Menor"),CONCATENATE("R5C",'Riesgos de Gestión'!$V$42),"")</f>
        <v/>
      </c>
      <c r="V30" s="50" t="str">
        <f>IF(AND('Riesgos de Gestión'!$AF$37="Media",'Riesgos de Gestión'!$AH$37="Moderado"),CONCATENATE("R5C",'Riesgos de Gestión'!$V$37),"")</f>
        <v/>
      </c>
      <c r="W30" s="51" t="str">
        <f>IF(AND('Riesgos de Gestión'!$AF$38="Media",'Riesgos de Gestión'!$AH$38="Moderado"),CONCATENATE("R5C",'Riesgos de Gestión'!$V$38),"")</f>
        <v/>
      </c>
      <c r="X30" s="51" t="str">
        <f>IF(AND('Riesgos de Gestión'!$AF$39="Media",'Riesgos de Gestión'!$AH$39="Moderado"),CONCATENATE("R5C",'Riesgos de Gestión'!$V$39),"")</f>
        <v/>
      </c>
      <c r="Y30" s="51" t="str">
        <f>IF(AND('Riesgos de Gestión'!$AF$40="Media",'Riesgos de Gestión'!$AH$40="Moderado"),CONCATENATE("R5C",'Riesgos de Gestión'!$V$40),"")</f>
        <v/>
      </c>
      <c r="Z30" s="51" t="str">
        <f>IF(AND('Riesgos de Gestión'!$AF$41="Media",'Riesgos de Gestión'!$AH$41="Moderado"),CONCATENATE("R5C",'Riesgos de Gestión'!$V$41),"")</f>
        <v/>
      </c>
      <c r="AA30" s="52" t="str">
        <f>IF(AND('Riesgos de Gestión'!$AF$42="Media",'Riesgos de Gestión'!$AH$42="Moderado"),CONCATENATE("R5C",'Riesgos de Gestión'!$V$42),"")</f>
        <v/>
      </c>
      <c r="AB30" s="35" t="str">
        <f>IF(AND('Riesgos de Gestión'!$AF$37="Media",'Riesgos de Gestión'!$AH$37="Mayor"),CONCATENATE("R5C",'Riesgos de Gestión'!$V$37),"")</f>
        <v/>
      </c>
      <c r="AC30" s="36" t="str">
        <f>IF(AND('Riesgos de Gestión'!$AF$38="Media",'Riesgos de Gestión'!$AH$38="Mayor"),CONCATENATE("R5C",'Riesgos de Gestión'!$V$38),"")</f>
        <v/>
      </c>
      <c r="AD30" s="36" t="str">
        <f>IF(AND('Riesgos de Gestión'!$AF$39="Media",'Riesgos de Gestión'!$AH$39="Mayor"),CONCATENATE("R5C",'Riesgos de Gestión'!$V$39),"")</f>
        <v/>
      </c>
      <c r="AE30" s="36" t="str">
        <f>IF(AND('Riesgos de Gestión'!$AF$40="Media",'Riesgos de Gestión'!$AH$40="Mayor"),CONCATENATE("R5C",'Riesgos de Gestión'!$V$40),"")</f>
        <v/>
      </c>
      <c r="AF30" s="36" t="str">
        <f>IF(AND('Riesgos de Gestión'!$AF$41="Media",'Riesgos de Gestión'!$AH$41="Mayor"),CONCATENATE("R5C",'Riesgos de Gestión'!$V$41),"")</f>
        <v/>
      </c>
      <c r="AG30" s="37" t="str">
        <f>IF(AND('Riesgos de Gestión'!$AF$42="Media",'Riesgos de Gestión'!$AH$42="Mayor"),CONCATENATE("R5C",'Riesgos de Gestión'!$V$42),"")</f>
        <v/>
      </c>
      <c r="AH30" s="38" t="str">
        <f>IF(AND('Riesgos de Gestión'!$AF$37="Media",'Riesgos de Gestión'!$AH$37="Catastrófico"),CONCATENATE("R5C",'Riesgos de Gestión'!$V$37),"")</f>
        <v/>
      </c>
      <c r="AI30" s="39" t="str">
        <f>IF(AND('Riesgos de Gestión'!$AF$38="Media",'Riesgos de Gestión'!$AH$38="Catastrófico"),CONCATENATE("R5C",'Riesgos de Gestión'!$V$38),"")</f>
        <v/>
      </c>
      <c r="AJ30" s="39" t="str">
        <f>IF(AND('Riesgos de Gestión'!$AF$39="Media",'Riesgos de Gestión'!$AH$39="Catastrófico"),CONCATENATE("R5C",'Riesgos de Gestión'!$V$39),"")</f>
        <v/>
      </c>
      <c r="AK30" s="39" t="str">
        <f>IF(AND('Riesgos de Gestión'!$AF$40="Media",'Riesgos de Gestión'!$AH$40="Catastrófico"),CONCATENATE("R5C",'Riesgos de Gestión'!$V$40),"")</f>
        <v/>
      </c>
      <c r="AL30" s="39" t="str">
        <f>IF(AND('Riesgos de Gestión'!$AF$41="Media",'Riesgos de Gestión'!$AH$41="Catastrófico"),CONCATENATE("R5C",'Riesgos de Gestión'!$V$41),"")</f>
        <v/>
      </c>
      <c r="AM30" s="40" t="str">
        <f>IF(AND('Riesgos de Gestión'!$AF$42="Media",'Riesgos de Gestión'!$AH$42="Catastrófico"),CONCATENATE("R5C",'Riesgos de Gestión'!$V$42),"")</f>
        <v/>
      </c>
      <c r="AN30" s="66"/>
      <c r="AO30" s="517"/>
      <c r="AP30" s="518"/>
      <c r="AQ30" s="518"/>
      <c r="AR30" s="518"/>
      <c r="AS30" s="518"/>
      <c r="AT30" s="519"/>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436"/>
      <c r="C31" s="436"/>
      <c r="D31" s="437"/>
      <c r="E31" s="477"/>
      <c r="F31" s="478"/>
      <c r="G31" s="478"/>
      <c r="H31" s="478"/>
      <c r="I31" s="479"/>
      <c r="J31" s="50" t="str">
        <f>IF(AND('Riesgos de Gestión'!$AF$43="Media",'Riesgos de Gestión'!$AH$43="Leve"),CONCATENATE("R6C",'Riesgos de Gestión'!$V$43),"")</f>
        <v/>
      </c>
      <c r="K31" s="51" t="str">
        <f>IF(AND('Riesgos de Gestión'!$AF$44="Media",'Riesgos de Gestión'!$AH$44="Leve"),CONCATENATE("R6C",'Riesgos de Gestión'!$V$44),"")</f>
        <v/>
      </c>
      <c r="L31" s="51" t="str">
        <f>IF(AND('Riesgos de Gestión'!$AF$45="Media",'Riesgos de Gestión'!$AH$45="Leve"),CONCATENATE("R6C",'Riesgos de Gestión'!$V$45),"")</f>
        <v/>
      </c>
      <c r="M31" s="51" t="str">
        <f>IF(AND('Riesgos de Gestión'!$AF$46="Media",'Riesgos de Gestión'!$AH$46="Leve"),CONCATENATE("R6C",'Riesgos de Gestión'!$V$46),"")</f>
        <v/>
      </c>
      <c r="N31" s="51" t="str">
        <f>IF(AND('Riesgos de Gestión'!$AF$47="Media",'Riesgos de Gestión'!$AH$47="Leve"),CONCATENATE("R6C",'Riesgos de Gestión'!$V$47),"")</f>
        <v/>
      </c>
      <c r="O31" s="52" t="str">
        <f>IF(AND('Riesgos de Gestión'!$AF$48="Media",'Riesgos de Gestión'!$AH$48="Leve"),CONCATENATE("R6C",'Riesgos de Gestión'!$V$48),"")</f>
        <v/>
      </c>
      <c r="P31" s="50" t="str">
        <f>IF(AND('Riesgos de Gestión'!$AF$43="Media",'Riesgos de Gestión'!$AH$43="Menor"),CONCATENATE("R6C",'Riesgos de Gestión'!$V$43),"")</f>
        <v/>
      </c>
      <c r="Q31" s="51" t="str">
        <f>IF(AND('Riesgos de Gestión'!$AF$44="Media",'Riesgos de Gestión'!$AH$44="Menor"),CONCATENATE("R6C",'Riesgos de Gestión'!$V$44),"")</f>
        <v/>
      </c>
      <c r="R31" s="51" t="str">
        <f>IF(AND('Riesgos de Gestión'!$AF$45="Media",'Riesgos de Gestión'!$AH$45="Menor"),CONCATENATE("R6C",'Riesgos de Gestión'!$V$45),"")</f>
        <v/>
      </c>
      <c r="S31" s="51" t="str">
        <f>IF(AND('Riesgos de Gestión'!$AF$46="Media",'Riesgos de Gestión'!$AH$46="Menor"),CONCATENATE("R6C",'Riesgos de Gestión'!$V$46),"")</f>
        <v/>
      </c>
      <c r="T31" s="51" t="str">
        <f>IF(AND('Riesgos de Gestión'!$AF$47="Media",'Riesgos de Gestión'!$AH$47="Menor"),CONCATENATE("R6C",'Riesgos de Gestión'!$V$47),"")</f>
        <v/>
      </c>
      <c r="U31" s="52" t="str">
        <f>IF(AND('Riesgos de Gestión'!$AF$48="Media",'Riesgos de Gestión'!$AH$48="Menor"),CONCATENATE("R6C",'Riesgos de Gestión'!$V$48),"")</f>
        <v/>
      </c>
      <c r="V31" s="50" t="str">
        <f>IF(AND('Riesgos de Gestión'!$AF$43="Media",'Riesgos de Gestión'!$AH$43="Moderado"),CONCATENATE("R6C",'Riesgos de Gestión'!$V$43),"")</f>
        <v/>
      </c>
      <c r="W31" s="51" t="str">
        <f>IF(AND('Riesgos de Gestión'!$AF$44="Media",'Riesgos de Gestión'!$AH$44="Moderado"),CONCATENATE("R6C",'Riesgos de Gestión'!$V$44),"")</f>
        <v/>
      </c>
      <c r="X31" s="51" t="str">
        <f>IF(AND('Riesgos de Gestión'!$AF$45="Media",'Riesgos de Gestión'!$AH$45="Moderado"),CONCATENATE("R6C",'Riesgos de Gestión'!$V$45),"")</f>
        <v/>
      </c>
      <c r="Y31" s="51" t="str">
        <f>IF(AND('Riesgos de Gestión'!$AF$46="Media",'Riesgos de Gestión'!$AH$46="Moderado"),CONCATENATE("R6C",'Riesgos de Gestión'!$V$46),"")</f>
        <v/>
      </c>
      <c r="Z31" s="51" t="str">
        <f>IF(AND('Riesgos de Gestión'!$AF$47="Media",'Riesgos de Gestión'!$AH$47="Moderado"),CONCATENATE("R6C",'Riesgos de Gestión'!$V$47),"")</f>
        <v/>
      </c>
      <c r="AA31" s="52" t="str">
        <f>IF(AND('Riesgos de Gestión'!$AF$48="Media",'Riesgos de Gestión'!$AH$48="Moderado"),CONCATENATE("R6C",'Riesgos de Gestión'!$V$48),"")</f>
        <v/>
      </c>
      <c r="AB31" s="35" t="str">
        <f>IF(AND('Riesgos de Gestión'!$AF$43="Media",'Riesgos de Gestión'!$AH$43="Mayor"),CONCATENATE("R6C",'Riesgos de Gestión'!$V$43),"")</f>
        <v/>
      </c>
      <c r="AC31" s="36" t="str">
        <f>IF(AND('Riesgos de Gestión'!$AF$44="Media",'Riesgos de Gestión'!$AH$44="Mayor"),CONCATENATE("R6C",'Riesgos de Gestión'!$V$44),"")</f>
        <v/>
      </c>
      <c r="AD31" s="36" t="str">
        <f>IF(AND('Riesgos de Gestión'!$AF$45="Media",'Riesgos de Gestión'!$AH$45="Mayor"),CONCATENATE("R6C",'Riesgos de Gestión'!$V$45),"")</f>
        <v/>
      </c>
      <c r="AE31" s="36" t="str">
        <f>IF(AND('Riesgos de Gestión'!$AF$46="Media",'Riesgos de Gestión'!$AH$46="Mayor"),CONCATENATE("R6C",'Riesgos de Gestión'!$V$46),"")</f>
        <v/>
      </c>
      <c r="AF31" s="36" t="str">
        <f>IF(AND('Riesgos de Gestión'!$AF$47="Media",'Riesgos de Gestión'!$AH$47="Mayor"),CONCATENATE("R6C",'Riesgos de Gestión'!$V$47),"")</f>
        <v/>
      </c>
      <c r="AG31" s="37" t="str">
        <f>IF(AND('Riesgos de Gestión'!$AF$48="Media",'Riesgos de Gestión'!$AH$48="Mayor"),CONCATENATE("R6C",'Riesgos de Gestión'!$V$48),"")</f>
        <v/>
      </c>
      <c r="AH31" s="38" t="str">
        <f>IF(AND('Riesgos de Gestión'!$AF$43="Media",'Riesgos de Gestión'!$AH$43="Catastrófico"),CONCATENATE("R6C",'Riesgos de Gestión'!$V$43),"")</f>
        <v/>
      </c>
      <c r="AI31" s="39" t="str">
        <f>IF(AND('Riesgos de Gestión'!$AF$44="Media",'Riesgos de Gestión'!$AH$44="Catastrófico"),CONCATENATE("R6C",'Riesgos de Gestión'!$V$44),"")</f>
        <v/>
      </c>
      <c r="AJ31" s="39" t="str">
        <f>IF(AND('Riesgos de Gestión'!$AF$45="Media",'Riesgos de Gestión'!$AH$45="Catastrófico"),CONCATENATE("R6C",'Riesgos de Gestión'!$V$45),"")</f>
        <v/>
      </c>
      <c r="AK31" s="39" t="str">
        <f>IF(AND('Riesgos de Gestión'!$AF$46="Media",'Riesgos de Gestión'!$AH$46="Catastrófico"),CONCATENATE("R6C",'Riesgos de Gestión'!$V$46),"")</f>
        <v/>
      </c>
      <c r="AL31" s="39" t="str">
        <f>IF(AND('Riesgos de Gestión'!$AF$47="Media",'Riesgos de Gestión'!$AH$47="Catastrófico"),CONCATENATE("R6C",'Riesgos de Gestión'!$V$47),"")</f>
        <v/>
      </c>
      <c r="AM31" s="40" t="str">
        <f>IF(AND('Riesgos de Gestión'!$AF$48="Media",'Riesgos de Gestión'!$AH$48="Catastrófico"),CONCATENATE("R6C",'Riesgos de Gestión'!$V$48),"")</f>
        <v/>
      </c>
      <c r="AN31" s="66"/>
      <c r="AO31" s="517"/>
      <c r="AP31" s="518"/>
      <c r="AQ31" s="518"/>
      <c r="AR31" s="518"/>
      <c r="AS31" s="518"/>
      <c r="AT31" s="519"/>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436"/>
      <c r="C32" s="436"/>
      <c r="D32" s="437"/>
      <c r="E32" s="477"/>
      <c r="F32" s="478"/>
      <c r="G32" s="478"/>
      <c r="H32" s="478"/>
      <c r="I32" s="479"/>
      <c r="J32" s="50" t="str">
        <f>IF(AND('Riesgos de Gestión'!$AF$49="Media",'Riesgos de Gestión'!$AH$49="Leve"),CONCATENATE("R7C",'Riesgos de Gestión'!$V$49),"")</f>
        <v/>
      </c>
      <c r="K32" s="51" t="str">
        <f>IF(AND('Riesgos de Gestión'!$AF$50="Media",'Riesgos de Gestión'!$AH$50="Leve"),CONCATENATE("R7C",'Riesgos de Gestión'!$V$50),"")</f>
        <v/>
      </c>
      <c r="L32" s="51" t="str">
        <f>IF(AND('Riesgos de Gestión'!$AF$51="Media",'Riesgos de Gestión'!$AH$51="Leve"),CONCATENATE("R7C",'Riesgos de Gestión'!$V$51),"")</f>
        <v/>
      </c>
      <c r="M32" s="51" t="str">
        <f>IF(AND('Riesgos de Gestión'!$AF$52="Media",'Riesgos de Gestión'!$AH$52="Leve"),CONCATENATE("R7C",'Riesgos de Gestión'!$V$52),"")</f>
        <v/>
      </c>
      <c r="N32" s="51" t="str">
        <f>IF(AND('Riesgos de Gestión'!$AF$53="Media",'Riesgos de Gestión'!$AH$53="Leve"),CONCATENATE("R7C",'Riesgos de Gestión'!$V$53),"")</f>
        <v/>
      </c>
      <c r="O32" s="52" t="str">
        <f>IF(AND('Riesgos de Gestión'!$AF$54="Media",'Riesgos de Gestión'!$AH$54="Leve"),CONCATENATE("R7C",'Riesgos de Gestión'!$V$54),"")</f>
        <v/>
      </c>
      <c r="P32" s="50" t="str">
        <f>IF(AND('Riesgos de Gestión'!$AF$49="Media",'Riesgos de Gestión'!$AH$49="Menor"),CONCATENATE("R7C",'Riesgos de Gestión'!$V$49),"")</f>
        <v/>
      </c>
      <c r="Q32" s="51" t="str">
        <f>IF(AND('Riesgos de Gestión'!$AF$50="Media",'Riesgos de Gestión'!$AH$50="Menor"),CONCATENATE("R7C",'Riesgos de Gestión'!$V$50),"")</f>
        <v/>
      </c>
      <c r="R32" s="51" t="str">
        <f>IF(AND('Riesgos de Gestión'!$AF$51="Media",'Riesgos de Gestión'!$AH$51="Menor"),CONCATENATE("R7C",'Riesgos de Gestión'!$V$51),"")</f>
        <v/>
      </c>
      <c r="S32" s="51" t="str">
        <f>IF(AND('Riesgos de Gestión'!$AF$52="Media",'Riesgos de Gestión'!$AH$52="Menor"),CONCATENATE("R7C",'Riesgos de Gestión'!$V$52),"")</f>
        <v/>
      </c>
      <c r="T32" s="51" t="str">
        <f>IF(AND('Riesgos de Gestión'!$AF$53="Media",'Riesgos de Gestión'!$AH$53="Menor"),CONCATENATE("R7C",'Riesgos de Gestión'!$V$53),"")</f>
        <v/>
      </c>
      <c r="U32" s="52" t="str">
        <f>IF(AND('Riesgos de Gestión'!$AF$54="Media",'Riesgos de Gestión'!$AH$54="Menor"),CONCATENATE("R7C",'Riesgos de Gestión'!$V$54),"")</f>
        <v/>
      </c>
      <c r="V32" s="50" t="str">
        <f>IF(AND('Riesgos de Gestión'!$AF$49="Media",'Riesgos de Gestión'!$AH$49="Moderado"),CONCATENATE("R7C",'Riesgos de Gestión'!$V$49),"")</f>
        <v/>
      </c>
      <c r="W32" s="51" t="str">
        <f>IF(AND('Riesgos de Gestión'!$AF$50="Media",'Riesgos de Gestión'!$AH$50="Moderado"),CONCATENATE("R7C",'Riesgos de Gestión'!$V$50),"")</f>
        <v/>
      </c>
      <c r="X32" s="51" t="str">
        <f>IF(AND('Riesgos de Gestión'!$AF$51="Media",'Riesgos de Gestión'!$AH$51="Moderado"),CONCATENATE("R7C",'Riesgos de Gestión'!$V$51),"")</f>
        <v/>
      </c>
      <c r="Y32" s="51" t="str">
        <f>IF(AND('Riesgos de Gestión'!$AF$52="Media",'Riesgos de Gestión'!$AH$52="Moderado"),CONCATENATE("R7C",'Riesgos de Gestión'!$V$52),"")</f>
        <v/>
      </c>
      <c r="Z32" s="51" t="str">
        <f>IF(AND('Riesgos de Gestión'!$AF$53="Media",'Riesgos de Gestión'!$AH$53="Moderado"),CONCATENATE("R7C",'Riesgos de Gestión'!$V$53),"")</f>
        <v/>
      </c>
      <c r="AA32" s="52" t="str">
        <f>IF(AND('Riesgos de Gestión'!$AF$54="Media",'Riesgos de Gestión'!$AH$54="Moderado"),CONCATENATE("R7C",'Riesgos de Gestión'!$V$54),"")</f>
        <v/>
      </c>
      <c r="AB32" s="35" t="str">
        <f>IF(AND('Riesgos de Gestión'!$AF$49="Media",'Riesgos de Gestión'!$AH$49="Mayor"),CONCATENATE("R7C",'Riesgos de Gestión'!$V$49),"")</f>
        <v/>
      </c>
      <c r="AC32" s="36" t="str">
        <f>IF(AND('Riesgos de Gestión'!$AF$50="Media",'Riesgos de Gestión'!$AH$50="Mayor"),CONCATENATE("R7C",'Riesgos de Gestión'!$V$50),"")</f>
        <v/>
      </c>
      <c r="AD32" s="36" t="str">
        <f>IF(AND('Riesgos de Gestión'!$AF$51="Media",'Riesgos de Gestión'!$AH$51="Mayor"),CONCATENATE("R7C",'Riesgos de Gestión'!$V$51),"")</f>
        <v/>
      </c>
      <c r="AE32" s="36" t="str">
        <f>IF(AND('Riesgos de Gestión'!$AF$52="Media",'Riesgos de Gestión'!$AH$52="Mayor"),CONCATENATE("R7C",'Riesgos de Gestión'!$V$52),"")</f>
        <v/>
      </c>
      <c r="AF32" s="36" t="str">
        <f>IF(AND('Riesgos de Gestión'!$AF$53="Media",'Riesgos de Gestión'!$AH$53="Mayor"),CONCATENATE("R7C",'Riesgos de Gestión'!$V$53),"")</f>
        <v/>
      </c>
      <c r="AG32" s="37" t="str">
        <f>IF(AND('Riesgos de Gestión'!$AF$54="Media",'Riesgos de Gestión'!$AH$54="Mayor"),CONCATENATE("R7C",'Riesgos de Gestión'!$V$54),"")</f>
        <v/>
      </c>
      <c r="AH32" s="38" t="str">
        <f>IF(AND('Riesgos de Gestión'!$AF$49="Media",'Riesgos de Gestión'!$AH$49="Catastrófico"),CONCATENATE("R7C",'Riesgos de Gestión'!$V$49),"")</f>
        <v/>
      </c>
      <c r="AI32" s="39" t="str">
        <f>IF(AND('Riesgos de Gestión'!$AF$50="Media",'Riesgos de Gestión'!$AH$50="Catastrófico"),CONCATENATE("R7C",'Riesgos de Gestión'!$V$50),"")</f>
        <v/>
      </c>
      <c r="AJ32" s="39" t="str">
        <f>IF(AND('Riesgos de Gestión'!$AF$51="Media",'Riesgos de Gestión'!$AH$51="Catastrófico"),CONCATENATE("R7C",'Riesgos de Gestión'!$V$51),"")</f>
        <v/>
      </c>
      <c r="AK32" s="39" t="str">
        <f>IF(AND('Riesgos de Gestión'!$AF$52="Media",'Riesgos de Gestión'!$AH$52="Catastrófico"),CONCATENATE("R7C",'Riesgos de Gestión'!$V$52),"")</f>
        <v/>
      </c>
      <c r="AL32" s="39" t="str">
        <f>IF(AND('Riesgos de Gestión'!$AF$53="Media",'Riesgos de Gestión'!$AH$53="Catastrófico"),CONCATENATE("R7C",'Riesgos de Gestión'!$V$53),"")</f>
        <v/>
      </c>
      <c r="AM32" s="40" t="str">
        <f>IF(AND('Riesgos de Gestión'!$AF$54="Media",'Riesgos de Gestión'!$AH$54="Catastrófico"),CONCATENATE("R7C",'Riesgos de Gestión'!$V$54),"")</f>
        <v/>
      </c>
      <c r="AN32" s="66"/>
      <c r="AO32" s="517"/>
      <c r="AP32" s="518"/>
      <c r="AQ32" s="518"/>
      <c r="AR32" s="518"/>
      <c r="AS32" s="518"/>
      <c r="AT32" s="519"/>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436"/>
      <c r="C33" s="436"/>
      <c r="D33" s="437"/>
      <c r="E33" s="477"/>
      <c r="F33" s="478"/>
      <c r="G33" s="478"/>
      <c r="H33" s="478"/>
      <c r="I33" s="479"/>
      <c r="J33" s="50" t="str">
        <f>IF(AND('Riesgos de Gestión'!$AF$55="Media",'Riesgos de Gestión'!$AH$55="Leve"),CONCATENATE("R8C",'Riesgos de Gestión'!$V$55),"")</f>
        <v/>
      </c>
      <c r="K33" s="51" t="str">
        <f>IF(AND('Riesgos de Gestión'!$AF$56="Media",'Riesgos de Gestión'!$AH$56="Leve"),CONCATENATE("R8C",'Riesgos de Gestión'!$V$56),"")</f>
        <v/>
      </c>
      <c r="L33" s="51" t="str">
        <f>IF(AND('Riesgos de Gestión'!$AF$57="Media",'Riesgos de Gestión'!$AH$57="Leve"),CONCATENATE("R8C",'Riesgos de Gestión'!$V$57),"")</f>
        <v/>
      </c>
      <c r="M33" s="51" t="str">
        <f>IF(AND('Riesgos de Gestión'!$AF$58="Media",'Riesgos de Gestión'!$AH$58="Leve"),CONCATENATE("R8C",'Riesgos de Gestión'!$V$58),"")</f>
        <v/>
      </c>
      <c r="N33" s="51" t="str">
        <f>IF(AND('Riesgos de Gestión'!$AF$59="Media",'Riesgos de Gestión'!$AH$59="Leve"),CONCATENATE("R8C",'Riesgos de Gestión'!$V$59),"")</f>
        <v/>
      </c>
      <c r="O33" s="52" t="str">
        <f>IF(AND('Riesgos de Gestión'!$AF$60="Media",'Riesgos de Gestión'!$AH$60="Leve"),CONCATENATE("R8C",'Riesgos de Gestión'!$V$60),"")</f>
        <v/>
      </c>
      <c r="P33" s="50" t="str">
        <f>IF(AND('Riesgos de Gestión'!$AF$55="Media",'Riesgos de Gestión'!$AH$55="Menor"),CONCATENATE("R8C",'Riesgos de Gestión'!$V$55),"")</f>
        <v/>
      </c>
      <c r="Q33" s="51" t="str">
        <f>IF(AND('Riesgos de Gestión'!$AF$56="Media",'Riesgos de Gestión'!$AH$56="Menor"),CONCATENATE("R8C",'Riesgos de Gestión'!$V$56),"")</f>
        <v/>
      </c>
      <c r="R33" s="51" t="str">
        <f>IF(AND('Riesgos de Gestión'!$AF$57="Media",'Riesgos de Gestión'!$AH$57="Menor"),CONCATENATE("R8C",'Riesgos de Gestión'!$V$57),"")</f>
        <v/>
      </c>
      <c r="S33" s="51" t="str">
        <f>IF(AND('Riesgos de Gestión'!$AF$58="Media",'Riesgos de Gestión'!$AH$58="Menor"),CONCATENATE("R8C",'Riesgos de Gestión'!$V$58),"")</f>
        <v/>
      </c>
      <c r="T33" s="51" t="str">
        <f>IF(AND('Riesgos de Gestión'!$AF$59="Media",'Riesgos de Gestión'!$AH$59="Menor"),CONCATENATE("R8C",'Riesgos de Gestión'!$V$59),"")</f>
        <v/>
      </c>
      <c r="U33" s="52" t="str">
        <f>IF(AND('Riesgos de Gestión'!$AF$60="Media",'Riesgos de Gestión'!$AH$60="Menor"),CONCATENATE("R8C",'Riesgos de Gestión'!$V$60),"")</f>
        <v/>
      </c>
      <c r="V33" s="50" t="str">
        <f>IF(AND('Riesgos de Gestión'!$AF$55="Media",'Riesgos de Gestión'!$AH$55="Moderado"),CONCATENATE("R8C",'Riesgos de Gestión'!$V$55),"")</f>
        <v/>
      </c>
      <c r="W33" s="51" t="str">
        <f>IF(AND('Riesgos de Gestión'!$AF$56="Media",'Riesgos de Gestión'!$AH$56="Moderado"),CONCATENATE("R8C",'Riesgos de Gestión'!$V$56),"")</f>
        <v/>
      </c>
      <c r="X33" s="51" t="str">
        <f>IF(AND('Riesgos de Gestión'!$AF$57="Media",'Riesgos de Gestión'!$AH$57="Moderado"),CONCATENATE("R8C",'Riesgos de Gestión'!$V$57),"")</f>
        <v/>
      </c>
      <c r="Y33" s="51" t="str">
        <f>IF(AND('Riesgos de Gestión'!$AF$58="Media",'Riesgos de Gestión'!$AH$58="Moderado"),CONCATENATE("R8C",'Riesgos de Gestión'!$V$58),"")</f>
        <v/>
      </c>
      <c r="Z33" s="51" t="str">
        <f>IF(AND('Riesgos de Gestión'!$AF$59="Media",'Riesgos de Gestión'!$AH$59="Moderado"),CONCATENATE("R8C",'Riesgos de Gestión'!$V$59),"")</f>
        <v/>
      </c>
      <c r="AA33" s="52" t="str">
        <f>IF(AND('Riesgos de Gestión'!$AF$60="Media",'Riesgos de Gestión'!$AH$60="Moderado"),CONCATENATE("R8C",'Riesgos de Gestión'!$V$60),"")</f>
        <v/>
      </c>
      <c r="AB33" s="35" t="str">
        <f>IF(AND('Riesgos de Gestión'!$AF$55="Media",'Riesgos de Gestión'!$AH$55="Mayor"),CONCATENATE("R8C",'Riesgos de Gestión'!$V$55),"")</f>
        <v/>
      </c>
      <c r="AC33" s="36" t="str">
        <f>IF(AND('Riesgos de Gestión'!$AF$56="Media",'Riesgos de Gestión'!$AH$56="Mayor"),CONCATENATE("R8C",'Riesgos de Gestión'!$V$56),"")</f>
        <v/>
      </c>
      <c r="AD33" s="36" t="str">
        <f>IF(AND('Riesgos de Gestión'!$AF$57="Media",'Riesgos de Gestión'!$AH$57="Mayor"),CONCATENATE("R8C",'Riesgos de Gestión'!$V$57),"")</f>
        <v/>
      </c>
      <c r="AE33" s="36" t="str">
        <f>IF(AND('Riesgos de Gestión'!$AF$58="Media",'Riesgos de Gestión'!$AH$58="Mayor"),CONCATENATE("R8C",'Riesgos de Gestión'!$V$58),"")</f>
        <v/>
      </c>
      <c r="AF33" s="36" t="str">
        <f>IF(AND('Riesgos de Gestión'!$AF$59="Media",'Riesgos de Gestión'!$AH$59="Mayor"),CONCATENATE("R8C",'Riesgos de Gestión'!$V$59),"")</f>
        <v/>
      </c>
      <c r="AG33" s="37" t="str">
        <f>IF(AND('Riesgos de Gestión'!$AF$60="Media",'Riesgos de Gestión'!$AH$60="Mayor"),CONCATENATE("R8C",'Riesgos de Gestión'!$V$60),"")</f>
        <v/>
      </c>
      <c r="AH33" s="38" t="str">
        <f>IF(AND('Riesgos de Gestión'!$AF$55="Media",'Riesgos de Gestión'!$AH$55="Catastrófico"),CONCATENATE("R8C",'Riesgos de Gestión'!$V$55),"")</f>
        <v/>
      </c>
      <c r="AI33" s="39" t="str">
        <f>IF(AND('Riesgos de Gestión'!$AF$56="Media",'Riesgos de Gestión'!$AH$56="Catastrófico"),CONCATENATE("R8C",'Riesgos de Gestión'!$V$56),"")</f>
        <v/>
      </c>
      <c r="AJ33" s="39" t="str">
        <f>IF(AND('Riesgos de Gestión'!$AF$57="Media",'Riesgos de Gestión'!$AH$57="Catastrófico"),CONCATENATE("R8C",'Riesgos de Gestión'!$V$57),"")</f>
        <v/>
      </c>
      <c r="AK33" s="39" t="str">
        <f>IF(AND('Riesgos de Gestión'!$AF$58="Media",'Riesgos de Gestión'!$AH$58="Catastrófico"),CONCATENATE("R8C",'Riesgos de Gestión'!$V$58),"")</f>
        <v/>
      </c>
      <c r="AL33" s="39" t="str">
        <f>IF(AND('Riesgos de Gestión'!$AF$59="Media",'Riesgos de Gestión'!$AH$59="Catastrófico"),CONCATENATE("R8C",'Riesgos de Gestión'!$V$59),"")</f>
        <v/>
      </c>
      <c r="AM33" s="40" t="str">
        <f>IF(AND('Riesgos de Gestión'!$AF$60="Media",'Riesgos de Gestión'!$AH$60="Catastrófico"),CONCATENATE("R8C",'Riesgos de Gestión'!$V$60),"")</f>
        <v/>
      </c>
      <c r="AN33" s="66"/>
      <c r="AO33" s="517"/>
      <c r="AP33" s="518"/>
      <c r="AQ33" s="518"/>
      <c r="AR33" s="518"/>
      <c r="AS33" s="518"/>
      <c r="AT33" s="519"/>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436"/>
      <c r="C34" s="436"/>
      <c r="D34" s="437"/>
      <c r="E34" s="477"/>
      <c r="F34" s="478"/>
      <c r="G34" s="478"/>
      <c r="H34" s="478"/>
      <c r="I34" s="479"/>
      <c r="J34" s="50" t="str">
        <f>IF(AND('Riesgos de Gestión'!$AF$61="Media",'Riesgos de Gestión'!$AH$61="Leve"),CONCATENATE("R9C",'Riesgos de Gestión'!$V$61),"")</f>
        <v/>
      </c>
      <c r="K34" s="51" t="str">
        <f>IF(AND('Riesgos de Gestión'!$AF$62="Media",'Riesgos de Gestión'!$AH$62="Leve"),CONCATENATE("R9C",'Riesgos de Gestión'!$V$62),"")</f>
        <v/>
      </c>
      <c r="L34" s="51" t="str">
        <f>IF(AND('Riesgos de Gestión'!$AF$63="Media",'Riesgos de Gestión'!$AH$63="Leve"),CONCATENATE("R9C",'Riesgos de Gestión'!$V$63),"")</f>
        <v/>
      </c>
      <c r="M34" s="51" t="str">
        <f>IF(AND('Riesgos de Gestión'!$AF$64="Media",'Riesgos de Gestión'!$AH$64="Leve"),CONCATENATE("R9C",'Riesgos de Gestión'!$V$64),"")</f>
        <v/>
      </c>
      <c r="N34" s="51" t="str">
        <f>IF(AND('Riesgos de Gestión'!$AF$65="Media",'Riesgos de Gestión'!$AH$65="Leve"),CONCATENATE("R9C",'Riesgos de Gestión'!$V$65),"")</f>
        <v/>
      </c>
      <c r="O34" s="52" t="str">
        <f>IF(AND('Riesgos de Gestión'!$AF$66="Media",'Riesgos de Gestión'!$AH$66="Leve"),CONCATENATE("R9C",'Riesgos de Gestión'!$V$66),"")</f>
        <v/>
      </c>
      <c r="P34" s="50" t="str">
        <f>IF(AND('Riesgos de Gestión'!$AF$61="Media",'Riesgos de Gestión'!$AH$61="Menor"),CONCATENATE("R9C",'Riesgos de Gestión'!$V$61),"")</f>
        <v/>
      </c>
      <c r="Q34" s="51" t="str">
        <f>IF(AND('Riesgos de Gestión'!$AF$62="Media",'Riesgos de Gestión'!$AH$62="Menor"),CONCATENATE("R9C",'Riesgos de Gestión'!$V$62),"")</f>
        <v/>
      </c>
      <c r="R34" s="51" t="str">
        <f>IF(AND('Riesgos de Gestión'!$AF$63="Media",'Riesgos de Gestión'!$AH$63="Menor"),CONCATENATE("R9C",'Riesgos de Gestión'!$V$63),"")</f>
        <v/>
      </c>
      <c r="S34" s="51" t="str">
        <f>IF(AND('Riesgos de Gestión'!$AF$64="Media",'Riesgos de Gestión'!$AH$64="Menor"),CONCATENATE("R9C",'Riesgos de Gestión'!$V$64),"")</f>
        <v/>
      </c>
      <c r="T34" s="51" t="str">
        <f>IF(AND('Riesgos de Gestión'!$AF$65="Media",'Riesgos de Gestión'!$AH$65="Menor"),CONCATENATE("R9C",'Riesgos de Gestión'!$V$65),"")</f>
        <v/>
      </c>
      <c r="U34" s="52" t="str">
        <f>IF(AND('Riesgos de Gestión'!$AF$66="Media",'Riesgos de Gestión'!$AH$66="Menor"),CONCATENATE("R9C",'Riesgos de Gestión'!$V$66),"")</f>
        <v/>
      </c>
      <c r="V34" s="50" t="str">
        <f>IF(AND('Riesgos de Gestión'!$AF$61="Media",'Riesgos de Gestión'!$AH$61="Moderado"),CONCATENATE("R9C",'Riesgos de Gestión'!$V$61),"")</f>
        <v/>
      </c>
      <c r="W34" s="51" t="str">
        <f>IF(AND('Riesgos de Gestión'!$AF$62="Media",'Riesgos de Gestión'!$AH$62="Moderado"),CONCATENATE("R9C",'Riesgos de Gestión'!$V$62),"")</f>
        <v/>
      </c>
      <c r="X34" s="51" t="str">
        <f>IF(AND('Riesgos de Gestión'!$AF$63="Media",'Riesgos de Gestión'!$AH$63="Moderado"),CONCATENATE("R9C",'Riesgos de Gestión'!$V$63),"")</f>
        <v/>
      </c>
      <c r="Y34" s="51" t="str">
        <f>IF(AND('Riesgos de Gestión'!$AF$64="Media",'Riesgos de Gestión'!$AH$64="Moderado"),CONCATENATE("R9C",'Riesgos de Gestión'!$V$64),"")</f>
        <v/>
      </c>
      <c r="Z34" s="51" t="str">
        <f>IF(AND('Riesgos de Gestión'!$AF$65="Media",'Riesgos de Gestión'!$AH$65="Moderado"),CONCATENATE("R9C",'Riesgos de Gestión'!$V$65),"")</f>
        <v/>
      </c>
      <c r="AA34" s="52" t="str">
        <f>IF(AND('Riesgos de Gestión'!$AF$66="Media",'Riesgos de Gestión'!$AH$66="Moderado"),CONCATENATE("R9C",'Riesgos de Gestión'!$V$66),"")</f>
        <v/>
      </c>
      <c r="AB34" s="35" t="str">
        <f>IF(AND('Riesgos de Gestión'!$AF$61="Media",'Riesgos de Gestión'!$AH$61="Mayor"),CONCATENATE("R9C",'Riesgos de Gestión'!$V$61),"")</f>
        <v/>
      </c>
      <c r="AC34" s="36" t="str">
        <f>IF(AND('Riesgos de Gestión'!$AF$62="Media",'Riesgos de Gestión'!$AH$62="Mayor"),CONCATENATE("R9C",'Riesgos de Gestión'!$V$62),"")</f>
        <v/>
      </c>
      <c r="AD34" s="36" t="str">
        <f>IF(AND('Riesgos de Gestión'!$AF$63="Media",'Riesgos de Gestión'!$AH$63="Mayor"),CONCATENATE("R9C",'Riesgos de Gestión'!$V$63),"")</f>
        <v/>
      </c>
      <c r="AE34" s="36" t="str">
        <f>IF(AND('Riesgos de Gestión'!$AF$64="Media",'Riesgos de Gestión'!$AH$64="Mayor"),CONCATENATE("R9C",'Riesgos de Gestión'!$V$64),"")</f>
        <v/>
      </c>
      <c r="AF34" s="36" t="str">
        <f>IF(AND('Riesgos de Gestión'!$AF$65="Media",'Riesgos de Gestión'!$AH$65="Mayor"),CONCATENATE("R9C",'Riesgos de Gestión'!$V$65),"")</f>
        <v/>
      </c>
      <c r="AG34" s="37" t="str">
        <f>IF(AND('Riesgos de Gestión'!$AF$66="Media",'Riesgos de Gestión'!$AH$66="Mayor"),CONCATENATE("R9C",'Riesgos de Gestión'!$V$66),"")</f>
        <v/>
      </c>
      <c r="AH34" s="38" t="str">
        <f>IF(AND('Riesgos de Gestión'!$AF$61="Media",'Riesgos de Gestión'!$AH$61="Catastrófico"),CONCATENATE("R9C",'Riesgos de Gestión'!$V$61),"")</f>
        <v/>
      </c>
      <c r="AI34" s="39" t="str">
        <f>IF(AND('Riesgos de Gestión'!$AF$62="Media",'Riesgos de Gestión'!$AH$62="Catastrófico"),CONCATENATE("R9C",'Riesgos de Gestión'!$V$62),"")</f>
        <v/>
      </c>
      <c r="AJ34" s="39" t="str">
        <f>IF(AND('Riesgos de Gestión'!$AF$63="Media",'Riesgos de Gestión'!$AH$63="Catastrófico"),CONCATENATE("R9C",'Riesgos de Gestión'!$V$63),"")</f>
        <v/>
      </c>
      <c r="AK34" s="39" t="str">
        <f>IF(AND('Riesgos de Gestión'!$AF$64="Media",'Riesgos de Gestión'!$AH$64="Catastrófico"),CONCATENATE("R9C",'Riesgos de Gestión'!$V$64),"")</f>
        <v/>
      </c>
      <c r="AL34" s="39" t="str">
        <f>IF(AND('Riesgos de Gestión'!$AF$65="Media",'Riesgos de Gestión'!$AH$65="Catastrófico"),CONCATENATE("R9C",'Riesgos de Gestión'!$V$65),"")</f>
        <v/>
      </c>
      <c r="AM34" s="40" t="str">
        <f>IF(AND('Riesgos de Gestión'!$AF$66="Media",'Riesgos de Gestión'!$AH$66="Catastrófico"),CONCATENATE("R9C",'Riesgos de Gestión'!$V$66),"")</f>
        <v/>
      </c>
      <c r="AN34" s="66"/>
      <c r="AO34" s="517"/>
      <c r="AP34" s="518"/>
      <c r="AQ34" s="518"/>
      <c r="AR34" s="518"/>
      <c r="AS34" s="518"/>
      <c r="AT34" s="519"/>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436"/>
      <c r="C35" s="436"/>
      <c r="D35" s="437"/>
      <c r="E35" s="480"/>
      <c r="F35" s="481"/>
      <c r="G35" s="481"/>
      <c r="H35" s="481"/>
      <c r="I35" s="482"/>
      <c r="J35" s="50" t="str">
        <f>IF(AND('Riesgos de Gestión'!$AF$67="Media",'Riesgos de Gestión'!$AH$67="Leve"),CONCATENATE("R10C",'Riesgos de Gestión'!$V$67),"")</f>
        <v/>
      </c>
      <c r="K35" s="51" t="str">
        <f>IF(AND('Riesgos de Gestión'!$AF$68="Media",'Riesgos de Gestión'!$AH$68="Leve"),CONCATENATE("R10C",'Riesgos de Gestión'!$V$68),"")</f>
        <v/>
      </c>
      <c r="L35" s="51" t="str">
        <f>IF(AND('Riesgos de Gestión'!$AF$69="Media",'Riesgos de Gestión'!$AH$69="Leve"),CONCATENATE("R10C",'Riesgos de Gestión'!$V$69),"")</f>
        <v/>
      </c>
      <c r="M35" s="51" t="str">
        <f>IF(AND('Riesgos de Gestión'!$AF$70="Media",'Riesgos de Gestión'!$AH$70="Leve"),CONCATENATE("R10C",'Riesgos de Gestión'!$V$70),"")</f>
        <v/>
      </c>
      <c r="N35" s="51" t="str">
        <f>IF(AND('Riesgos de Gestión'!$AF$71="Media",'Riesgos de Gestión'!$AH$71="Leve"),CONCATENATE("R10C",'Riesgos de Gestión'!$V$71),"")</f>
        <v/>
      </c>
      <c r="O35" s="52" t="str">
        <f>IF(AND('Riesgos de Gestión'!$AF$72="Media",'Riesgos de Gestión'!$AH$72="Leve"),CONCATENATE("R10C",'Riesgos de Gestión'!$V$72),"")</f>
        <v/>
      </c>
      <c r="P35" s="50" t="str">
        <f>IF(AND('Riesgos de Gestión'!$AF$67="Media",'Riesgos de Gestión'!$AH$67="Menor"),CONCATENATE("R10C",'Riesgos de Gestión'!$V$67),"")</f>
        <v/>
      </c>
      <c r="Q35" s="51" t="str">
        <f>IF(AND('Riesgos de Gestión'!$AF$68="Media",'Riesgos de Gestión'!$AH$68="Menor"),CONCATENATE("R10C",'Riesgos de Gestión'!$V$68),"")</f>
        <v/>
      </c>
      <c r="R35" s="51" t="str">
        <f>IF(AND('Riesgos de Gestión'!$AF$69="Media",'Riesgos de Gestión'!$AH$69="Menor"),CONCATENATE("R10C",'Riesgos de Gestión'!$V$69),"")</f>
        <v/>
      </c>
      <c r="S35" s="51" t="str">
        <f>IF(AND('Riesgos de Gestión'!$AF$70="Media",'Riesgos de Gestión'!$AH$70="Menor"),CONCATENATE("R10C",'Riesgos de Gestión'!$V$70),"")</f>
        <v/>
      </c>
      <c r="T35" s="51" t="str">
        <f>IF(AND('Riesgos de Gestión'!$AF$71="Media",'Riesgos de Gestión'!$AH$71="Menor"),CONCATENATE("R10C",'Riesgos de Gestión'!$V$71),"")</f>
        <v/>
      </c>
      <c r="U35" s="52" t="str">
        <f>IF(AND('Riesgos de Gestión'!$AF$72="Media",'Riesgos de Gestión'!$AH$72="Menor"),CONCATENATE("R10C",'Riesgos de Gestión'!$V$72),"")</f>
        <v/>
      </c>
      <c r="V35" s="50" t="str">
        <f>IF(AND('Riesgos de Gestión'!$AF$67="Media",'Riesgos de Gestión'!$AH$67="Moderado"),CONCATENATE("R10C",'Riesgos de Gestión'!$V$67),"")</f>
        <v/>
      </c>
      <c r="W35" s="51" t="str">
        <f>IF(AND('Riesgos de Gestión'!$AF$68="Media",'Riesgos de Gestión'!$AH$68="Moderado"),CONCATENATE("R10C",'Riesgos de Gestión'!$V$68),"")</f>
        <v/>
      </c>
      <c r="X35" s="51" t="str">
        <f>IF(AND('Riesgos de Gestión'!$AF$69="Media",'Riesgos de Gestión'!$AH$69="Moderado"),CONCATENATE("R10C",'Riesgos de Gestión'!$V$69),"")</f>
        <v/>
      </c>
      <c r="Y35" s="51" t="str">
        <f>IF(AND('Riesgos de Gestión'!$AF$70="Media",'Riesgos de Gestión'!$AH$70="Moderado"),CONCATENATE("R10C",'Riesgos de Gestión'!$V$70),"")</f>
        <v/>
      </c>
      <c r="Z35" s="51" t="str">
        <f>IF(AND('Riesgos de Gestión'!$AF$71="Media",'Riesgos de Gestión'!$AH$71="Moderado"),CONCATENATE("R10C",'Riesgos de Gestión'!$V$71),"")</f>
        <v/>
      </c>
      <c r="AA35" s="52" t="str">
        <f>IF(AND('Riesgos de Gestión'!$AF$72="Media",'Riesgos de Gestión'!$AH$72="Moderado"),CONCATENATE("R10C",'Riesgos de Gestión'!$V$72),"")</f>
        <v/>
      </c>
      <c r="AB35" s="41" t="str">
        <f>IF(AND('Riesgos de Gestión'!$AF$67="Media",'Riesgos de Gestión'!$AH$67="Mayor"),CONCATENATE("R10C",'Riesgos de Gestión'!$V$67),"")</f>
        <v/>
      </c>
      <c r="AC35" s="42" t="str">
        <f>IF(AND('Riesgos de Gestión'!$AF$68="Media",'Riesgos de Gestión'!$AH$68="Mayor"),CONCATENATE("R10C",'Riesgos de Gestión'!$V$68),"")</f>
        <v/>
      </c>
      <c r="AD35" s="42" t="str">
        <f>IF(AND('Riesgos de Gestión'!$AF$69="Media",'Riesgos de Gestión'!$AH$69="Mayor"),CONCATENATE("R10C",'Riesgos de Gestión'!$V$69),"")</f>
        <v/>
      </c>
      <c r="AE35" s="42" t="str">
        <f>IF(AND('Riesgos de Gestión'!$AF$70="Media",'Riesgos de Gestión'!$AH$70="Mayor"),CONCATENATE("R10C",'Riesgos de Gestión'!$V$70),"")</f>
        <v/>
      </c>
      <c r="AF35" s="42" t="str">
        <f>IF(AND('Riesgos de Gestión'!$AF$71="Media",'Riesgos de Gestión'!$AH$71="Mayor"),CONCATENATE("R10C",'Riesgos de Gestión'!$V$71),"")</f>
        <v/>
      </c>
      <c r="AG35" s="43" t="str">
        <f>IF(AND('Riesgos de Gestión'!$AF$72="Media",'Riesgos de Gestión'!$AH$72="Mayor"),CONCATENATE("R10C",'Riesgos de Gestión'!$V$72),"")</f>
        <v/>
      </c>
      <c r="AH35" s="44" t="str">
        <f>IF(AND('Riesgos de Gestión'!$AF$67="Media",'Riesgos de Gestión'!$AH$67="Catastrófico"),CONCATENATE("R10C",'Riesgos de Gestión'!$V$67),"")</f>
        <v/>
      </c>
      <c r="AI35" s="45" t="str">
        <f>IF(AND('Riesgos de Gestión'!$AF$68="Media",'Riesgos de Gestión'!$AH$68="Catastrófico"),CONCATENATE("R10C",'Riesgos de Gestión'!$V$68),"")</f>
        <v/>
      </c>
      <c r="AJ35" s="45" t="str">
        <f>IF(AND('Riesgos de Gestión'!$AF$69="Media",'Riesgos de Gestión'!$AH$69="Catastrófico"),CONCATENATE("R10C",'Riesgos de Gestión'!$V$69),"")</f>
        <v/>
      </c>
      <c r="AK35" s="45" t="str">
        <f>IF(AND('Riesgos de Gestión'!$AF$70="Media",'Riesgos de Gestión'!$AH$70="Catastrófico"),CONCATENATE("R10C",'Riesgos de Gestión'!$V$70),"")</f>
        <v/>
      </c>
      <c r="AL35" s="45" t="str">
        <f>IF(AND('Riesgos de Gestión'!$AF$71="Media",'Riesgos de Gestión'!$AH$71="Catastrófico"),CONCATENATE("R10C",'Riesgos de Gestión'!$V$71),"")</f>
        <v/>
      </c>
      <c r="AM35" s="46" t="str">
        <f>IF(AND('Riesgos de Gestión'!$AF$72="Media",'Riesgos de Gestión'!$AH$72="Catastrófico"),CONCATENATE("R10C",'Riesgos de Gestión'!$V$72),"")</f>
        <v/>
      </c>
      <c r="AN35" s="66"/>
      <c r="AO35" s="520"/>
      <c r="AP35" s="521"/>
      <c r="AQ35" s="521"/>
      <c r="AR35" s="521"/>
      <c r="AS35" s="521"/>
      <c r="AT35" s="522"/>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436"/>
      <c r="C36" s="436"/>
      <c r="D36" s="437"/>
      <c r="E36" s="474" t="s">
        <v>271</v>
      </c>
      <c r="F36" s="475"/>
      <c r="G36" s="475"/>
      <c r="H36" s="475"/>
      <c r="I36" s="475"/>
      <c r="J36" s="56" t="str">
        <f>IF(AND('Riesgos de Gestión'!$AF$13="Baja",'Riesgos de Gestión'!$AH$13="Leve"),CONCATENATE("R1C",'Riesgos de Gestión'!$V$13),"")</f>
        <v/>
      </c>
      <c r="K36" s="57" t="str">
        <f>IF(AND('Riesgos de Gestión'!$AF$14="Baja",'Riesgos de Gestión'!$AH$14="Leve"),CONCATENATE("R1C",'Riesgos de Gestión'!$V$14),"")</f>
        <v/>
      </c>
      <c r="L36" s="57" t="str">
        <f>IF(AND('Riesgos de Gestión'!$AF$15="Baja",'Riesgos de Gestión'!$AH$15="Leve"),CONCATENATE("R1C",'Riesgos de Gestión'!$V$15),"")</f>
        <v/>
      </c>
      <c r="M36" s="57" t="str">
        <f>IF(AND('Riesgos de Gestión'!$AF$16="Baja",'Riesgos de Gestión'!$AH$16="Leve"),CONCATENATE("R1C",'Riesgos de Gestión'!$V$16),"")</f>
        <v/>
      </c>
      <c r="N36" s="57" t="str">
        <f>IF(AND('Riesgos de Gestión'!$AF$17="Baja",'Riesgos de Gestión'!$AH$17="Leve"),CONCATENATE("R1C",'Riesgos de Gestión'!$V$17),"")</f>
        <v/>
      </c>
      <c r="O36" s="58" t="str">
        <f>IF(AND('Riesgos de Gestión'!$AF$18="Baja",'Riesgos de Gestión'!$AH$18="Leve"),CONCATENATE("R1C",'Riesgos de Gestión'!$V$18),"")</f>
        <v/>
      </c>
      <c r="P36" s="47" t="str">
        <f>IF(AND('Riesgos de Gestión'!$AF$13="Baja",'Riesgos de Gestión'!$AH$13="Menor"),CONCATENATE("R1C",'Riesgos de Gestión'!$V$13),"")</f>
        <v/>
      </c>
      <c r="Q36" s="48" t="str">
        <f>IF(AND('Riesgos de Gestión'!$AF$14="Baja",'Riesgos de Gestión'!$AH$14="Menor"),CONCATENATE("R1C",'Riesgos de Gestión'!$V$14),"")</f>
        <v/>
      </c>
      <c r="R36" s="48" t="str">
        <f>IF(AND('Riesgos de Gestión'!$AF$15="Baja",'Riesgos de Gestión'!$AH$15="Menor"),CONCATENATE("R1C",'Riesgos de Gestión'!$V$15),"")</f>
        <v/>
      </c>
      <c r="S36" s="48" t="str">
        <f>IF(AND('Riesgos de Gestión'!$AF$16="Baja",'Riesgos de Gestión'!$AH$16="Menor"),CONCATENATE("R1C",'Riesgos de Gestión'!$V$16),"")</f>
        <v/>
      </c>
      <c r="T36" s="48" t="str">
        <f>IF(AND('Riesgos de Gestión'!$AF$17="Baja",'Riesgos de Gestión'!$AH$17="Menor"),CONCATENATE("R1C",'Riesgos de Gestión'!$V$17),"")</f>
        <v/>
      </c>
      <c r="U36" s="49" t="str">
        <f>IF(AND('Riesgos de Gestión'!$AF$18="Baja",'Riesgos de Gestión'!$AH$18="Menor"),CONCATENATE("R1C",'Riesgos de Gestión'!$V$18),"")</f>
        <v/>
      </c>
      <c r="V36" s="47" t="str">
        <f>IF(AND('Riesgos de Gestión'!$AF$13="Baja",'Riesgos de Gestión'!$AH$13="Moderado"),CONCATENATE("R1C",'Riesgos de Gestión'!$V$13),"")</f>
        <v/>
      </c>
      <c r="W36" s="48" t="str">
        <f>IF(AND('Riesgos de Gestión'!$AF$14="Baja",'Riesgos de Gestión'!$AH$14="Moderado"),CONCATENATE("R1C",'Riesgos de Gestión'!$V$14),"")</f>
        <v>R1C2</v>
      </c>
      <c r="X36" s="48" t="str">
        <f>IF(AND('Riesgos de Gestión'!$AF$15="Baja",'Riesgos de Gestión'!$AH$15="Moderado"),CONCATENATE("R1C",'Riesgos de Gestión'!$V$15),"")</f>
        <v/>
      </c>
      <c r="Y36" s="48" t="str">
        <f>IF(AND('Riesgos de Gestión'!$AF$16="Baja",'Riesgos de Gestión'!$AH$16="Moderado"),CONCATENATE("R1C",'Riesgos de Gestión'!$V$16),"")</f>
        <v/>
      </c>
      <c r="Z36" s="48" t="str">
        <f>IF(AND('Riesgos de Gestión'!$AF$17="Baja",'Riesgos de Gestión'!$AH$17="Moderado"),CONCATENATE("R1C",'Riesgos de Gestión'!$V$17),"")</f>
        <v/>
      </c>
      <c r="AA36" s="49" t="str">
        <f>IF(AND('Riesgos de Gestión'!$AF$18="Baja",'Riesgos de Gestión'!$AH$18="Moderado"),CONCATENATE("R1C",'Riesgos de Gestión'!$V$18),"")</f>
        <v/>
      </c>
      <c r="AB36" s="29" t="str">
        <f>IF(AND('Riesgos de Gestión'!$AF$13="Baja",'Riesgos de Gestión'!$AH$13="Mayor"),CONCATENATE("R1C",'Riesgos de Gestión'!$V$13),"")</f>
        <v/>
      </c>
      <c r="AC36" s="30" t="str">
        <f>IF(AND('Riesgos de Gestión'!$AF$14="Baja",'Riesgos de Gestión'!$AH$14="Mayor"),CONCATENATE("R1C",'Riesgos de Gestión'!$V$14),"")</f>
        <v/>
      </c>
      <c r="AD36" s="30" t="str">
        <f>IF(AND('Riesgos de Gestión'!$AF$15="Baja",'Riesgos de Gestión'!$AH$15="Mayor"),CONCATENATE("R1C",'Riesgos de Gestión'!$V$15),"")</f>
        <v/>
      </c>
      <c r="AE36" s="30" t="str">
        <f>IF(AND('Riesgos de Gestión'!$AF$16="Baja",'Riesgos de Gestión'!$AH$16="Mayor"),CONCATENATE("R1C",'Riesgos de Gestión'!$V$16),"")</f>
        <v/>
      </c>
      <c r="AF36" s="30" t="str">
        <f>IF(AND('Riesgos de Gestión'!$AF$17="Baja",'Riesgos de Gestión'!$AH$17="Mayor"),CONCATENATE("R1C",'Riesgos de Gestión'!$V$17),"")</f>
        <v/>
      </c>
      <c r="AG36" s="31" t="str">
        <f>IF(AND('Riesgos de Gestión'!$AF$18="Baja",'Riesgos de Gestión'!$AH$18="Mayor"),CONCATENATE("R1C",'Riesgos de Gestión'!$V$18),"")</f>
        <v/>
      </c>
      <c r="AH36" s="32" t="str">
        <f>IF(AND('Riesgos de Gestión'!$AF$13="Baja",'Riesgos de Gestión'!$AH$13="Catastrófico"),CONCATENATE("R1C",'Riesgos de Gestión'!$V$13),"")</f>
        <v/>
      </c>
      <c r="AI36" s="33" t="str">
        <f>IF(AND('Riesgos de Gestión'!$AF$14="Baja",'Riesgos de Gestión'!$AH$14="Catastrófico"),CONCATENATE("R1C",'Riesgos de Gestión'!$V$14),"")</f>
        <v/>
      </c>
      <c r="AJ36" s="33" t="str">
        <f>IF(AND('Riesgos de Gestión'!$AF$15="Baja",'Riesgos de Gestión'!$AH$15="Catastrófico"),CONCATENATE("R1C",'Riesgos de Gestión'!$V$15),"")</f>
        <v/>
      </c>
      <c r="AK36" s="33" t="str">
        <f>IF(AND('Riesgos de Gestión'!$AF$16="Baja",'Riesgos de Gestión'!$AH$16="Catastrófico"),CONCATENATE("R1C",'Riesgos de Gestión'!$V$16),"")</f>
        <v/>
      </c>
      <c r="AL36" s="33" t="str">
        <f>IF(AND('Riesgos de Gestión'!$AF$17="Baja",'Riesgos de Gestión'!$AH$17="Catastrófico"),CONCATENATE("R1C",'Riesgos de Gestión'!$V$17),"")</f>
        <v/>
      </c>
      <c r="AM36" s="34" t="str">
        <f>IF(AND('Riesgos de Gestión'!$AF$18="Baja",'Riesgos de Gestión'!$AH$18="Catastrófico"),CONCATENATE("R1C",'Riesgos de Gestión'!$V$18),"")</f>
        <v/>
      </c>
      <c r="AN36" s="66"/>
      <c r="AO36" s="505" t="s">
        <v>272</v>
      </c>
      <c r="AP36" s="506"/>
      <c r="AQ36" s="506"/>
      <c r="AR36" s="506"/>
      <c r="AS36" s="506"/>
      <c r="AT36" s="507"/>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436"/>
      <c r="C37" s="436"/>
      <c r="D37" s="437"/>
      <c r="E37" s="493"/>
      <c r="F37" s="478"/>
      <c r="G37" s="478"/>
      <c r="H37" s="478"/>
      <c r="I37" s="478"/>
      <c r="J37" s="59" t="str">
        <f>IF(AND('Riesgos de Gestión'!$AF$19="Baja",'Riesgos de Gestión'!$AH$19="Leve"),CONCATENATE("R2C",'Riesgos de Gestión'!$V$19),"")</f>
        <v/>
      </c>
      <c r="K37" s="60" t="str">
        <f>IF(AND('Riesgos de Gestión'!$AF$20="Baja",'Riesgos de Gestión'!$AH$20="Leve"),CONCATENATE("R2C",'Riesgos de Gestión'!$V$20),"")</f>
        <v/>
      </c>
      <c r="L37" s="60" t="str">
        <f>IF(AND('Riesgos de Gestión'!$AF$21="Baja",'Riesgos de Gestión'!$AH$21="Leve"),CONCATENATE("R2C",'Riesgos de Gestión'!$V$21),"")</f>
        <v/>
      </c>
      <c r="M37" s="60" t="str">
        <f>IF(AND('Riesgos de Gestión'!$AF$22="Baja",'Riesgos de Gestión'!$AH$22="Leve"),CONCATENATE("R2C",'Riesgos de Gestión'!$V$22),"")</f>
        <v/>
      </c>
      <c r="N37" s="60" t="str">
        <f>IF(AND('Riesgos de Gestión'!$AF$23="Baja",'Riesgos de Gestión'!$AH$23="Leve"),CONCATENATE("R2C",'Riesgos de Gestión'!$V$23),"")</f>
        <v/>
      </c>
      <c r="O37" s="61" t="str">
        <f>IF(AND('Riesgos de Gestión'!$AF$24="Baja",'Riesgos de Gestión'!$AH$24="Leve"),CONCATENATE("R2C",'Riesgos de Gestión'!$V$24),"")</f>
        <v/>
      </c>
      <c r="P37" s="50" t="str">
        <f>IF(AND('Riesgos de Gestión'!$AF$19="Baja",'Riesgos de Gestión'!$AH$19="Menor"),CONCATENATE("R2C",'Riesgos de Gestión'!$V$19),"")</f>
        <v/>
      </c>
      <c r="Q37" s="51" t="str">
        <f>IF(AND('Riesgos de Gestión'!$AF$20="Baja",'Riesgos de Gestión'!$AH$20="Menor"),CONCATENATE("R2C",'Riesgos de Gestión'!$V$20),"")</f>
        <v/>
      </c>
      <c r="R37" s="51" t="str">
        <f>IF(AND('Riesgos de Gestión'!$AF$21="Baja",'Riesgos de Gestión'!$AH$21="Menor"),CONCATENATE("R2C",'Riesgos de Gestión'!$V$21),"")</f>
        <v/>
      </c>
      <c r="S37" s="51" t="str">
        <f>IF(AND('Riesgos de Gestión'!$AF$22="Baja",'Riesgos de Gestión'!$AH$22="Menor"),CONCATENATE("R2C",'Riesgos de Gestión'!$V$22),"")</f>
        <v/>
      </c>
      <c r="T37" s="51" t="str">
        <f>IF(AND('Riesgos de Gestión'!$AF$23="Baja",'Riesgos de Gestión'!$AH$23="Menor"),CONCATENATE("R2C",'Riesgos de Gestión'!$V$23),"")</f>
        <v/>
      </c>
      <c r="U37" s="52" t="str">
        <f>IF(AND('Riesgos de Gestión'!$AF$24="Baja",'Riesgos de Gestión'!$AH$24="Menor"),CONCATENATE("R2C",'Riesgos de Gestión'!$V$24),"")</f>
        <v/>
      </c>
      <c r="V37" s="50" t="str">
        <f>IF(AND('Riesgos de Gestión'!$AF$19="Baja",'Riesgos de Gestión'!$AH$19="Moderado"),CONCATENATE("R2C",'Riesgos de Gestión'!$V$19),"")</f>
        <v/>
      </c>
      <c r="W37" s="51" t="str">
        <f>IF(AND('Riesgos de Gestión'!$AF$20="Baja",'Riesgos de Gestión'!$AH$20="Moderado"),CONCATENATE("R2C",'Riesgos de Gestión'!$V$20),"")</f>
        <v/>
      </c>
      <c r="X37" s="51" t="str">
        <f>IF(AND('Riesgos de Gestión'!$AF$21="Baja",'Riesgos de Gestión'!$AH$21="Moderado"),CONCATENATE("R2C",'Riesgos de Gestión'!$V$21),"")</f>
        <v/>
      </c>
      <c r="Y37" s="51" t="str">
        <f>IF(AND('Riesgos de Gestión'!$AF$22="Baja",'Riesgos de Gestión'!$AH$22="Moderado"),CONCATENATE("R2C",'Riesgos de Gestión'!$V$22),"")</f>
        <v/>
      </c>
      <c r="Z37" s="51" t="str">
        <f>IF(AND('Riesgos de Gestión'!$AF$23="Baja",'Riesgos de Gestión'!$AH$23="Moderado"),CONCATENATE("R2C",'Riesgos de Gestión'!$V$23),"")</f>
        <v/>
      </c>
      <c r="AA37" s="52" t="str">
        <f>IF(AND('Riesgos de Gestión'!$AF$24="Baja",'Riesgos de Gestión'!$AH$24="Moderado"),CONCATENATE("R2C",'Riesgos de Gestión'!$V$24),"")</f>
        <v/>
      </c>
      <c r="AB37" s="35" t="str">
        <f>IF(AND('Riesgos de Gestión'!$AF$19="Baja",'Riesgos de Gestión'!$AH$19="Mayor"),CONCATENATE("R2C",'Riesgos de Gestión'!$V$19),"")</f>
        <v/>
      </c>
      <c r="AC37" s="36" t="str">
        <f>IF(AND('Riesgos de Gestión'!$AF$20="Baja",'Riesgos de Gestión'!$AH$20="Mayor"),CONCATENATE("R2C",'Riesgos de Gestión'!$V$20),"")</f>
        <v/>
      </c>
      <c r="AD37" s="36" t="str">
        <f>IF(AND('Riesgos de Gestión'!$AF$21="Baja",'Riesgos de Gestión'!$AH$21="Mayor"),CONCATENATE("R2C",'Riesgos de Gestión'!$V$21),"")</f>
        <v/>
      </c>
      <c r="AE37" s="36" t="str">
        <f>IF(AND('Riesgos de Gestión'!$AF$22="Baja",'Riesgos de Gestión'!$AH$22="Mayor"),CONCATENATE("R2C",'Riesgos de Gestión'!$V$22),"")</f>
        <v/>
      </c>
      <c r="AF37" s="36" t="str">
        <f>IF(AND('Riesgos de Gestión'!$AF$23="Baja",'Riesgos de Gestión'!$AH$23="Mayor"),CONCATENATE("R2C",'Riesgos de Gestión'!$V$23),"")</f>
        <v/>
      </c>
      <c r="AG37" s="37" t="str">
        <f>IF(AND('Riesgos de Gestión'!$AF$24="Baja",'Riesgos de Gestión'!$AH$24="Mayor"),CONCATENATE("R2C",'Riesgos de Gestión'!$V$24),"")</f>
        <v/>
      </c>
      <c r="AH37" s="38" t="str">
        <f>IF(AND('Riesgos de Gestión'!$AF$19="Baja",'Riesgos de Gestión'!$AH$19="Catastrófico"),CONCATENATE("R2C",'Riesgos de Gestión'!$V$19),"")</f>
        <v/>
      </c>
      <c r="AI37" s="39" t="str">
        <f>IF(AND('Riesgos de Gestión'!$AF$20="Baja",'Riesgos de Gestión'!$AH$20="Catastrófico"),CONCATENATE("R2C",'Riesgos de Gestión'!$V$20),"")</f>
        <v/>
      </c>
      <c r="AJ37" s="39" t="str">
        <f>IF(AND('Riesgos de Gestión'!$AF$21="Baja",'Riesgos de Gestión'!$AH$21="Catastrófico"),CONCATENATE("R2C",'Riesgos de Gestión'!$V$21),"")</f>
        <v/>
      </c>
      <c r="AK37" s="39" t="str">
        <f>IF(AND('Riesgos de Gestión'!$AF$22="Baja",'Riesgos de Gestión'!$AH$22="Catastrófico"),CONCATENATE("R2C",'Riesgos de Gestión'!$V$22),"")</f>
        <v/>
      </c>
      <c r="AL37" s="39" t="str">
        <f>IF(AND('Riesgos de Gestión'!$AF$23="Baja",'Riesgos de Gestión'!$AH$23="Catastrófico"),CONCATENATE("R2C",'Riesgos de Gestión'!$V$23),"")</f>
        <v/>
      </c>
      <c r="AM37" s="40" t="str">
        <f>IF(AND('Riesgos de Gestión'!$AF$24="Baja",'Riesgos de Gestión'!$AH$24="Catastrófico"),CONCATENATE("R2C",'Riesgos de Gestión'!$V$24),"")</f>
        <v/>
      </c>
      <c r="AN37" s="66"/>
      <c r="AO37" s="508"/>
      <c r="AP37" s="509"/>
      <c r="AQ37" s="509"/>
      <c r="AR37" s="509"/>
      <c r="AS37" s="509"/>
      <c r="AT37" s="510"/>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436"/>
      <c r="C38" s="436"/>
      <c r="D38" s="437"/>
      <c r="E38" s="477"/>
      <c r="F38" s="478"/>
      <c r="G38" s="478"/>
      <c r="H38" s="478"/>
      <c r="I38" s="478"/>
      <c r="J38" s="59" t="str">
        <f>IF(AND('Riesgos de Gestión'!$AF$25="Baja",'Riesgos de Gestión'!$AH$25="Leve"),CONCATENATE("R3C",'Riesgos de Gestión'!$V$25),"")</f>
        <v/>
      </c>
      <c r="K38" s="60" t="str">
        <f>IF(AND('Riesgos de Gestión'!$AF$26="Baja",'Riesgos de Gestión'!$AH$26="Leve"),CONCATENATE("R3C",'Riesgos de Gestión'!$V$26),"")</f>
        <v/>
      </c>
      <c r="L38" s="60" t="str">
        <f>IF(AND('Riesgos de Gestión'!$AF$27="Baja",'Riesgos de Gestión'!$AH$27="Leve"),CONCATENATE("R3C",'Riesgos de Gestión'!$V$27),"")</f>
        <v/>
      </c>
      <c r="M38" s="60" t="str">
        <f>IF(AND('Riesgos de Gestión'!$AF$28="Baja",'Riesgos de Gestión'!$AH$28="Leve"),CONCATENATE("R3C",'Riesgos de Gestión'!$V$28),"")</f>
        <v/>
      </c>
      <c r="N38" s="60" t="str">
        <f>IF(AND('Riesgos de Gestión'!$AF$29="Baja",'Riesgos de Gestión'!$AH$29="Leve"),CONCATENATE("R3C",'Riesgos de Gestión'!$V$29),"")</f>
        <v/>
      </c>
      <c r="O38" s="61" t="str">
        <f>IF(AND('Riesgos de Gestión'!$AF$30="Baja",'Riesgos de Gestión'!$AH$30="Leve"),CONCATENATE("R3C",'Riesgos de Gestión'!$V$30),"")</f>
        <v/>
      </c>
      <c r="P38" s="50" t="str">
        <f>IF(AND('Riesgos de Gestión'!$AF$25="Baja",'Riesgos de Gestión'!$AH$25="Menor"),CONCATENATE("R3C",'Riesgos de Gestión'!$V$25),"")</f>
        <v/>
      </c>
      <c r="Q38" s="51" t="str">
        <f>IF(AND('Riesgos de Gestión'!$AF$26="Baja",'Riesgos de Gestión'!$AH$26="Menor"),CONCATENATE("R3C",'Riesgos de Gestión'!$V$26),"")</f>
        <v/>
      </c>
      <c r="R38" s="51" t="str">
        <f>IF(AND('Riesgos de Gestión'!$AF$27="Baja",'Riesgos de Gestión'!$AH$27="Menor"),CONCATENATE("R3C",'Riesgos de Gestión'!$V$27),"")</f>
        <v/>
      </c>
      <c r="S38" s="51" t="str">
        <f>IF(AND('Riesgos de Gestión'!$AF$28="Baja",'Riesgos de Gestión'!$AH$28="Menor"),CONCATENATE("R3C",'Riesgos de Gestión'!$V$28),"")</f>
        <v/>
      </c>
      <c r="T38" s="51" t="str">
        <f>IF(AND('Riesgos de Gestión'!$AF$29="Baja",'Riesgos de Gestión'!$AH$29="Menor"),CONCATENATE("R3C",'Riesgos de Gestión'!$V$29),"")</f>
        <v/>
      </c>
      <c r="U38" s="52" t="str">
        <f>IF(AND('Riesgos de Gestión'!$AF$30="Baja",'Riesgos de Gestión'!$AH$30="Menor"),CONCATENATE("R3C",'Riesgos de Gestión'!$V$30),"")</f>
        <v/>
      </c>
      <c r="V38" s="50" t="str">
        <f>IF(AND('Riesgos de Gestión'!$AF$25="Baja",'Riesgos de Gestión'!$AH$25="Moderado"),CONCATENATE("R3C",'Riesgos de Gestión'!$V$25),"")</f>
        <v>R3C1</v>
      </c>
      <c r="W38" s="51" t="str">
        <f>IF(AND('Riesgos de Gestión'!$AF$26="Baja",'Riesgos de Gestión'!$AH$26="Moderado"),CONCATENATE("R3C",'Riesgos de Gestión'!$V$26),"")</f>
        <v/>
      </c>
      <c r="X38" s="51" t="str">
        <f>IF(AND('Riesgos de Gestión'!$AF$27="Baja",'Riesgos de Gestión'!$AH$27="Moderado"),CONCATENATE("R3C",'Riesgos de Gestión'!$V$27),"")</f>
        <v/>
      </c>
      <c r="Y38" s="51" t="str">
        <f>IF(AND('Riesgos de Gestión'!$AF$28="Baja",'Riesgos de Gestión'!$AH$28="Moderado"),CONCATENATE("R3C",'Riesgos de Gestión'!$V$28),"")</f>
        <v/>
      </c>
      <c r="Z38" s="51" t="str">
        <f>IF(AND('Riesgos de Gestión'!$AF$29="Baja",'Riesgos de Gestión'!$AH$29="Moderado"),CONCATENATE("R3C",'Riesgos de Gestión'!$V$29),"")</f>
        <v/>
      </c>
      <c r="AA38" s="52" t="str">
        <f>IF(AND('Riesgos de Gestión'!$AF$30="Baja",'Riesgos de Gestión'!$AH$30="Moderado"),CONCATENATE("R3C",'Riesgos de Gestión'!$V$30),"")</f>
        <v/>
      </c>
      <c r="AB38" s="35" t="str">
        <f>IF(AND('Riesgos de Gestión'!$AF$25="Baja",'Riesgos de Gestión'!$AH$25="Mayor"),CONCATENATE("R3C",'Riesgos de Gestión'!$V$25),"")</f>
        <v/>
      </c>
      <c r="AC38" s="36" t="str">
        <f>IF(AND('Riesgos de Gestión'!$AF$26="Baja",'Riesgos de Gestión'!$AH$26="Mayor"),CONCATENATE("R3C",'Riesgos de Gestión'!$V$26),"")</f>
        <v/>
      </c>
      <c r="AD38" s="36" t="str">
        <f>IF(AND('Riesgos de Gestión'!$AF$27="Baja",'Riesgos de Gestión'!$AH$27="Mayor"),CONCATENATE("R3C",'Riesgos de Gestión'!$V$27),"")</f>
        <v/>
      </c>
      <c r="AE38" s="36" t="str">
        <f>IF(AND('Riesgos de Gestión'!$AF$28="Baja",'Riesgos de Gestión'!$AH$28="Mayor"),CONCATENATE("R3C",'Riesgos de Gestión'!$V$28),"")</f>
        <v/>
      </c>
      <c r="AF38" s="36" t="str">
        <f>IF(AND('Riesgos de Gestión'!$AF$29="Baja",'Riesgos de Gestión'!$AH$29="Mayor"),CONCATENATE("R3C",'Riesgos de Gestión'!$V$29),"")</f>
        <v/>
      </c>
      <c r="AG38" s="37" t="str">
        <f>IF(AND('Riesgos de Gestión'!$AF$30="Baja",'Riesgos de Gestión'!$AH$30="Mayor"),CONCATENATE("R3C",'Riesgos de Gestión'!$V$30),"")</f>
        <v/>
      </c>
      <c r="AH38" s="38" t="str">
        <f>IF(AND('Riesgos de Gestión'!$AF$25="Baja",'Riesgos de Gestión'!$AH$25="Catastrófico"),CONCATENATE("R3C",'Riesgos de Gestión'!$V$25),"")</f>
        <v/>
      </c>
      <c r="AI38" s="39" t="str">
        <f>IF(AND('Riesgos de Gestión'!$AF$26="Baja",'Riesgos de Gestión'!$AH$26="Catastrófico"),CONCATENATE("R3C",'Riesgos de Gestión'!$V$26),"")</f>
        <v/>
      </c>
      <c r="AJ38" s="39" t="str">
        <f>IF(AND('Riesgos de Gestión'!$AF$27="Baja",'Riesgos de Gestión'!$AH$27="Catastrófico"),CONCATENATE("R3C",'Riesgos de Gestión'!$V$27),"")</f>
        <v/>
      </c>
      <c r="AK38" s="39" t="str">
        <f>IF(AND('Riesgos de Gestión'!$AF$28="Baja",'Riesgos de Gestión'!$AH$28="Catastrófico"),CONCATENATE("R3C",'Riesgos de Gestión'!$V$28),"")</f>
        <v/>
      </c>
      <c r="AL38" s="39" t="str">
        <f>IF(AND('Riesgos de Gestión'!$AF$29="Baja",'Riesgos de Gestión'!$AH$29="Catastrófico"),CONCATENATE("R3C",'Riesgos de Gestión'!$V$29),"")</f>
        <v/>
      </c>
      <c r="AM38" s="40" t="str">
        <f>IF(AND('Riesgos de Gestión'!$AF$30="Baja",'Riesgos de Gestión'!$AH$30="Catastrófico"),CONCATENATE("R3C",'Riesgos de Gestión'!$V$30),"")</f>
        <v/>
      </c>
      <c r="AN38" s="66"/>
      <c r="AO38" s="508"/>
      <c r="AP38" s="509"/>
      <c r="AQ38" s="509"/>
      <c r="AR38" s="509"/>
      <c r="AS38" s="509"/>
      <c r="AT38" s="510"/>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436"/>
      <c r="C39" s="436"/>
      <c r="D39" s="437"/>
      <c r="E39" s="477"/>
      <c r="F39" s="478"/>
      <c r="G39" s="478"/>
      <c r="H39" s="478"/>
      <c r="I39" s="478"/>
      <c r="J39" s="59" t="str">
        <f>IF(AND('Riesgos de Gestión'!$AF$31="Baja",'Riesgos de Gestión'!$AH$31="Leve"),CONCATENATE("R4C",'Riesgos de Gestión'!$V$31),"")</f>
        <v/>
      </c>
      <c r="K39" s="60" t="str">
        <f>IF(AND('Riesgos de Gestión'!$AF$32="Baja",'Riesgos de Gestión'!$AH$32="Leve"),CONCATENATE("R4C",'Riesgos de Gestión'!$V$32),"")</f>
        <v/>
      </c>
      <c r="L39" s="60" t="str">
        <f>IF(AND('Riesgos de Gestión'!$AF$33="Baja",'Riesgos de Gestión'!$AH$33="Leve"),CONCATENATE("R4C",'Riesgos de Gestión'!$V$33),"")</f>
        <v/>
      </c>
      <c r="M39" s="60" t="str">
        <f>IF(AND('Riesgos de Gestión'!$AF$34="Baja",'Riesgos de Gestión'!$AH$34="Leve"),CONCATENATE("R4C",'Riesgos de Gestión'!$V$34),"")</f>
        <v/>
      </c>
      <c r="N39" s="60" t="str">
        <f>IF(AND('Riesgos de Gestión'!$AF$35="Baja",'Riesgos de Gestión'!$AH$35="Leve"),CONCATENATE("R4C",'Riesgos de Gestión'!$V$35),"")</f>
        <v/>
      </c>
      <c r="O39" s="61" t="str">
        <f>IF(AND('Riesgos de Gestión'!$AF$36="Baja",'Riesgos de Gestión'!$AH$36="Leve"),CONCATENATE("R4C",'Riesgos de Gestión'!$V$36),"")</f>
        <v/>
      </c>
      <c r="P39" s="50" t="str">
        <f>IF(AND('Riesgos de Gestión'!$AF$31="Baja",'Riesgos de Gestión'!$AH$31="Menor"),CONCATENATE("R4C",'Riesgos de Gestión'!$V$31),"")</f>
        <v/>
      </c>
      <c r="Q39" s="51" t="str">
        <f>IF(AND('Riesgos de Gestión'!$AF$32="Baja",'Riesgos de Gestión'!$AH$32="Menor"),CONCATENATE("R4C",'Riesgos de Gestión'!$V$32),"")</f>
        <v/>
      </c>
      <c r="R39" s="51" t="str">
        <f>IF(AND('Riesgos de Gestión'!$AF$33="Baja",'Riesgos de Gestión'!$AH$33="Menor"),CONCATENATE("R4C",'Riesgos de Gestión'!$V$33),"")</f>
        <v/>
      </c>
      <c r="S39" s="51" t="str">
        <f>IF(AND('Riesgos de Gestión'!$AF$34="Baja",'Riesgos de Gestión'!$AH$34="Menor"),CONCATENATE("R4C",'Riesgos de Gestión'!$V$34),"")</f>
        <v/>
      </c>
      <c r="T39" s="51" t="str">
        <f>IF(AND('Riesgos de Gestión'!$AF$35="Baja",'Riesgos de Gestión'!$AH$35="Menor"),CONCATENATE("R4C",'Riesgos de Gestión'!$V$35),"")</f>
        <v/>
      </c>
      <c r="U39" s="52" t="str">
        <f>IF(AND('Riesgos de Gestión'!$AF$36="Baja",'Riesgos de Gestión'!$AH$36="Menor"),CONCATENATE("R4C",'Riesgos de Gestión'!$V$36),"")</f>
        <v/>
      </c>
      <c r="V39" s="50" t="str">
        <f>IF(AND('Riesgos de Gestión'!$AF$31="Baja",'Riesgos de Gestión'!$AH$31="Moderado"),CONCATENATE("R4C",'Riesgos de Gestión'!$V$31),"")</f>
        <v/>
      </c>
      <c r="W39" s="51" t="str">
        <f>IF(AND('Riesgos de Gestión'!$AF$32="Baja",'Riesgos de Gestión'!$AH$32="Moderado"),CONCATENATE("R4C",'Riesgos de Gestión'!$V$32),"")</f>
        <v/>
      </c>
      <c r="X39" s="51" t="str">
        <f>IF(AND('Riesgos de Gestión'!$AF$33="Baja",'Riesgos de Gestión'!$AH$33="Moderado"),CONCATENATE("R4C",'Riesgos de Gestión'!$V$33),"")</f>
        <v/>
      </c>
      <c r="Y39" s="51" t="str">
        <f>IF(AND('Riesgos de Gestión'!$AF$34="Baja",'Riesgos de Gestión'!$AH$34="Moderado"),CONCATENATE("R4C",'Riesgos de Gestión'!$V$34),"")</f>
        <v/>
      </c>
      <c r="Z39" s="51" t="str">
        <f>IF(AND('Riesgos de Gestión'!$AF$35="Baja",'Riesgos de Gestión'!$AH$35="Moderado"),CONCATENATE("R4C",'Riesgos de Gestión'!$V$35),"")</f>
        <v/>
      </c>
      <c r="AA39" s="52" t="str">
        <f>IF(AND('Riesgos de Gestión'!$AF$36="Baja",'Riesgos de Gestión'!$AH$36="Moderado"),CONCATENATE("R4C",'Riesgos de Gestión'!$V$36),"")</f>
        <v/>
      </c>
      <c r="AB39" s="35" t="str">
        <f>IF(AND('Riesgos de Gestión'!$AF$31="Baja",'Riesgos de Gestión'!$AH$31="Mayor"),CONCATENATE("R4C",'Riesgos de Gestión'!$V$31),"")</f>
        <v/>
      </c>
      <c r="AC39" s="36" t="str">
        <f>IF(AND('Riesgos de Gestión'!$AF$32="Baja",'Riesgos de Gestión'!$AH$32="Mayor"),CONCATENATE("R4C",'Riesgos de Gestión'!$V$32),"")</f>
        <v/>
      </c>
      <c r="AD39" s="36" t="str">
        <f>IF(AND('Riesgos de Gestión'!$AF$33="Baja",'Riesgos de Gestión'!$AH$33="Mayor"),CONCATENATE("R4C",'Riesgos de Gestión'!$V$33),"")</f>
        <v/>
      </c>
      <c r="AE39" s="36" t="str">
        <f>IF(AND('Riesgos de Gestión'!$AF$34="Baja",'Riesgos de Gestión'!$AH$34="Mayor"),CONCATENATE("R4C",'Riesgos de Gestión'!$V$34),"")</f>
        <v/>
      </c>
      <c r="AF39" s="36" t="str">
        <f>IF(AND('Riesgos de Gestión'!$AF$35="Baja",'Riesgos de Gestión'!$AH$35="Mayor"),CONCATENATE("R4C",'Riesgos de Gestión'!$V$35),"")</f>
        <v/>
      </c>
      <c r="AG39" s="37" t="str">
        <f>IF(AND('Riesgos de Gestión'!$AF$36="Baja",'Riesgos de Gestión'!$AH$36="Mayor"),CONCATENATE("R4C",'Riesgos de Gestión'!$V$36),"")</f>
        <v/>
      </c>
      <c r="AH39" s="38" t="str">
        <f>IF(AND('Riesgos de Gestión'!$AF$31="Baja",'Riesgos de Gestión'!$AH$31="Catastrófico"),CONCATENATE("R4C",'Riesgos de Gestión'!$V$31),"")</f>
        <v/>
      </c>
      <c r="AI39" s="39" t="str">
        <f>IF(AND('Riesgos de Gestión'!$AF$32="Baja",'Riesgos de Gestión'!$AH$32="Catastrófico"),CONCATENATE("R4C",'Riesgos de Gestión'!$V$32),"")</f>
        <v/>
      </c>
      <c r="AJ39" s="39" t="str">
        <f>IF(AND('Riesgos de Gestión'!$AF$33="Baja",'Riesgos de Gestión'!$AH$33="Catastrófico"),CONCATENATE("R4C",'Riesgos de Gestión'!$V$33),"")</f>
        <v/>
      </c>
      <c r="AK39" s="39" t="str">
        <f>IF(AND('Riesgos de Gestión'!$AF$34="Baja",'Riesgos de Gestión'!$AH$34="Catastrófico"),CONCATENATE("R4C",'Riesgos de Gestión'!$V$34),"")</f>
        <v/>
      </c>
      <c r="AL39" s="39" t="str">
        <f>IF(AND('Riesgos de Gestión'!$AF$35="Baja",'Riesgos de Gestión'!$AH$35="Catastrófico"),CONCATENATE("R4C",'Riesgos de Gestión'!$V$35),"")</f>
        <v/>
      </c>
      <c r="AM39" s="40" t="str">
        <f>IF(AND('Riesgos de Gestión'!$AF$36="Baja",'Riesgos de Gestión'!$AH$36="Catastrófico"),CONCATENATE("R4C",'Riesgos de Gestión'!$V$36),"")</f>
        <v/>
      </c>
      <c r="AN39" s="66"/>
      <c r="AO39" s="508"/>
      <c r="AP39" s="509"/>
      <c r="AQ39" s="509"/>
      <c r="AR39" s="509"/>
      <c r="AS39" s="509"/>
      <c r="AT39" s="510"/>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436"/>
      <c r="C40" s="436"/>
      <c r="D40" s="437"/>
      <c r="E40" s="477"/>
      <c r="F40" s="478"/>
      <c r="G40" s="478"/>
      <c r="H40" s="478"/>
      <c r="I40" s="478"/>
      <c r="J40" s="59" t="str">
        <f>IF(AND('Riesgos de Gestión'!$AF$37="Baja",'Riesgos de Gestión'!$AH$37="Leve"),CONCATENATE("R5C",'Riesgos de Gestión'!$V$37),"")</f>
        <v/>
      </c>
      <c r="K40" s="60" t="str">
        <f>IF(AND('Riesgos de Gestión'!$AF$38="Baja",'Riesgos de Gestión'!$AH$38="Leve"),CONCATENATE("R5C",'Riesgos de Gestión'!$V$38),"")</f>
        <v/>
      </c>
      <c r="L40" s="60" t="str">
        <f>IF(AND('Riesgos de Gestión'!$AF$39="Baja",'Riesgos de Gestión'!$AH$39="Leve"),CONCATENATE("R5C",'Riesgos de Gestión'!$V$39),"")</f>
        <v/>
      </c>
      <c r="M40" s="60" t="str">
        <f>IF(AND('Riesgos de Gestión'!$AF$40="Baja",'Riesgos de Gestión'!$AH$40="Leve"),CONCATENATE("R5C",'Riesgos de Gestión'!$V$40),"")</f>
        <v/>
      </c>
      <c r="N40" s="60" t="str">
        <f>IF(AND('Riesgos de Gestión'!$AF$41="Baja",'Riesgos de Gestión'!$AH$41="Leve"),CONCATENATE("R5C",'Riesgos de Gestión'!$V$41),"")</f>
        <v/>
      </c>
      <c r="O40" s="61" t="str">
        <f>IF(AND('Riesgos de Gestión'!$AF$42="Baja",'Riesgos de Gestión'!$AH$42="Leve"),CONCATENATE("R5C",'Riesgos de Gestión'!$V$42),"")</f>
        <v/>
      </c>
      <c r="P40" s="50" t="str">
        <f>IF(AND('Riesgos de Gestión'!$AF$37="Baja",'Riesgos de Gestión'!$AH$37="Menor"),CONCATENATE("R5C",'Riesgos de Gestión'!$V$37),"")</f>
        <v/>
      </c>
      <c r="Q40" s="51" t="str">
        <f>IF(AND('Riesgos de Gestión'!$AF$38="Baja",'Riesgos de Gestión'!$AH$38="Menor"),CONCATENATE("R5C",'Riesgos de Gestión'!$V$38),"")</f>
        <v/>
      </c>
      <c r="R40" s="51" t="str">
        <f>IF(AND('Riesgos de Gestión'!$AF$39="Baja",'Riesgos de Gestión'!$AH$39="Menor"),CONCATENATE("R5C",'Riesgos de Gestión'!$V$39),"")</f>
        <v/>
      </c>
      <c r="S40" s="51" t="str">
        <f>IF(AND('Riesgos de Gestión'!$AF$40="Baja",'Riesgos de Gestión'!$AH$40="Menor"),CONCATENATE("R5C",'Riesgos de Gestión'!$V$40),"")</f>
        <v/>
      </c>
      <c r="T40" s="51" t="str">
        <f>IF(AND('Riesgos de Gestión'!$AF$41="Baja",'Riesgos de Gestión'!$AH$41="Menor"),CONCATENATE("R5C",'Riesgos de Gestión'!$V$41),"")</f>
        <v/>
      </c>
      <c r="U40" s="52" t="str">
        <f>IF(AND('Riesgos de Gestión'!$AF$42="Baja",'Riesgos de Gestión'!$AH$42="Menor"),CONCATENATE("R5C",'Riesgos de Gestión'!$V$42),"")</f>
        <v/>
      </c>
      <c r="V40" s="50" t="str">
        <f>IF(AND('Riesgos de Gestión'!$AF$37="Baja",'Riesgos de Gestión'!$AH$37="Moderado"),CONCATENATE("R5C",'Riesgos de Gestión'!$V$37),"")</f>
        <v/>
      </c>
      <c r="W40" s="51" t="str">
        <f>IF(AND('Riesgos de Gestión'!$AF$38="Baja",'Riesgos de Gestión'!$AH$38="Moderado"),CONCATENATE("R5C",'Riesgos de Gestión'!$V$38),"")</f>
        <v/>
      </c>
      <c r="X40" s="51" t="str">
        <f>IF(AND('Riesgos de Gestión'!$AF$39="Baja",'Riesgos de Gestión'!$AH$39="Moderado"),CONCATENATE("R5C",'Riesgos de Gestión'!$V$39),"")</f>
        <v/>
      </c>
      <c r="Y40" s="51" t="str">
        <f>IF(AND('Riesgos de Gestión'!$AF$40="Baja",'Riesgos de Gestión'!$AH$40="Moderado"),CONCATENATE("R5C",'Riesgos de Gestión'!$V$40),"")</f>
        <v/>
      </c>
      <c r="Z40" s="51" t="str">
        <f>IF(AND('Riesgos de Gestión'!$AF$41="Baja",'Riesgos de Gestión'!$AH$41="Moderado"),CONCATENATE("R5C",'Riesgos de Gestión'!$V$41),"")</f>
        <v/>
      </c>
      <c r="AA40" s="52" t="str">
        <f>IF(AND('Riesgos de Gestión'!$AF$42="Baja",'Riesgos de Gestión'!$AH$42="Moderado"),CONCATENATE("R5C",'Riesgos de Gestión'!$V$42),"")</f>
        <v/>
      </c>
      <c r="AB40" s="35" t="str">
        <f>IF(AND('Riesgos de Gestión'!$AF$37="Baja",'Riesgos de Gestión'!$AH$37="Mayor"),CONCATENATE("R5C",'Riesgos de Gestión'!$V$37),"")</f>
        <v/>
      </c>
      <c r="AC40" s="36" t="str">
        <f>IF(AND('Riesgos de Gestión'!$AF$38="Baja",'Riesgos de Gestión'!$AH$38="Mayor"),CONCATENATE("R5C",'Riesgos de Gestión'!$V$38),"")</f>
        <v/>
      </c>
      <c r="AD40" s="36" t="str">
        <f>IF(AND('Riesgos de Gestión'!$AF$39="Baja",'Riesgos de Gestión'!$AH$39="Mayor"),CONCATENATE("R5C",'Riesgos de Gestión'!$V$39),"")</f>
        <v/>
      </c>
      <c r="AE40" s="36" t="str">
        <f>IF(AND('Riesgos de Gestión'!$AF$40="Baja",'Riesgos de Gestión'!$AH$40="Mayor"),CONCATENATE("R5C",'Riesgos de Gestión'!$V$40),"")</f>
        <v/>
      </c>
      <c r="AF40" s="36" t="str">
        <f>IF(AND('Riesgos de Gestión'!$AF$41="Baja",'Riesgos de Gestión'!$AH$41="Mayor"),CONCATENATE("R5C",'Riesgos de Gestión'!$V$41),"")</f>
        <v/>
      </c>
      <c r="AG40" s="37" t="str">
        <f>IF(AND('Riesgos de Gestión'!$AF$42="Baja",'Riesgos de Gestión'!$AH$42="Mayor"),CONCATENATE("R5C",'Riesgos de Gestión'!$V$42),"")</f>
        <v/>
      </c>
      <c r="AH40" s="38" t="str">
        <f>IF(AND('Riesgos de Gestión'!$AF$37="Baja",'Riesgos de Gestión'!$AH$37="Catastrófico"),CONCATENATE("R5C",'Riesgos de Gestión'!$V$37),"")</f>
        <v/>
      </c>
      <c r="AI40" s="39" t="str">
        <f>IF(AND('Riesgos de Gestión'!$AF$38="Baja",'Riesgos de Gestión'!$AH$38="Catastrófico"),CONCATENATE("R5C",'Riesgos de Gestión'!$V$38),"")</f>
        <v/>
      </c>
      <c r="AJ40" s="39" t="str">
        <f>IF(AND('Riesgos de Gestión'!$AF$39="Baja",'Riesgos de Gestión'!$AH$39="Catastrófico"),CONCATENATE("R5C",'Riesgos de Gestión'!$V$39),"")</f>
        <v/>
      </c>
      <c r="AK40" s="39" t="str">
        <f>IF(AND('Riesgos de Gestión'!$AF$40="Baja",'Riesgos de Gestión'!$AH$40="Catastrófico"),CONCATENATE("R5C",'Riesgos de Gestión'!$V$40),"")</f>
        <v/>
      </c>
      <c r="AL40" s="39" t="str">
        <f>IF(AND('Riesgos de Gestión'!$AF$41="Baja",'Riesgos de Gestión'!$AH$41="Catastrófico"),CONCATENATE("R5C",'Riesgos de Gestión'!$V$41),"")</f>
        <v/>
      </c>
      <c r="AM40" s="40" t="str">
        <f>IF(AND('Riesgos de Gestión'!$AF$42="Baja",'Riesgos de Gestión'!$AH$42="Catastrófico"),CONCATENATE("R5C",'Riesgos de Gestión'!$V$42),"")</f>
        <v/>
      </c>
      <c r="AN40" s="66"/>
      <c r="AO40" s="508"/>
      <c r="AP40" s="509"/>
      <c r="AQ40" s="509"/>
      <c r="AR40" s="509"/>
      <c r="AS40" s="509"/>
      <c r="AT40" s="510"/>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436"/>
      <c r="C41" s="436"/>
      <c r="D41" s="437"/>
      <c r="E41" s="477"/>
      <c r="F41" s="478"/>
      <c r="G41" s="478"/>
      <c r="H41" s="478"/>
      <c r="I41" s="478"/>
      <c r="J41" s="59" t="str">
        <f>IF(AND('Riesgos de Gestión'!$AF$43="Baja",'Riesgos de Gestión'!$AH$43="Leve"),CONCATENATE("R6C",'Riesgos de Gestión'!$V$43),"")</f>
        <v/>
      </c>
      <c r="K41" s="60" t="str">
        <f>IF(AND('Riesgos de Gestión'!$AF$44="Baja",'Riesgos de Gestión'!$AH$44="Leve"),CONCATENATE("R6C",'Riesgos de Gestión'!$V$44),"")</f>
        <v/>
      </c>
      <c r="L41" s="60" t="str">
        <f>IF(AND('Riesgos de Gestión'!$AF$45="Baja",'Riesgos de Gestión'!$AH$45="Leve"),CONCATENATE("R6C",'Riesgos de Gestión'!$V$45),"")</f>
        <v/>
      </c>
      <c r="M41" s="60" t="str">
        <f>IF(AND('Riesgos de Gestión'!$AF$46="Baja",'Riesgos de Gestión'!$AH$46="Leve"),CONCATENATE("R6C",'Riesgos de Gestión'!$V$46),"")</f>
        <v/>
      </c>
      <c r="N41" s="60" t="str">
        <f>IF(AND('Riesgos de Gestión'!$AF$47="Baja",'Riesgos de Gestión'!$AH$47="Leve"),CONCATENATE("R6C",'Riesgos de Gestión'!$V$47),"")</f>
        <v/>
      </c>
      <c r="O41" s="61" t="str">
        <f>IF(AND('Riesgos de Gestión'!$AF$48="Baja",'Riesgos de Gestión'!$AH$48="Leve"),CONCATENATE("R6C",'Riesgos de Gestión'!$V$48),"")</f>
        <v/>
      </c>
      <c r="P41" s="50" t="str">
        <f>IF(AND('Riesgos de Gestión'!$AF$43="Baja",'Riesgos de Gestión'!$AH$43="Menor"),CONCATENATE("R6C",'Riesgos de Gestión'!$V$43),"")</f>
        <v/>
      </c>
      <c r="Q41" s="51" t="str">
        <f>IF(AND('Riesgos de Gestión'!$AF$44="Baja",'Riesgos de Gestión'!$AH$44="Menor"),CONCATENATE("R6C",'Riesgos de Gestión'!$V$44),"")</f>
        <v/>
      </c>
      <c r="R41" s="51" t="str">
        <f>IF(AND('Riesgos de Gestión'!$AF$45="Baja",'Riesgos de Gestión'!$AH$45="Menor"),CONCATENATE("R6C",'Riesgos de Gestión'!$V$45),"")</f>
        <v/>
      </c>
      <c r="S41" s="51" t="str">
        <f>IF(AND('Riesgos de Gestión'!$AF$46="Baja",'Riesgos de Gestión'!$AH$46="Menor"),CONCATENATE("R6C",'Riesgos de Gestión'!$V$46),"")</f>
        <v/>
      </c>
      <c r="T41" s="51" t="str">
        <f>IF(AND('Riesgos de Gestión'!$AF$47="Baja",'Riesgos de Gestión'!$AH$47="Menor"),CONCATENATE("R6C",'Riesgos de Gestión'!$V$47),"")</f>
        <v/>
      </c>
      <c r="U41" s="52" t="str">
        <f>IF(AND('Riesgos de Gestión'!$AF$48="Baja",'Riesgos de Gestión'!$AH$48="Menor"),CONCATENATE("R6C",'Riesgos de Gestión'!$V$48),"")</f>
        <v/>
      </c>
      <c r="V41" s="50" t="str">
        <f>IF(AND('Riesgos de Gestión'!$AF$43="Baja",'Riesgos de Gestión'!$AH$43="Moderado"),CONCATENATE("R6C",'Riesgos de Gestión'!$V$43),"")</f>
        <v/>
      </c>
      <c r="W41" s="51" t="str">
        <f>IF(AND('Riesgos de Gestión'!$AF$44="Baja",'Riesgos de Gestión'!$AH$44="Moderado"),CONCATENATE("R6C",'Riesgos de Gestión'!$V$44),"")</f>
        <v/>
      </c>
      <c r="X41" s="51" t="str">
        <f>IF(AND('Riesgos de Gestión'!$AF$45="Baja",'Riesgos de Gestión'!$AH$45="Moderado"),CONCATENATE("R6C",'Riesgos de Gestión'!$V$45),"")</f>
        <v/>
      </c>
      <c r="Y41" s="51" t="str">
        <f>IF(AND('Riesgos de Gestión'!$AF$46="Baja",'Riesgos de Gestión'!$AH$46="Moderado"),CONCATENATE("R6C",'Riesgos de Gestión'!$V$46),"")</f>
        <v/>
      </c>
      <c r="Z41" s="51" t="str">
        <f>IF(AND('Riesgos de Gestión'!$AF$47="Baja",'Riesgos de Gestión'!$AH$47="Moderado"),CONCATENATE("R6C",'Riesgos de Gestión'!$V$47),"")</f>
        <v/>
      </c>
      <c r="AA41" s="52" t="str">
        <f>IF(AND('Riesgos de Gestión'!$AF$48="Baja",'Riesgos de Gestión'!$AH$48="Moderado"),CONCATENATE("R6C",'Riesgos de Gestión'!$V$48),"")</f>
        <v/>
      </c>
      <c r="AB41" s="35" t="str">
        <f>IF(AND('Riesgos de Gestión'!$AF$43="Baja",'Riesgos de Gestión'!$AH$43="Mayor"),CONCATENATE("R6C",'Riesgos de Gestión'!$V$43),"")</f>
        <v/>
      </c>
      <c r="AC41" s="36" t="str">
        <f>IF(AND('Riesgos de Gestión'!$AF$44="Baja",'Riesgos de Gestión'!$AH$44="Mayor"),CONCATENATE("R6C",'Riesgos de Gestión'!$V$44),"")</f>
        <v/>
      </c>
      <c r="AD41" s="36" t="str">
        <f>IF(AND('Riesgos de Gestión'!$AF$45="Baja",'Riesgos de Gestión'!$AH$45="Mayor"),CONCATENATE("R6C",'Riesgos de Gestión'!$V$45),"")</f>
        <v/>
      </c>
      <c r="AE41" s="36" t="str">
        <f>IF(AND('Riesgos de Gestión'!$AF$46="Baja",'Riesgos de Gestión'!$AH$46="Mayor"),CONCATENATE("R6C",'Riesgos de Gestión'!$V$46),"")</f>
        <v/>
      </c>
      <c r="AF41" s="36" t="str">
        <f>IF(AND('Riesgos de Gestión'!$AF$47="Baja",'Riesgos de Gestión'!$AH$47="Mayor"),CONCATENATE("R6C",'Riesgos de Gestión'!$V$47),"")</f>
        <v/>
      </c>
      <c r="AG41" s="37" t="str">
        <f>IF(AND('Riesgos de Gestión'!$AF$48="Baja",'Riesgos de Gestión'!$AH$48="Mayor"),CONCATENATE("R6C",'Riesgos de Gestión'!$V$48),"")</f>
        <v/>
      </c>
      <c r="AH41" s="38" t="str">
        <f>IF(AND('Riesgos de Gestión'!$AF$43="Baja",'Riesgos de Gestión'!$AH$43="Catastrófico"),CONCATENATE("R6C",'Riesgos de Gestión'!$V$43),"")</f>
        <v/>
      </c>
      <c r="AI41" s="39" t="str">
        <f>IF(AND('Riesgos de Gestión'!$AF$44="Baja",'Riesgos de Gestión'!$AH$44="Catastrófico"),CONCATENATE("R6C",'Riesgos de Gestión'!$V$44),"")</f>
        <v/>
      </c>
      <c r="AJ41" s="39" t="str">
        <f>IF(AND('Riesgos de Gestión'!$AF$45="Baja",'Riesgos de Gestión'!$AH$45="Catastrófico"),CONCATENATE("R6C",'Riesgos de Gestión'!$V$45),"")</f>
        <v/>
      </c>
      <c r="AK41" s="39" t="str">
        <f>IF(AND('Riesgos de Gestión'!$AF$46="Baja",'Riesgos de Gestión'!$AH$46="Catastrófico"),CONCATENATE("R6C",'Riesgos de Gestión'!$V$46),"")</f>
        <v/>
      </c>
      <c r="AL41" s="39" t="str">
        <f>IF(AND('Riesgos de Gestión'!$AF$47="Baja",'Riesgos de Gestión'!$AH$47="Catastrófico"),CONCATENATE("R6C",'Riesgos de Gestión'!$V$47),"")</f>
        <v/>
      </c>
      <c r="AM41" s="40" t="str">
        <f>IF(AND('Riesgos de Gestión'!$AF$48="Baja",'Riesgos de Gestión'!$AH$48="Catastrófico"),CONCATENATE("R6C",'Riesgos de Gestión'!$V$48),"")</f>
        <v/>
      </c>
      <c r="AN41" s="66"/>
      <c r="AO41" s="508"/>
      <c r="AP41" s="509"/>
      <c r="AQ41" s="509"/>
      <c r="AR41" s="509"/>
      <c r="AS41" s="509"/>
      <c r="AT41" s="510"/>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436"/>
      <c r="C42" s="436"/>
      <c r="D42" s="437"/>
      <c r="E42" s="477"/>
      <c r="F42" s="478"/>
      <c r="G42" s="478"/>
      <c r="H42" s="478"/>
      <c r="I42" s="478"/>
      <c r="J42" s="59" t="str">
        <f>IF(AND('Riesgos de Gestión'!$AF$49="Baja",'Riesgos de Gestión'!$AH$49="Leve"),CONCATENATE("R7C",'Riesgos de Gestión'!$V$49),"")</f>
        <v/>
      </c>
      <c r="K42" s="60" t="str">
        <f>IF(AND('Riesgos de Gestión'!$AF$50="Baja",'Riesgos de Gestión'!$AH$50="Leve"),CONCATENATE("R7C",'Riesgos de Gestión'!$V$50),"")</f>
        <v/>
      </c>
      <c r="L42" s="60" t="str">
        <f>IF(AND('Riesgos de Gestión'!$AF$51="Baja",'Riesgos de Gestión'!$AH$51="Leve"),CONCATENATE("R7C",'Riesgos de Gestión'!$V$51),"")</f>
        <v/>
      </c>
      <c r="M42" s="60" t="str">
        <f>IF(AND('Riesgos de Gestión'!$AF$52="Baja",'Riesgos de Gestión'!$AH$52="Leve"),CONCATENATE("R7C",'Riesgos de Gestión'!$V$52),"")</f>
        <v/>
      </c>
      <c r="N42" s="60" t="str">
        <f>IF(AND('Riesgos de Gestión'!$AF$53="Baja",'Riesgos de Gestión'!$AH$53="Leve"),CONCATENATE("R7C",'Riesgos de Gestión'!$V$53),"")</f>
        <v/>
      </c>
      <c r="O42" s="61" t="str">
        <f>IF(AND('Riesgos de Gestión'!$AF$54="Baja",'Riesgos de Gestión'!$AH$54="Leve"),CONCATENATE("R7C",'Riesgos de Gestión'!$V$54),"")</f>
        <v/>
      </c>
      <c r="P42" s="50" t="str">
        <f>IF(AND('Riesgos de Gestión'!$AF$49="Baja",'Riesgos de Gestión'!$AH$49="Menor"),CONCATENATE("R7C",'Riesgos de Gestión'!$V$49),"")</f>
        <v/>
      </c>
      <c r="Q42" s="51" t="str">
        <f>IF(AND('Riesgos de Gestión'!$AF$50="Baja",'Riesgos de Gestión'!$AH$50="Menor"),CONCATENATE("R7C",'Riesgos de Gestión'!$V$50),"")</f>
        <v/>
      </c>
      <c r="R42" s="51" t="str">
        <f>IF(AND('Riesgos de Gestión'!$AF$51="Baja",'Riesgos de Gestión'!$AH$51="Menor"),CONCATENATE("R7C",'Riesgos de Gestión'!$V$51),"")</f>
        <v/>
      </c>
      <c r="S42" s="51" t="str">
        <f>IF(AND('Riesgos de Gestión'!$AF$52="Baja",'Riesgos de Gestión'!$AH$52="Menor"),CONCATENATE("R7C",'Riesgos de Gestión'!$V$52),"")</f>
        <v/>
      </c>
      <c r="T42" s="51" t="str">
        <f>IF(AND('Riesgos de Gestión'!$AF$53="Baja",'Riesgos de Gestión'!$AH$53="Menor"),CONCATENATE("R7C",'Riesgos de Gestión'!$V$53),"")</f>
        <v/>
      </c>
      <c r="U42" s="52" t="str">
        <f>IF(AND('Riesgos de Gestión'!$AF$54="Baja",'Riesgos de Gestión'!$AH$54="Menor"),CONCATENATE("R7C",'Riesgos de Gestión'!$V$54),"")</f>
        <v/>
      </c>
      <c r="V42" s="50" t="str">
        <f>IF(AND('Riesgos de Gestión'!$AF$49="Baja",'Riesgos de Gestión'!$AH$49="Moderado"),CONCATENATE("R7C",'Riesgos de Gestión'!$V$49),"")</f>
        <v/>
      </c>
      <c r="W42" s="51" t="str">
        <f>IF(AND('Riesgos de Gestión'!$AF$50="Baja",'Riesgos de Gestión'!$AH$50="Moderado"),CONCATENATE("R7C",'Riesgos de Gestión'!$V$50),"")</f>
        <v/>
      </c>
      <c r="X42" s="51" t="str">
        <f>IF(AND('Riesgos de Gestión'!$AF$51="Baja",'Riesgos de Gestión'!$AH$51="Moderado"),CONCATENATE("R7C",'Riesgos de Gestión'!$V$51),"")</f>
        <v/>
      </c>
      <c r="Y42" s="51" t="str">
        <f>IF(AND('Riesgos de Gestión'!$AF$52="Baja",'Riesgos de Gestión'!$AH$52="Moderado"),CONCATENATE("R7C",'Riesgos de Gestión'!$V$52),"")</f>
        <v/>
      </c>
      <c r="Z42" s="51" t="str">
        <f>IF(AND('Riesgos de Gestión'!$AF$53="Baja",'Riesgos de Gestión'!$AH$53="Moderado"),CONCATENATE("R7C",'Riesgos de Gestión'!$V$53),"")</f>
        <v/>
      </c>
      <c r="AA42" s="52" t="str">
        <f>IF(AND('Riesgos de Gestión'!$AF$54="Baja",'Riesgos de Gestión'!$AH$54="Moderado"),CONCATENATE("R7C",'Riesgos de Gestión'!$V$54),"")</f>
        <v/>
      </c>
      <c r="AB42" s="35" t="str">
        <f>IF(AND('Riesgos de Gestión'!$AF$49="Baja",'Riesgos de Gestión'!$AH$49="Mayor"),CONCATENATE("R7C",'Riesgos de Gestión'!$V$49),"")</f>
        <v/>
      </c>
      <c r="AC42" s="36" t="str">
        <f>IF(AND('Riesgos de Gestión'!$AF$50="Baja",'Riesgos de Gestión'!$AH$50="Mayor"),CONCATENATE("R7C",'Riesgos de Gestión'!$V$50),"")</f>
        <v/>
      </c>
      <c r="AD42" s="36" t="str">
        <f>IF(AND('Riesgos de Gestión'!$AF$51="Baja",'Riesgos de Gestión'!$AH$51="Mayor"),CONCATENATE("R7C",'Riesgos de Gestión'!$V$51),"")</f>
        <v/>
      </c>
      <c r="AE42" s="36" t="str">
        <f>IF(AND('Riesgos de Gestión'!$AF$52="Baja",'Riesgos de Gestión'!$AH$52="Mayor"),CONCATENATE("R7C",'Riesgos de Gestión'!$V$52),"")</f>
        <v/>
      </c>
      <c r="AF42" s="36" t="str">
        <f>IF(AND('Riesgos de Gestión'!$AF$53="Baja",'Riesgos de Gestión'!$AH$53="Mayor"),CONCATENATE("R7C",'Riesgos de Gestión'!$V$53),"")</f>
        <v/>
      </c>
      <c r="AG42" s="37" t="str">
        <f>IF(AND('Riesgos de Gestión'!$AF$54="Baja",'Riesgos de Gestión'!$AH$54="Mayor"),CONCATENATE("R7C",'Riesgos de Gestión'!$V$54),"")</f>
        <v/>
      </c>
      <c r="AH42" s="38" t="str">
        <f>IF(AND('Riesgos de Gestión'!$AF$49="Baja",'Riesgos de Gestión'!$AH$49="Catastrófico"),CONCATENATE("R7C",'Riesgos de Gestión'!$V$49),"")</f>
        <v/>
      </c>
      <c r="AI42" s="39" t="str">
        <f>IF(AND('Riesgos de Gestión'!$AF$50="Baja",'Riesgos de Gestión'!$AH$50="Catastrófico"),CONCATENATE("R7C",'Riesgos de Gestión'!$V$50),"")</f>
        <v/>
      </c>
      <c r="AJ42" s="39" t="str">
        <f>IF(AND('Riesgos de Gestión'!$AF$51="Baja",'Riesgos de Gestión'!$AH$51="Catastrófico"),CONCATENATE("R7C",'Riesgos de Gestión'!$V$51),"")</f>
        <v/>
      </c>
      <c r="AK42" s="39" t="str">
        <f>IF(AND('Riesgos de Gestión'!$AF$52="Baja",'Riesgos de Gestión'!$AH$52="Catastrófico"),CONCATENATE("R7C",'Riesgos de Gestión'!$V$52),"")</f>
        <v/>
      </c>
      <c r="AL42" s="39" t="str">
        <f>IF(AND('Riesgos de Gestión'!$AF$53="Baja",'Riesgos de Gestión'!$AH$53="Catastrófico"),CONCATENATE("R7C",'Riesgos de Gestión'!$V$53),"")</f>
        <v/>
      </c>
      <c r="AM42" s="40" t="str">
        <f>IF(AND('Riesgos de Gestión'!$AF$54="Baja",'Riesgos de Gestión'!$AH$54="Catastrófico"),CONCATENATE("R7C",'Riesgos de Gestión'!$V$54),"")</f>
        <v/>
      </c>
      <c r="AN42" s="66"/>
      <c r="AO42" s="508"/>
      <c r="AP42" s="509"/>
      <c r="AQ42" s="509"/>
      <c r="AR42" s="509"/>
      <c r="AS42" s="509"/>
      <c r="AT42" s="510"/>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436"/>
      <c r="C43" s="436"/>
      <c r="D43" s="437"/>
      <c r="E43" s="477"/>
      <c r="F43" s="478"/>
      <c r="G43" s="478"/>
      <c r="H43" s="478"/>
      <c r="I43" s="478"/>
      <c r="J43" s="59" t="str">
        <f>IF(AND('Riesgos de Gestión'!$AF$55="Baja",'Riesgos de Gestión'!$AH$55="Leve"),CONCATENATE("R8C",'Riesgos de Gestión'!$V$55),"")</f>
        <v/>
      </c>
      <c r="K43" s="60" t="str">
        <f>IF(AND('Riesgos de Gestión'!$AF$56="Baja",'Riesgos de Gestión'!$AH$56="Leve"),CONCATENATE("R8C",'Riesgos de Gestión'!$V$56),"")</f>
        <v/>
      </c>
      <c r="L43" s="60" t="str">
        <f>IF(AND('Riesgos de Gestión'!$AF$57="Baja",'Riesgos de Gestión'!$AH$57="Leve"),CONCATENATE("R8C",'Riesgos de Gestión'!$V$57),"")</f>
        <v/>
      </c>
      <c r="M43" s="60" t="str">
        <f>IF(AND('Riesgos de Gestión'!$AF$58="Baja",'Riesgos de Gestión'!$AH$58="Leve"),CONCATENATE("R8C",'Riesgos de Gestión'!$V$58),"")</f>
        <v/>
      </c>
      <c r="N43" s="60" t="str">
        <f>IF(AND('Riesgos de Gestión'!$AF$59="Baja",'Riesgos de Gestión'!$AH$59="Leve"),CONCATENATE("R8C",'Riesgos de Gestión'!$V$59),"")</f>
        <v/>
      </c>
      <c r="O43" s="61" t="str">
        <f>IF(AND('Riesgos de Gestión'!$AF$60="Baja",'Riesgos de Gestión'!$AH$60="Leve"),CONCATENATE("R8C",'Riesgos de Gestión'!$V$60),"")</f>
        <v/>
      </c>
      <c r="P43" s="50" t="str">
        <f>IF(AND('Riesgos de Gestión'!$AF$55="Baja",'Riesgos de Gestión'!$AH$55="Menor"),CONCATENATE("R8C",'Riesgos de Gestión'!$V$55),"")</f>
        <v/>
      </c>
      <c r="Q43" s="51" t="str">
        <f>IF(AND('Riesgos de Gestión'!$AF$56="Baja",'Riesgos de Gestión'!$AH$56="Menor"),CONCATENATE("R8C",'Riesgos de Gestión'!$V$56),"")</f>
        <v/>
      </c>
      <c r="R43" s="51" t="str">
        <f>IF(AND('Riesgos de Gestión'!$AF$57="Baja",'Riesgos de Gestión'!$AH$57="Menor"),CONCATENATE("R8C",'Riesgos de Gestión'!$V$57),"")</f>
        <v/>
      </c>
      <c r="S43" s="51" t="str">
        <f>IF(AND('Riesgos de Gestión'!$AF$58="Baja",'Riesgos de Gestión'!$AH$58="Menor"),CONCATENATE("R8C",'Riesgos de Gestión'!$V$58),"")</f>
        <v/>
      </c>
      <c r="T43" s="51" t="str">
        <f>IF(AND('Riesgos de Gestión'!$AF$59="Baja",'Riesgos de Gestión'!$AH$59="Menor"),CONCATENATE("R8C",'Riesgos de Gestión'!$V$59),"")</f>
        <v/>
      </c>
      <c r="U43" s="52" t="str">
        <f>IF(AND('Riesgos de Gestión'!$AF$60="Baja",'Riesgos de Gestión'!$AH$60="Menor"),CONCATENATE("R8C",'Riesgos de Gestión'!$V$60),"")</f>
        <v/>
      </c>
      <c r="V43" s="50" t="str">
        <f>IF(AND('Riesgos de Gestión'!$AF$55="Baja",'Riesgos de Gestión'!$AH$55="Moderado"),CONCATENATE("R8C",'Riesgos de Gestión'!$V$55),"")</f>
        <v/>
      </c>
      <c r="W43" s="51" t="str">
        <f>IF(AND('Riesgos de Gestión'!$AF$56="Baja",'Riesgos de Gestión'!$AH$56="Moderado"),CONCATENATE("R8C",'Riesgos de Gestión'!$V$56),"")</f>
        <v/>
      </c>
      <c r="X43" s="51" t="str">
        <f>IF(AND('Riesgos de Gestión'!$AF$57="Baja",'Riesgos de Gestión'!$AH$57="Moderado"),CONCATENATE("R8C",'Riesgos de Gestión'!$V$57),"")</f>
        <v/>
      </c>
      <c r="Y43" s="51" t="str">
        <f>IF(AND('Riesgos de Gestión'!$AF$58="Baja",'Riesgos de Gestión'!$AH$58="Moderado"),CONCATENATE("R8C",'Riesgos de Gestión'!$V$58),"")</f>
        <v/>
      </c>
      <c r="Z43" s="51" t="str">
        <f>IF(AND('Riesgos de Gestión'!$AF$59="Baja",'Riesgos de Gestión'!$AH$59="Moderado"),CONCATENATE("R8C",'Riesgos de Gestión'!$V$59),"")</f>
        <v/>
      </c>
      <c r="AA43" s="52" t="str">
        <f>IF(AND('Riesgos de Gestión'!$AF$60="Baja",'Riesgos de Gestión'!$AH$60="Moderado"),CONCATENATE("R8C",'Riesgos de Gestión'!$V$60),"")</f>
        <v/>
      </c>
      <c r="AB43" s="35" t="str">
        <f>IF(AND('Riesgos de Gestión'!$AF$55="Baja",'Riesgos de Gestión'!$AH$55="Mayor"),CONCATENATE("R8C",'Riesgos de Gestión'!$V$55),"")</f>
        <v/>
      </c>
      <c r="AC43" s="36" t="str">
        <f>IF(AND('Riesgos de Gestión'!$AF$56="Baja",'Riesgos de Gestión'!$AH$56="Mayor"),CONCATENATE("R8C",'Riesgos de Gestión'!$V$56),"")</f>
        <v/>
      </c>
      <c r="AD43" s="36" t="str">
        <f>IF(AND('Riesgos de Gestión'!$AF$57="Baja",'Riesgos de Gestión'!$AH$57="Mayor"),CONCATENATE("R8C",'Riesgos de Gestión'!$V$57),"")</f>
        <v/>
      </c>
      <c r="AE43" s="36" t="str">
        <f>IF(AND('Riesgos de Gestión'!$AF$58="Baja",'Riesgos de Gestión'!$AH$58="Mayor"),CONCATENATE("R8C",'Riesgos de Gestión'!$V$58),"")</f>
        <v/>
      </c>
      <c r="AF43" s="36" t="str">
        <f>IF(AND('Riesgos de Gestión'!$AF$59="Baja",'Riesgos de Gestión'!$AH$59="Mayor"),CONCATENATE("R8C",'Riesgos de Gestión'!$V$59),"")</f>
        <v/>
      </c>
      <c r="AG43" s="37" t="str">
        <f>IF(AND('Riesgos de Gestión'!$AF$60="Baja",'Riesgos de Gestión'!$AH$60="Mayor"),CONCATENATE("R8C",'Riesgos de Gestión'!$V$60),"")</f>
        <v/>
      </c>
      <c r="AH43" s="38" t="str">
        <f>IF(AND('Riesgos de Gestión'!$AF$55="Baja",'Riesgos de Gestión'!$AH$55="Catastrófico"),CONCATENATE("R8C",'Riesgos de Gestión'!$V$55),"")</f>
        <v/>
      </c>
      <c r="AI43" s="39" t="str">
        <f>IF(AND('Riesgos de Gestión'!$AF$56="Baja",'Riesgos de Gestión'!$AH$56="Catastrófico"),CONCATENATE("R8C",'Riesgos de Gestión'!$V$56),"")</f>
        <v/>
      </c>
      <c r="AJ43" s="39" t="str">
        <f>IF(AND('Riesgos de Gestión'!$AF$57="Baja",'Riesgos de Gestión'!$AH$57="Catastrófico"),CONCATENATE("R8C",'Riesgos de Gestión'!$V$57),"")</f>
        <v/>
      </c>
      <c r="AK43" s="39" t="str">
        <f>IF(AND('Riesgos de Gestión'!$AF$58="Baja",'Riesgos de Gestión'!$AH$58="Catastrófico"),CONCATENATE("R8C",'Riesgos de Gestión'!$V$58),"")</f>
        <v/>
      </c>
      <c r="AL43" s="39" t="str">
        <f>IF(AND('Riesgos de Gestión'!$AF$59="Baja",'Riesgos de Gestión'!$AH$59="Catastrófico"),CONCATENATE("R8C",'Riesgos de Gestión'!$V$59),"")</f>
        <v/>
      </c>
      <c r="AM43" s="40" t="str">
        <f>IF(AND('Riesgos de Gestión'!$AF$60="Baja",'Riesgos de Gestión'!$AH$60="Catastrófico"),CONCATENATE("R8C",'Riesgos de Gestión'!$V$60),"")</f>
        <v/>
      </c>
      <c r="AN43" s="66"/>
      <c r="AO43" s="508"/>
      <c r="AP43" s="509"/>
      <c r="AQ43" s="509"/>
      <c r="AR43" s="509"/>
      <c r="AS43" s="509"/>
      <c r="AT43" s="510"/>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436"/>
      <c r="C44" s="436"/>
      <c r="D44" s="437"/>
      <c r="E44" s="477"/>
      <c r="F44" s="478"/>
      <c r="G44" s="478"/>
      <c r="H44" s="478"/>
      <c r="I44" s="478"/>
      <c r="J44" s="59" t="str">
        <f>IF(AND('Riesgos de Gestión'!$AF$61="Baja",'Riesgos de Gestión'!$AH$61="Leve"),CONCATENATE("R9C",'Riesgos de Gestión'!$V$61),"")</f>
        <v/>
      </c>
      <c r="K44" s="60" t="str">
        <f>IF(AND('Riesgos de Gestión'!$AF$62="Baja",'Riesgos de Gestión'!$AH$62="Leve"),CONCATENATE("R9C",'Riesgos de Gestión'!$V$62),"")</f>
        <v/>
      </c>
      <c r="L44" s="60" t="str">
        <f>IF(AND('Riesgos de Gestión'!$AF$63="Baja",'Riesgos de Gestión'!$AH$63="Leve"),CONCATENATE("R9C",'Riesgos de Gestión'!$V$63),"")</f>
        <v/>
      </c>
      <c r="M44" s="60" t="str">
        <f>IF(AND('Riesgos de Gestión'!$AF$64="Baja",'Riesgos de Gestión'!$AH$64="Leve"),CONCATENATE("R9C",'Riesgos de Gestión'!$V$64),"")</f>
        <v/>
      </c>
      <c r="N44" s="60" t="str">
        <f>IF(AND('Riesgos de Gestión'!$AF$65="Baja",'Riesgos de Gestión'!$AH$65="Leve"),CONCATENATE("R9C",'Riesgos de Gestión'!$V$65),"")</f>
        <v/>
      </c>
      <c r="O44" s="61" t="str">
        <f>IF(AND('Riesgos de Gestión'!$AF$66="Baja",'Riesgos de Gestión'!$AH$66="Leve"),CONCATENATE("R9C",'Riesgos de Gestión'!$V$66),"")</f>
        <v/>
      </c>
      <c r="P44" s="50" t="str">
        <f>IF(AND('Riesgos de Gestión'!$AF$61="Baja",'Riesgos de Gestión'!$AH$61="Menor"),CONCATENATE("R9C",'Riesgos de Gestión'!$V$61),"")</f>
        <v/>
      </c>
      <c r="Q44" s="51" t="str">
        <f>IF(AND('Riesgos de Gestión'!$AF$62="Baja",'Riesgos de Gestión'!$AH$62="Menor"),CONCATENATE("R9C",'Riesgos de Gestión'!$V$62),"")</f>
        <v/>
      </c>
      <c r="R44" s="51" t="str">
        <f>IF(AND('Riesgos de Gestión'!$AF$63="Baja",'Riesgos de Gestión'!$AH$63="Menor"),CONCATENATE("R9C",'Riesgos de Gestión'!$V$63),"")</f>
        <v/>
      </c>
      <c r="S44" s="51" t="str">
        <f>IF(AND('Riesgos de Gestión'!$AF$64="Baja",'Riesgos de Gestión'!$AH$64="Menor"),CONCATENATE("R9C",'Riesgos de Gestión'!$V$64),"")</f>
        <v/>
      </c>
      <c r="T44" s="51" t="str">
        <f>IF(AND('Riesgos de Gestión'!$AF$65="Baja",'Riesgos de Gestión'!$AH$65="Menor"),CONCATENATE("R9C",'Riesgos de Gestión'!$V$65),"")</f>
        <v/>
      </c>
      <c r="U44" s="52" t="str">
        <f>IF(AND('Riesgos de Gestión'!$AF$66="Baja",'Riesgos de Gestión'!$AH$66="Menor"),CONCATENATE("R9C",'Riesgos de Gestión'!$V$66),"")</f>
        <v/>
      </c>
      <c r="V44" s="50" t="str">
        <f>IF(AND('Riesgos de Gestión'!$AF$61="Baja",'Riesgos de Gestión'!$AH$61="Moderado"),CONCATENATE("R9C",'Riesgos de Gestión'!$V$61),"")</f>
        <v/>
      </c>
      <c r="W44" s="51" t="str">
        <f>IF(AND('Riesgos de Gestión'!$AF$62="Baja",'Riesgos de Gestión'!$AH$62="Moderado"),CONCATENATE("R9C",'Riesgos de Gestión'!$V$62),"")</f>
        <v/>
      </c>
      <c r="X44" s="51" t="str">
        <f>IF(AND('Riesgos de Gestión'!$AF$63="Baja",'Riesgos de Gestión'!$AH$63="Moderado"),CONCATENATE("R9C",'Riesgos de Gestión'!$V$63),"")</f>
        <v/>
      </c>
      <c r="Y44" s="51" t="str">
        <f>IF(AND('Riesgos de Gestión'!$AF$64="Baja",'Riesgos de Gestión'!$AH$64="Moderado"),CONCATENATE("R9C",'Riesgos de Gestión'!$V$64),"")</f>
        <v/>
      </c>
      <c r="Z44" s="51" t="str">
        <f>IF(AND('Riesgos de Gestión'!$AF$65="Baja",'Riesgos de Gestión'!$AH$65="Moderado"),CONCATENATE("R9C",'Riesgos de Gestión'!$V$65),"")</f>
        <v/>
      </c>
      <c r="AA44" s="52" t="str">
        <f>IF(AND('Riesgos de Gestión'!$AF$66="Baja",'Riesgos de Gestión'!$AH$66="Moderado"),CONCATENATE("R9C",'Riesgos de Gestión'!$V$66),"")</f>
        <v/>
      </c>
      <c r="AB44" s="35" t="str">
        <f>IF(AND('Riesgos de Gestión'!$AF$61="Baja",'Riesgos de Gestión'!$AH$61="Mayor"),CONCATENATE("R9C",'Riesgos de Gestión'!$V$61),"")</f>
        <v/>
      </c>
      <c r="AC44" s="36" t="str">
        <f>IF(AND('Riesgos de Gestión'!$AF$62="Baja",'Riesgos de Gestión'!$AH$62="Mayor"),CONCATENATE("R9C",'Riesgos de Gestión'!$V$62),"")</f>
        <v/>
      </c>
      <c r="AD44" s="36" t="str">
        <f>IF(AND('Riesgos de Gestión'!$AF$63="Baja",'Riesgos de Gestión'!$AH$63="Mayor"),CONCATENATE("R9C",'Riesgos de Gestión'!$V$63),"")</f>
        <v/>
      </c>
      <c r="AE44" s="36" t="str">
        <f>IF(AND('Riesgos de Gestión'!$AF$64="Baja",'Riesgos de Gestión'!$AH$64="Mayor"),CONCATENATE("R9C",'Riesgos de Gestión'!$V$64),"")</f>
        <v/>
      </c>
      <c r="AF44" s="36" t="str">
        <f>IF(AND('Riesgos de Gestión'!$AF$65="Baja",'Riesgos de Gestión'!$AH$65="Mayor"),CONCATENATE("R9C",'Riesgos de Gestión'!$V$65),"")</f>
        <v/>
      </c>
      <c r="AG44" s="37" t="str">
        <f>IF(AND('Riesgos de Gestión'!$AF$66="Baja",'Riesgos de Gestión'!$AH$66="Mayor"),CONCATENATE("R9C",'Riesgos de Gestión'!$V$66),"")</f>
        <v/>
      </c>
      <c r="AH44" s="38" t="str">
        <f>IF(AND('Riesgos de Gestión'!$AF$61="Baja",'Riesgos de Gestión'!$AH$61="Catastrófico"),CONCATENATE("R9C",'Riesgos de Gestión'!$V$61),"")</f>
        <v/>
      </c>
      <c r="AI44" s="39" t="str">
        <f>IF(AND('Riesgos de Gestión'!$AF$62="Baja",'Riesgos de Gestión'!$AH$62="Catastrófico"),CONCATENATE("R9C",'Riesgos de Gestión'!$V$62),"")</f>
        <v/>
      </c>
      <c r="AJ44" s="39" t="str">
        <f>IF(AND('Riesgos de Gestión'!$AF$63="Baja",'Riesgos de Gestión'!$AH$63="Catastrófico"),CONCATENATE("R9C",'Riesgos de Gestión'!$V$63),"")</f>
        <v/>
      </c>
      <c r="AK44" s="39" t="str">
        <f>IF(AND('Riesgos de Gestión'!$AF$64="Baja",'Riesgos de Gestión'!$AH$64="Catastrófico"),CONCATENATE("R9C",'Riesgos de Gestión'!$V$64),"")</f>
        <v/>
      </c>
      <c r="AL44" s="39" t="str">
        <f>IF(AND('Riesgos de Gestión'!$AF$65="Baja",'Riesgos de Gestión'!$AH$65="Catastrófico"),CONCATENATE("R9C",'Riesgos de Gestión'!$V$65),"")</f>
        <v/>
      </c>
      <c r="AM44" s="40" t="str">
        <f>IF(AND('Riesgos de Gestión'!$AF$66="Baja",'Riesgos de Gestión'!$AH$66="Catastrófico"),CONCATENATE("R9C",'Riesgos de Gestión'!$V$66),"")</f>
        <v/>
      </c>
      <c r="AN44" s="66"/>
      <c r="AO44" s="508"/>
      <c r="AP44" s="509"/>
      <c r="AQ44" s="509"/>
      <c r="AR44" s="509"/>
      <c r="AS44" s="509"/>
      <c r="AT44" s="510"/>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436"/>
      <c r="C45" s="436"/>
      <c r="D45" s="437"/>
      <c r="E45" s="480"/>
      <c r="F45" s="481"/>
      <c r="G45" s="481"/>
      <c r="H45" s="481"/>
      <c r="I45" s="481"/>
      <c r="J45" s="62" t="str">
        <f>IF(AND('Riesgos de Gestión'!$AF$67="Baja",'Riesgos de Gestión'!$AH$67="Leve"),CONCATENATE("R10C",'Riesgos de Gestión'!$V$67),"")</f>
        <v/>
      </c>
      <c r="K45" s="63" t="str">
        <f>IF(AND('Riesgos de Gestión'!$AF$68="Baja",'Riesgos de Gestión'!$AH$68="Leve"),CONCATENATE("R10C",'Riesgos de Gestión'!$V$68),"")</f>
        <v/>
      </c>
      <c r="L45" s="63" t="str">
        <f>IF(AND('Riesgos de Gestión'!$AF$69="Baja",'Riesgos de Gestión'!$AH$69="Leve"),CONCATENATE("R10C",'Riesgos de Gestión'!$V$69),"")</f>
        <v/>
      </c>
      <c r="M45" s="63" t="str">
        <f>IF(AND('Riesgos de Gestión'!$AF$70="Baja",'Riesgos de Gestión'!$AH$70="Leve"),CONCATENATE("R10C",'Riesgos de Gestión'!$V$70),"")</f>
        <v/>
      </c>
      <c r="N45" s="63" t="str">
        <f>IF(AND('Riesgos de Gestión'!$AF$71="Baja",'Riesgos de Gestión'!$AH$71="Leve"),CONCATENATE("R10C",'Riesgos de Gestión'!$V$71),"")</f>
        <v/>
      </c>
      <c r="O45" s="64" t="str">
        <f>IF(AND('Riesgos de Gestión'!$AF$72="Baja",'Riesgos de Gestión'!$AH$72="Leve"),CONCATENATE("R10C",'Riesgos de Gestión'!$V$72),"")</f>
        <v/>
      </c>
      <c r="P45" s="50" t="str">
        <f>IF(AND('Riesgos de Gestión'!$AF$67="Baja",'Riesgos de Gestión'!$AH$67="Menor"),CONCATENATE("R10C",'Riesgos de Gestión'!$V$67),"")</f>
        <v/>
      </c>
      <c r="Q45" s="51" t="str">
        <f>IF(AND('Riesgos de Gestión'!$AF$68="Baja",'Riesgos de Gestión'!$AH$68="Menor"),CONCATENATE("R10C",'Riesgos de Gestión'!$V$68),"")</f>
        <v/>
      </c>
      <c r="R45" s="51" t="str">
        <f>IF(AND('Riesgos de Gestión'!$AF$69="Baja",'Riesgos de Gestión'!$AH$69="Menor"),CONCATENATE("R10C",'Riesgos de Gestión'!$V$69),"")</f>
        <v/>
      </c>
      <c r="S45" s="51" t="str">
        <f>IF(AND('Riesgos de Gestión'!$AF$70="Baja",'Riesgos de Gestión'!$AH$70="Menor"),CONCATENATE("R10C",'Riesgos de Gestión'!$V$70),"")</f>
        <v/>
      </c>
      <c r="T45" s="51" t="str">
        <f>IF(AND('Riesgos de Gestión'!$AF$71="Baja",'Riesgos de Gestión'!$AH$71="Menor"),CONCATENATE("R10C",'Riesgos de Gestión'!$V$71),"")</f>
        <v/>
      </c>
      <c r="U45" s="52" t="str">
        <f>IF(AND('Riesgos de Gestión'!$AF$72="Baja",'Riesgos de Gestión'!$AH$72="Menor"),CONCATENATE("R10C",'Riesgos de Gestión'!$V$72),"")</f>
        <v/>
      </c>
      <c r="V45" s="53" t="str">
        <f>IF(AND('Riesgos de Gestión'!$AF$67="Baja",'Riesgos de Gestión'!$AH$67="Moderado"),CONCATENATE("R10C",'Riesgos de Gestión'!$V$67),"")</f>
        <v/>
      </c>
      <c r="W45" s="54" t="str">
        <f>IF(AND('Riesgos de Gestión'!$AF$68="Baja",'Riesgos de Gestión'!$AH$68="Moderado"),CONCATENATE("R10C",'Riesgos de Gestión'!$V$68),"")</f>
        <v/>
      </c>
      <c r="X45" s="54" t="str">
        <f>IF(AND('Riesgos de Gestión'!$AF$69="Baja",'Riesgos de Gestión'!$AH$69="Moderado"),CONCATENATE("R10C",'Riesgos de Gestión'!$V$69),"")</f>
        <v/>
      </c>
      <c r="Y45" s="54" t="str">
        <f>IF(AND('Riesgos de Gestión'!$AF$70="Baja",'Riesgos de Gestión'!$AH$70="Moderado"),CONCATENATE("R10C",'Riesgos de Gestión'!$V$70),"")</f>
        <v/>
      </c>
      <c r="Z45" s="54" t="str">
        <f>IF(AND('Riesgos de Gestión'!$AF$71="Baja",'Riesgos de Gestión'!$AH$71="Moderado"),CONCATENATE("R10C",'Riesgos de Gestión'!$V$71),"")</f>
        <v/>
      </c>
      <c r="AA45" s="55" t="str">
        <f>IF(AND('Riesgos de Gestión'!$AF$72="Baja",'Riesgos de Gestión'!$AH$72="Moderado"),CONCATENATE("R10C",'Riesgos de Gestión'!$V$72),"")</f>
        <v/>
      </c>
      <c r="AB45" s="41" t="str">
        <f>IF(AND('Riesgos de Gestión'!$AF$67="Baja",'Riesgos de Gestión'!$AH$67="Mayor"),CONCATENATE("R10C",'Riesgos de Gestión'!$V$67),"")</f>
        <v/>
      </c>
      <c r="AC45" s="42" t="str">
        <f>IF(AND('Riesgos de Gestión'!$AF$68="Baja",'Riesgos de Gestión'!$AH$68="Mayor"),CONCATENATE("R10C",'Riesgos de Gestión'!$V$68),"")</f>
        <v/>
      </c>
      <c r="AD45" s="42" t="str">
        <f>IF(AND('Riesgos de Gestión'!$AF$69="Baja",'Riesgos de Gestión'!$AH$69="Mayor"),CONCATENATE("R10C",'Riesgos de Gestión'!$V$69),"")</f>
        <v/>
      </c>
      <c r="AE45" s="42" t="str">
        <f>IF(AND('Riesgos de Gestión'!$AF$70="Baja",'Riesgos de Gestión'!$AH$70="Mayor"),CONCATENATE("R10C",'Riesgos de Gestión'!$V$70),"")</f>
        <v/>
      </c>
      <c r="AF45" s="42" t="str">
        <f>IF(AND('Riesgos de Gestión'!$AF$71="Baja",'Riesgos de Gestión'!$AH$71="Mayor"),CONCATENATE("R10C",'Riesgos de Gestión'!$V$71),"")</f>
        <v/>
      </c>
      <c r="AG45" s="43" t="str">
        <f>IF(AND('Riesgos de Gestión'!$AF$72="Baja",'Riesgos de Gestión'!$AH$72="Mayor"),CONCATENATE("R10C",'Riesgos de Gestión'!$V$72),"")</f>
        <v/>
      </c>
      <c r="AH45" s="44" t="str">
        <f>IF(AND('Riesgos de Gestión'!$AF$67="Baja",'Riesgos de Gestión'!$AH$67="Catastrófico"),CONCATENATE("R10C",'Riesgos de Gestión'!$V$67),"")</f>
        <v/>
      </c>
      <c r="AI45" s="45" t="str">
        <f>IF(AND('Riesgos de Gestión'!$AF$68="Baja",'Riesgos de Gestión'!$AH$68="Catastrófico"),CONCATENATE("R10C",'Riesgos de Gestión'!$V$68),"")</f>
        <v/>
      </c>
      <c r="AJ45" s="45" t="str">
        <f>IF(AND('Riesgos de Gestión'!$AF$69="Baja",'Riesgos de Gestión'!$AH$69="Catastrófico"),CONCATENATE("R10C",'Riesgos de Gestión'!$V$69),"")</f>
        <v/>
      </c>
      <c r="AK45" s="45" t="str">
        <f>IF(AND('Riesgos de Gestión'!$AF$70="Baja",'Riesgos de Gestión'!$AH$70="Catastrófico"),CONCATENATE("R10C",'Riesgos de Gestión'!$V$70),"")</f>
        <v/>
      </c>
      <c r="AL45" s="45" t="str">
        <f>IF(AND('Riesgos de Gestión'!$AF$71="Baja",'Riesgos de Gestión'!$AH$71="Catastrófico"),CONCATENATE("R10C",'Riesgos de Gestión'!$V$71),"")</f>
        <v/>
      </c>
      <c r="AM45" s="46" t="str">
        <f>IF(AND('Riesgos de Gestión'!$AF$72="Baja",'Riesgos de Gestión'!$AH$72="Catastrófico"),CONCATENATE("R10C",'Riesgos de Gestión'!$V$72),"")</f>
        <v/>
      </c>
      <c r="AN45" s="66"/>
      <c r="AO45" s="511"/>
      <c r="AP45" s="512"/>
      <c r="AQ45" s="512"/>
      <c r="AR45" s="512"/>
      <c r="AS45" s="512"/>
      <c r="AT45" s="513"/>
    </row>
    <row r="46" spans="1:80" ht="46.5" customHeight="1" x14ac:dyDescent="0.35">
      <c r="A46" s="66"/>
      <c r="B46" s="436"/>
      <c r="C46" s="436"/>
      <c r="D46" s="437"/>
      <c r="E46" s="474" t="s">
        <v>273</v>
      </c>
      <c r="F46" s="475"/>
      <c r="G46" s="475"/>
      <c r="H46" s="475"/>
      <c r="I46" s="476"/>
      <c r="J46" s="56" t="str">
        <f>IF(AND('Riesgos de Gestión'!$AF$13="Muy Baja",'Riesgos de Gestión'!$AH$13="Leve"),CONCATENATE("R1C",'Riesgos de Gestión'!$V$13),"")</f>
        <v/>
      </c>
      <c r="K46" s="57" t="str">
        <f>IF(AND('Riesgos de Gestión'!$AF$14="Muy Baja",'Riesgos de Gestión'!$AH$14="Leve"),CONCATENATE("R1C",'Riesgos de Gestión'!$V$14),"")</f>
        <v/>
      </c>
      <c r="L46" s="57" t="str">
        <f>IF(AND('Riesgos de Gestión'!$AF$15="Muy Baja",'Riesgos de Gestión'!$AH$15="Leve"),CONCATENATE("R1C",'Riesgos de Gestión'!$V$15),"")</f>
        <v/>
      </c>
      <c r="M46" s="57" t="str">
        <f>IF(AND('Riesgos de Gestión'!$AF$16="Muy Baja",'Riesgos de Gestión'!$AH$16="Leve"),CONCATENATE("R1C",'Riesgos de Gestión'!$V$16),"")</f>
        <v/>
      </c>
      <c r="N46" s="57" t="str">
        <f>IF(AND('Riesgos de Gestión'!$AF$17="Muy Baja",'Riesgos de Gestión'!$AH$17="Leve"),CONCATENATE("R1C",'Riesgos de Gestión'!$V$17),"")</f>
        <v/>
      </c>
      <c r="O46" s="58" t="str">
        <f>IF(AND('Riesgos de Gestión'!$AF$18="Muy Baja",'Riesgos de Gestión'!$AH$18="Leve"),CONCATENATE("R1C",'Riesgos de Gestión'!$V$18),"")</f>
        <v/>
      </c>
      <c r="P46" s="56" t="str">
        <f>IF(AND('Riesgos de Gestión'!$AF$13="Muy Baja",'Riesgos de Gestión'!$AH$13="Menor"),CONCATENATE("R1C",'Riesgos de Gestión'!$V$13),"")</f>
        <v/>
      </c>
      <c r="Q46" s="57" t="str">
        <f>IF(AND('Riesgos de Gestión'!$AF$14="Muy Baja",'Riesgos de Gestión'!$AH$14="Menor"),CONCATENATE("R1C",'Riesgos de Gestión'!$V$14),"")</f>
        <v/>
      </c>
      <c r="R46" s="57" t="str">
        <f>IF(AND('Riesgos de Gestión'!$AF$15="Muy Baja",'Riesgos de Gestión'!$AH$15="Menor"),CONCATENATE("R1C",'Riesgos de Gestión'!$V$15),"")</f>
        <v/>
      </c>
      <c r="S46" s="57" t="str">
        <f>IF(AND('Riesgos de Gestión'!$AF$16="Muy Baja",'Riesgos de Gestión'!$AH$16="Menor"),CONCATENATE("R1C",'Riesgos de Gestión'!$V$16),"")</f>
        <v/>
      </c>
      <c r="T46" s="57" t="str">
        <f>IF(AND('Riesgos de Gestión'!$AF$17="Muy Baja",'Riesgos de Gestión'!$AH$17="Menor"),CONCATENATE("R1C",'Riesgos de Gestión'!$V$17),"")</f>
        <v/>
      </c>
      <c r="U46" s="58" t="str">
        <f>IF(AND('Riesgos de Gestión'!$AF$18="Muy Baja",'Riesgos de Gestión'!$AH$18="Menor"),CONCATENATE("R1C",'Riesgos de Gestión'!$V$18),"")</f>
        <v/>
      </c>
      <c r="V46" s="47" t="str">
        <f>IF(AND('Riesgos de Gestión'!$AF$13="Muy Baja",'Riesgos de Gestión'!$AH$13="Moderado"),CONCATENATE("R1C",'Riesgos de Gestión'!$V$13),"")</f>
        <v/>
      </c>
      <c r="W46" s="65" t="str">
        <f>IF(AND('Riesgos de Gestión'!$AF$14="Muy Baja",'Riesgos de Gestión'!$AH$14="Moderado"),CONCATENATE("R1C",'Riesgos de Gestión'!$V$14),"")</f>
        <v/>
      </c>
      <c r="X46" s="48" t="str">
        <f>IF(AND('Riesgos de Gestión'!$AF$15="Muy Baja",'Riesgos de Gestión'!$AH$15="Moderado"),CONCATENATE("R1C",'Riesgos de Gestión'!$V$15),"")</f>
        <v/>
      </c>
      <c r="Y46" s="48" t="str">
        <f>IF(AND('Riesgos de Gestión'!$AF$16="Muy Baja",'Riesgos de Gestión'!$AH$16="Moderado"),CONCATENATE("R1C",'Riesgos de Gestión'!$V$16),"")</f>
        <v/>
      </c>
      <c r="Z46" s="48" t="str">
        <f>IF(AND('Riesgos de Gestión'!$AF$17="Muy Baja",'Riesgos de Gestión'!$AH$17="Moderado"),CONCATENATE("R1C",'Riesgos de Gestión'!$V$17),"")</f>
        <v/>
      </c>
      <c r="AA46" s="49" t="str">
        <f>IF(AND('Riesgos de Gestión'!$AF$18="Muy Baja",'Riesgos de Gestión'!$AH$18="Moderado"),CONCATENATE("R1C",'Riesgos de Gestión'!$V$18),"")</f>
        <v/>
      </c>
      <c r="AB46" s="29" t="str">
        <f>IF(AND('Riesgos de Gestión'!$AF$13="Muy Baja",'Riesgos de Gestión'!$AH$13="Mayor"),CONCATENATE("R1C",'Riesgos de Gestión'!$V$13),"")</f>
        <v/>
      </c>
      <c r="AC46" s="30" t="str">
        <f>IF(AND('Riesgos de Gestión'!$AF$14="Muy Baja",'Riesgos de Gestión'!$AH$14="Mayor"),CONCATENATE("R1C",'Riesgos de Gestión'!$V$14),"")</f>
        <v/>
      </c>
      <c r="AD46" s="30" t="str">
        <f>IF(AND('Riesgos de Gestión'!$AF$15="Muy Baja",'Riesgos de Gestión'!$AH$15="Mayor"),CONCATENATE("R1C",'Riesgos de Gestión'!$V$15),"")</f>
        <v/>
      </c>
      <c r="AE46" s="30" t="str">
        <f>IF(AND('Riesgos de Gestión'!$AF$16="Muy Baja",'Riesgos de Gestión'!$AH$16="Mayor"),CONCATENATE("R1C",'Riesgos de Gestión'!$V$16),"")</f>
        <v/>
      </c>
      <c r="AF46" s="30" t="str">
        <f>IF(AND('Riesgos de Gestión'!$AF$17="Muy Baja",'Riesgos de Gestión'!$AH$17="Mayor"),CONCATENATE("R1C",'Riesgos de Gestión'!$V$17),"")</f>
        <v/>
      </c>
      <c r="AG46" s="31" t="str">
        <f>IF(AND('Riesgos de Gestión'!$AF$18="Muy Baja",'Riesgos de Gestión'!$AH$18="Mayor"),CONCATENATE("R1C",'Riesgos de Gestión'!$V$18),"")</f>
        <v/>
      </c>
      <c r="AH46" s="32" t="str">
        <f>IF(AND('Riesgos de Gestión'!$AF$13="Muy Baja",'Riesgos de Gestión'!$AH$13="Catastrófico"),CONCATENATE("R1C",'Riesgos de Gestión'!$V$13),"")</f>
        <v/>
      </c>
      <c r="AI46" s="33" t="str">
        <f>IF(AND('Riesgos de Gestión'!$AF$14="Muy Baja",'Riesgos de Gestión'!$AH$14="Catastrófico"),CONCATENATE("R1C",'Riesgos de Gestión'!$V$14),"")</f>
        <v/>
      </c>
      <c r="AJ46" s="33" t="str">
        <f>IF(AND('Riesgos de Gestión'!$AF$15="Muy Baja",'Riesgos de Gestión'!$AH$15="Catastrófico"),CONCATENATE("R1C",'Riesgos de Gestión'!$V$15),"")</f>
        <v/>
      </c>
      <c r="AK46" s="33" t="str">
        <f>IF(AND('Riesgos de Gestión'!$AF$16="Muy Baja",'Riesgos de Gestión'!$AH$16="Catastrófico"),CONCATENATE("R1C",'Riesgos de Gestión'!$V$16),"")</f>
        <v/>
      </c>
      <c r="AL46" s="33" t="str">
        <f>IF(AND('Riesgos de Gestión'!$AF$17="Muy Baja",'Riesgos de Gestión'!$AH$17="Catastrófico"),CONCATENATE("R1C",'Riesgos de Gestión'!$V$17),"")</f>
        <v/>
      </c>
      <c r="AM46" s="34" t="str">
        <f>IF(AND('Riesgos de Gestión'!$AF$18="Muy Baja",'Riesgos de Gestión'!$AH$18="Catastrófico"),CONCATENATE("R1C",'Riesgos de Gestión'!$V$18),"")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436"/>
      <c r="C47" s="436"/>
      <c r="D47" s="437"/>
      <c r="E47" s="493"/>
      <c r="F47" s="478"/>
      <c r="G47" s="478"/>
      <c r="H47" s="478"/>
      <c r="I47" s="479"/>
      <c r="J47" s="59" t="str">
        <f>IF(AND('Riesgos de Gestión'!$AF$19="Muy Baja",'Riesgos de Gestión'!$AH$19="Leve"),CONCATENATE("R2C",'Riesgos de Gestión'!$V$19),"")</f>
        <v/>
      </c>
      <c r="K47" s="60" t="str">
        <f>IF(AND('Riesgos de Gestión'!$AF$20="Muy Baja",'Riesgos de Gestión'!$AH$20="Leve"),CONCATENATE("R2C",'Riesgos de Gestión'!$V$20),"")</f>
        <v/>
      </c>
      <c r="L47" s="60" t="str">
        <f>IF(AND('Riesgos de Gestión'!$AF$21="Muy Baja",'Riesgos de Gestión'!$AH$21="Leve"),CONCATENATE("R2C",'Riesgos de Gestión'!$V$21),"")</f>
        <v/>
      </c>
      <c r="M47" s="60" t="str">
        <f>IF(AND('Riesgos de Gestión'!$AF$22="Muy Baja",'Riesgos de Gestión'!$AH$22="Leve"),CONCATENATE("R2C",'Riesgos de Gestión'!$V$22),"")</f>
        <v/>
      </c>
      <c r="N47" s="60" t="str">
        <f>IF(AND('Riesgos de Gestión'!$AF$23="Muy Baja",'Riesgos de Gestión'!$AH$23="Leve"),CONCATENATE("R2C",'Riesgos de Gestión'!$V$23),"")</f>
        <v/>
      </c>
      <c r="O47" s="61" t="str">
        <f>IF(AND('Riesgos de Gestión'!$AF$24="Muy Baja",'Riesgos de Gestión'!$AH$24="Leve"),CONCATENATE("R2C",'Riesgos de Gestión'!$V$24),"")</f>
        <v/>
      </c>
      <c r="P47" s="59" t="str">
        <f>IF(AND('Riesgos de Gestión'!$AF$19="Muy Baja",'Riesgos de Gestión'!$AH$19="Menor"),CONCATENATE("R2C",'Riesgos de Gestión'!$V$19),"")</f>
        <v/>
      </c>
      <c r="Q47" s="60" t="str">
        <f>IF(AND('Riesgos de Gestión'!$AF$20="Muy Baja",'Riesgos de Gestión'!$AH$20="Menor"),CONCATENATE("R2C",'Riesgos de Gestión'!$V$20),"")</f>
        <v/>
      </c>
      <c r="R47" s="60" t="str">
        <f>IF(AND('Riesgos de Gestión'!$AF$21="Muy Baja",'Riesgos de Gestión'!$AH$21="Menor"),CONCATENATE("R2C",'Riesgos de Gestión'!$V$21),"")</f>
        <v/>
      </c>
      <c r="S47" s="60" t="str">
        <f>IF(AND('Riesgos de Gestión'!$AF$22="Muy Baja",'Riesgos de Gestión'!$AH$22="Menor"),CONCATENATE("R2C",'Riesgos de Gestión'!$V$22),"")</f>
        <v/>
      </c>
      <c r="T47" s="60" t="str">
        <f>IF(AND('Riesgos de Gestión'!$AF$23="Muy Baja",'Riesgos de Gestión'!$AH$23="Menor"),CONCATENATE("R2C",'Riesgos de Gestión'!$V$23),"")</f>
        <v/>
      </c>
      <c r="U47" s="61" t="str">
        <f>IF(AND('Riesgos de Gestión'!$AF$24="Muy Baja",'Riesgos de Gestión'!$AH$24="Menor"),CONCATENATE("R2C",'Riesgos de Gestión'!$V$24),"")</f>
        <v/>
      </c>
      <c r="V47" s="50" t="str">
        <f>IF(AND('Riesgos de Gestión'!$AF$19="Muy Baja",'Riesgos de Gestión'!$AH$19="Moderado"),CONCATENATE("R2C",'Riesgos de Gestión'!$V$19),"")</f>
        <v/>
      </c>
      <c r="W47" s="51" t="str">
        <f>IF(AND('Riesgos de Gestión'!$AF$20="Muy Baja",'Riesgos de Gestión'!$AH$20="Moderado"),CONCATENATE("R2C",'Riesgos de Gestión'!$V$20),"")</f>
        <v/>
      </c>
      <c r="X47" s="51" t="str">
        <f>IF(AND('Riesgos de Gestión'!$AF$21="Muy Baja",'Riesgos de Gestión'!$AH$21="Moderado"),CONCATENATE("R2C",'Riesgos de Gestión'!$V$21),"")</f>
        <v/>
      </c>
      <c r="Y47" s="51" t="str">
        <f>IF(AND('Riesgos de Gestión'!$AF$22="Muy Baja",'Riesgos de Gestión'!$AH$22="Moderado"),CONCATENATE("R2C",'Riesgos de Gestión'!$V$22),"")</f>
        <v/>
      </c>
      <c r="Z47" s="51" t="str">
        <f>IF(AND('Riesgos de Gestión'!$AF$23="Muy Baja",'Riesgos de Gestión'!$AH$23="Moderado"),CONCATENATE("R2C",'Riesgos de Gestión'!$V$23),"")</f>
        <v/>
      </c>
      <c r="AA47" s="52" t="str">
        <f>IF(AND('Riesgos de Gestión'!$AF$24="Muy Baja",'Riesgos de Gestión'!$AH$24="Moderado"),CONCATENATE("R2C",'Riesgos de Gestión'!$V$24),"")</f>
        <v/>
      </c>
      <c r="AB47" s="35" t="str">
        <f>IF(AND('Riesgos de Gestión'!$AF$19="Muy Baja",'Riesgos de Gestión'!$AH$19="Mayor"),CONCATENATE("R2C",'Riesgos de Gestión'!$V$19),"")</f>
        <v/>
      </c>
      <c r="AC47" s="36" t="str">
        <f>IF(AND('Riesgos de Gestión'!$AF$20="Muy Baja",'Riesgos de Gestión'!$AH$20="Mayor"),CONCATENATE("R2C",'Riesgos de Gestión'!$V$20),"")</f>
        <v/>
      </c>
      <c r="AD47" s="36" t="str">
        <f>IF(AND('Riesgos de Gestión'!$AF$21="Muy Baja",'Riesgos de Gestión'!$AH$21="Mayor"),CONCATENATE("R2C",'Riesgos de Gestión'!$V$21),"")</f>
        <v/>
      </c>
      <c r="AE47" s="36" t="str">
        <f>IF(AND('Riesgos de Gestión'!$AF$22="Muy Baja",'Riesgos de Gestión'!$AH$22="Mayor"),CONCATENATE("R2C",'Riesgos de Gestión'!$V$22),"")</f>
        <v/>
      </c>
      <c r="AF47" s="36" t="str">
        <f>IF(AND('Riesgos de Gestión'!$AF$23="Muy Baja",'Riesgos de Gestión'!$AH$23="Mayor"),CONCATENATE("R2C",'Riesgos de Gestión'!$V$23),"")</f>
        <v/>
      </c>
      <c r="AG47" s="37" t="str">
        <f>IF(AND('Riesgos de Gestión'!$AF$24="Muy Baja",'Riesgos de Gestión'!$AH$24="Mayor"),CONCATENATE("R2C",'Riesgos de Gestión'!$V$24),"")</f>
        <v/>
      </c>
      <c r="AH47" s="38" t="str">
        <f>IF(AND('Riesgos de Gestión'!$AF$19="Muy Baja",'Riesgos de Gestión'!$AH$19="Catastrófico"),CONCATENATE("R2C",'Riesgos de Gestión'!$V$19),"")</f>
        <v/>
      </c>
      <c r="AI47" s="39" t="str">
        <f>IF(AND('Riesgos de Gestión'!$AF$20="Muy Baja",'Riesgos de Gestión'!$AH$20="Catastrófico"),CONCATENATE("R2C",'Riesgos de Gestión'!$V$20),"")</f>
        <v/>
      </c>
      <c r="AJ47" s="39" t="str">
        <f>IF(AND('Riesgos de Gestión'!$AF$21="Muy Baja",'Riesgos de Gestión'!$AH$21="Catastrófico"),CONCATENATE("R2C",'Riesgos de Gestión'!$V$21),"")</f>
        <v/>
      </c>
      <c r="AK47" s="39" t="str">
        <f>IF(AND('Riesgos de Gestión'!$AF$22="Muy Baja",'Riesgos de Gestión'!$AH$22="Catastrófico"),CONCATENATE("R2C",'Riesgos de Gestión'!$V$22),"")</f>
        <v/>
      </c>
      <c r="AL47" s="39" t="str">
        <f>IF(AND('Riesgos de Gestión'!$AF$23="Muy Baja",'Riesgos de Gestión'!$AH$23="Catastrófico"),CONCATENATE("R2C",'Riesgos de Gestión'!$V$23),"")</f>
        <v/>
      </c>
      <c r="AM47" s="40" t="str">
        <f>IF(AND('Riesgos de Gestión'!$AF$24="Muy Baja",'Riesgos de Gestión'!$AH$24="Catastrófico"),CONCATENATE("R2C",'Riesgos de Gestión'!$V$24),"")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436"/>
      <c r="C48" s="436"/>
      <c r="D48" s="437"/>
      <c r="E48" s="493"/>
      <c r="F48" s="478"/>
      <c r="G48" s="478"/>
      <c r="H48" s="478"/>
      <c r="I48" s="479"/>
      <c r="J48" s="59" t="str">
        <f>IF(AND('Riesgos de Gestión'!$AF$25="Muy Baja",'Riesgos de Gestión'!$AH$25="Leve"),CONCATENATE("R3C",'Riesgos de Gestión'!$V$25),"")</f>
        <v/>
      </c>
      <c r="K48" s="60" t="str">
        <f>IF(AND('Riesgos de Gestión'!$AF$26="Muy Baja",'Riesgos de Gestión'!$AH$26="Leve"),CONCATENATE("R3C",'Riesgos de Gestión'!$V$26),"")</f>
        <v/>
      </c>
      <c r="L48" s="60" t="str">
        <f>IF(AND('Riesgos de Gestión'!$AF$27="Muy Baja",'Riesgos de Gestión'!$AH$27="Leve"),CONCATENATE("R3C",'Riesgos de Gestión'!$V$27),"")</f>
        <v/>
      </c>
      <c r="M48" s="60" t="str">
        <f>IF(AND('Riesgos de Gestión'!$AF$28="Muy Baja",'Riesgos de Gestión'!$AH$28="Leve"),CONCATENATE("R3C",'Riesgos de Gestión'!$V$28),"")</f>
        <v/>
      </c>
      <c r="N48" s="60" t="str">
        <f>IF(AND('Riesgos de Gestión'!$AF$29="Muy Baja",'Riesgos de Gestión'!$AH$29="Leve"),CONCATENATE("R3C",'Riesgos de Gestión'!$V$29),"")</f>
        <v/>
      </c>
      <c r="O48" s="61" t="str">
        <f>IF(AND('Riesgos de Gestión'!$AF$30="Muy Baja",'Riesgos de Gestión'!$AH$30="Leve"),CONCATENATE("R3C",'Riesgos de Gestión'!$V$30),"")</f>
        <v/>
      </c>
      <c r="P48" s="59" t="str">
        <f>IF(AND('Riesgos de Gestión'!$AF$25="Muy Baja",'Riesgos de Gestión'!$AH$25="Menor"),CONCATENATE("R3C",'Riesgos de Gestión'!$V$25),"")</f>
        <v/>
      </c>
      <c r="Q48" s="60" t="str">
        <f>IF(AND('Riesgos de Gestión'!$AF$26="Muy Baja",'Riesgos de Gestión'!$AH$26="Menor"),CONCATENATE("R3C",'Riesgos de Gestión'!$V$26),"")</f>
        <v/>
      </c>
      <c r="R48" s="60" t="str">
        <f>IF(AND('Riesgos de Gestión'!$AF$27="Muy Baja",'Riesgos de Gestión'!$AH$27="Menor"),CONCATENATE("R3C",'Riesgos de Gestión'!$V$27),"")</f>
        <v/>
      </c>
      <c r="S48" s="60" t="str">
        <f>IF(AND('Riesgos de Gestión'!$AF$28="Muy Baja",'Riesgos de Gestión'!$AH$28="Menor"),CONCATENATE("R3C",'Riesgos de Gestión'!$V$28),"")</f>
        <v/>
      </c>
      <c r="T48" s="60" t="str">
        <f>IF(AND('Riesgos de Gestión'!$AF$29="Muy Baja",'Riesgos de Gestión'!$AH$29="Menor"),CONCATENATE("R3C",'Riesgos de Gestión'!$V$29),"")</f>
        <v/>
      </c>
      <c r="U48" s="61" t="str">
        <f>IF(AND('Riesgos de Gestión'!$AF$30="Muy Baja",'Riesgos de Gestión'!$AH$30="Menor"),CONCATENATE("R3C",'Riesgos de Gestión'!$V$30),"")</f>
        <v/>
      </c>
      <c r="V48" s="50" t="str">
        <f>IF(AND('Riesgos de Gestión'!$AF$25="Muy Baja",'Riesgos de Gestión'!$AH$25="Moderado"),CONCATENATE("R3C",'Riesgos de Gestión'!$V$25),"")</f>
        <v/>
      </c>
      <c r="W48" s="51" t="str">
        <f>IF(AND('Riesgos de Gestión'!$AF$26="Muy Baja",'Riesgos de Gestión'!$AH$26="Moderado"),CONCATENATE("R3C",'Riesgos de Gestión'!$V$26),"")</f>
        <v/>
      </c>
      <c r="X48" s="51" t="str">
        <f>IF(AND('Riesgos de Gestión'!$AF$27="Muy Baja",'Riesgos de Gestión'!$AH$27="Moderado"),CONCATENATE("R3C",'Riesgos de Gestión'!$V$27),"")</f>
        <v/>
      </c>
      <c r="Y48" s="51" t="str">
        <f>IF(AND('Riesgos de Gestión'!$AF$28="Muy Baja",'Riesgos de Gestión'!$AH$28="Moderado"),CONCATENATE("R3C",'Riesgos de Gestión'!$V$28),"")</f>
        <v/>
      </c>
      <c r="Z48" s="51" t="str">
        <f>IF(AND('Riesgos de Gestión'!$AF$29="Muy Baja",'Riesgos de Gestión'!$AH$29="Moderado"),CONCATENATE("R3C",'Riesgos de Gestión'!$V$29),"")</f>
        <v/>
      </c>
      <c r="AA48" s="52" t="str">
        <f>IF(AND('Riesgos de Gestión'!$AF$30="Muy Baja",'Riesgos de Gestión'!$AH$30="Moderado"),CONCATENATE("R3C",'Riesgos de Gestión'!$V$30),"")</f>
        <v/>
      </c>
      <c r="AB48" s="35" t="str">
        <f>IF(AND('Riesgos de Gestión'!$AF$25="Muy Baja",'Riesgos de Gestión'!$AH$25="Mayor"),CONCATENATE("R3C",'Riesgos de Gestión'!$V$25),"")</f>
        <v/>
      </c>
      <c r="AC48" s="36" t="str">
        <f>IF(AND('Riesgos de Gestión'!$AF$26="Muy Baja",'Riesgos de Gestión'!$AH$26="Mayor"),CONCATENATE("R3C",'Riesgos de Gestión'!$V$26),"")</f>
        <v/>
      </c>
      <c r="AD48" s="36" t="str">
        <f>IF(AND('Riesgos de Gestión'!$AF$27="Muy Baja",'Riesgos de Gestión'!$AH$27="Mayor"),CONCATENATE("R3C",'Riesgos de Gestión'!$V$27),"")</f>
        <v/>
      </c>
      <c r="AE48" s="36" t="str">
        <f>IF(AND('Riesgos de Gestión'!$AF$28="Muy Baja",'Riesgos de Gestión'!$AH$28="Mayor"),CONCATENATE("R3C",'Riesgos de Gestión'!$V$28),"")</f>
        <v/>
      </c>
      <c r="AF48" s="36" t="str">
        <f>IF(AND('Riesgos de Gestión'!$AF$29="Muy Baja",'Riesgos de Gestión'!$AH$29="Mayor"),CONCATENATE("R3C",'Riesgos de Gestión'!$V$29),"")</f>
        <v/>
      </c>
      <c r="AG48" s="37" t="str">
        <f>IF(AND('Riesgos de Gestión'!$AF$30="Muy Baja",'Riesgos de Gestión'!$AH$30="Mayor"),CONCATENATE("R3C",'Riesgos de Gestión'!$V$30),"")</f>
        <v/>
      </c>
      <c r="AH48" s="38" t="str">
        <f>IF(AND('Riesgos de Gestión'!$AF$25="Muy Baja",'Riesgos de Gestión'!$AH$25="Catastrófico"),CONCATENATE("R3C",'Riesgos de Gestión'!$V$25),"")</f>
        <v/>
      </c>
      <c r="AI48" s="39" t="str">
        <f>IF(AND('Riesgos de Gestión'!$AF$26="Muy Baja",'Riesgos de Gestión'!$AH$26="Catastrófico"),CONCATENATE("R3C",'Riesgos de Gestión'!$V$26),"")</f>
        <v/>
      </c>
      <c r="AJ48" s="39" t="str">
        <f>IF(AND('Riesgos de Gestión'!$AF$27="Muy Baja",'Riesgos de Gestión'!$AH$27="Catastrófico"),CONCATENATE("R3C",'Riesgos de Gestión'!$V$27),"")</f>
        <v/>
      </c>
      <c r="AK48" s="39" t="str">
        <f>IF(AND('Riesgos de Gestión'!$AF$28="Muy Baja",'Riesgos de Gestión'!$AH$28="Catastrófico"),CONCATENATE("R3C",'Riesgos de Gestión'!$V$28),"")</f>
        <v/>
      </c>
      <c r="AL48" s="39" t="str">
        <f>IF(AND('Riesgos de Gestión'!$AF$29="Muy Baja",'Riesgos de Gestión'!$AH$29="Catastrófico"),CONCATENATE("R3C",'Riesgos de Gestión'!$V$29),"")</f>
        <v/>
      </c>
      <c r="AM48" s="40" t="str">
        <f>IF(AND('Riesgos de Gestión'!$AF$30="Muy Baja",'Riesgos de Gestión'!$AH$30="Catastrófico"),CONCATENATE("R3C",'Riesgos de Gestión'!$V$30),"")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436"/>
      <c r="C49" s="436"/>
      <c r="D49" s="437"/>
      <c r="E49" s="477"/>
      <c r="F49" s="478"/>
      <c r="G49" s="478"/>
      <c r="H49" s="478"/>
      <c r="I49" s="479"/>
      <c r="J49" s="59" t="str">
        <f>IF(AND('Riesgos de Gestión'!$AF$31="Muy Baja",'Riesgos de Gestión'!$AH$31="Leve"),CONCATENATE("R4C",'Riesgos de Gestión'!$V$31),"")</f>
        <v/>
      </c>
      <c r="K49" s="60" t="str">
        <f>IF(AND('Riesgos de Gestión'!$AF$32="Muy Baja",'Riesgos de Gestión'!$AH$32="Leve"),CONCATENATE("R4C",'Riesgos de Gestión'!$V$32),"")</f>
        <v/>
      </c>
      <c r="L49" s="60" t="str">
        <f>IF(AND('Riesgos de Gestión'!$AF$33="Muy Baja",'Riesgos de Gestión'!$AH$33="Leve"),CONCATENATE("R4C",'Riesgos de Gestión'!$V$33),"")</f>
        <v/>
      </c>
      <c r="M49" s="60" t="str">
        <f>IF(AND('Riesgos de Gestión'!$AF$34="Muy Baja",'Riesgos de Gestión'!$AH$34="Leve"),CONCATENATE("R4C",'Riesgos de Gestión'!$V$34),"")</f>
        <v/>
      </c>
      <c r="N49" s="60" t="str">
        <f>IF(AND('Riesgos de Gestión'!$AF$35="Muy Baja",'Riesgos de Gestión'!$AH$35="Leve"),CONCATENATE("R4C",'Riesgos de Gestión'!$V$35),"")</f>
        <v/>
      </c>
      <c r="O49" s="61" t="str">
        <f>IF(AND('Riesgos de Gestión'!$AF$36="Muy Baja",'Riesgos de Gestión'!$AH$36="Leve"),CONCATENATE("R4C",'Riesgos de Gestión'!$V$36),"")</f>
        <v/>
      </c>
      <c r="P49" s="59" t="str">
        <f>IF(AND('Riesgos de Gestión'!$AF$31="Muy Baja",'Riesgos de Gestión'!$AH$31="Menor"),CONCATENATE("R4C",'Riesgos de Gestión'!$V$31),"")</f>
        <v/>
      </c>
      <c r="Q49" s="60" t="str">
        <f>IF(AND('Riesgos de Gestión'!$AF$32="Muy Baja",'Riesgos de Gestión'!$AH$32="Menor"),CONCATENATE("R4C",'Riesgos de Gestión'!$V$32),"")</f>
        <v/>
      </c>
      <c r="R49" s="60" t="str">
        <f>IF(AND('Riesgos de Gestión'!$AF$33="Muy Baja",'Riesgos de Gestión'!$AH$33="Menor"),CONCATENATE("R4C",'Riesgos de Gestión'!$V$33),"")</f>
        <v/>
      </c>
      <c r="S49" s="60" t="str">
        <f>IF(AND('Riesgos de Gestión'!$AF$34="Muy Baja",'Riesgos de Gestión'!$AH$34="Menor"),CONCATENATE("R4C",'Riesgos de Gestión'!$V$34),"")</f>
        <v/>
      </c>
      <c r="T49" s="60" t="str">
        <f>IF(AND('Riesgos de Gestión'!$AF$35="Muy Baja",'Riesgos de Gestión'!$AH$35="Menor"),CONCATENATE("R4C",'Riesgos de Gestión'!$V$35),"")</f>
        <v/>
      </c>
      <c r="U49" s="61" t="str">
        <f>IF(AND('Riesgos de Gestión'!$AF$36="Muy Baja",'Riesgos de Gestión'!$AH$36="Menor"),CONCATENATE("R4C",'Riesgos de Gestión'!$V$36),"")</f>
        <v/>
      </c>
      <c r="V49" s="50" t="str">
        <f>IF(AND('Riesgos de Gestión'!$AF$31="Muy Baja",'Riesgos de Gestión'!$AH$31="Moderado"),CONCATENATE("R4C",'Riesgos de Gestión'!$V$31),"")</f>
        <v/>
      </c>
      <c r="W49" s="51" t="str">
        <f>IF(AND('Riesgos de Gestión'!$AF$32="Muy Baja",'Riesgos de Gestión'!$AH$32="Moderado"),CONCATENATE("R4C",'Riesgos de Gestión'!$V$32),"")</f>
        <v/>
      </c>
      <c r="X49" s="51" t="str">
        <f>IF(AND('Riesgos de Gestión'!$AF$33="Muy Baja",'Riesgos de Gestión'!$AH$33="Moderado"),CONCATENATE("R4C",'Riesgos de Gestión'!$V$33),"")</f>
        <v/>
      </c>
      <c r="Y49" s="51" t="str">
        <f>IF(AND('Riesgos de Gestión'!$AF$34="Muy Baja",'Riesgos de Gestión'!$AH$34="Moderado"),CONCATENATE("R4C",'Riesgos de Gestión'!$V$34),"")</f>
        <v/>
      </c>
      <c r="Z49" s="51" t="str">
        <f>IF(AND('Riesgos de Gestión'!$AF$35="Muy Baja",'Riesgos de Gestión'!$AH$35="Moderado"),CONCATENATE("R4C",'Riesgos de Gestión'!$V$35),"")</f>
        <v/>
      </c>
      <c r="AA49" s="52" t="str">
        <f>IF(AND('Riesgos de Gestión'!$AF$36="Muy Baja",'Riesgos de Gestión'!$AH$36="Moderado"),CONCATENATE("R4C",'Riesgos de Gestión'!$V$36),"")</f>
        <v/>
      </c>
      <c r="AB49" s="35" t="str">
        <f>IF(AND('Riesgos de Gestión'!$AF$31="Muy Baja",'Riesgos de Gestión'!$AH$31="Mayor"),CONCATENATE("R4C",'Riesgos de Gestión'!$V$31),"")</f>
        <v/>
      </c>
      <c r="AC49" s="36" t="str">
        <f>IF(AND('Riesgos de Gestión'!$AF$32="Muy Baja",'Riesgos de Gestión'!$AH$32="Mayor"),CONCATENATE("R4C",'Riesgos de Gestión'!$V$32),"")</f>
        <v/>
      </c>
      <c r="AD49" s="36" t="str">
        <f>IF(AND('Riesgos de Gestión'!$AF$33="Muy Baja",'Riesgos de Gestión'!$AH$33="Mayor"),CONCATENATE("R4C",'Riesgos de Gestión'!$V$33),"")</f>
        <v/>
      </c>
      <c r="AE49" s="36" t="str">
        <f>IF(AND('Riesgos de Gestión'!$AF$34="Muy Baja",'Riesgos de Gestión'!$AH$34="Mayor"),CONCATENATE("R4C",'Riesgos de Gestión'!$V$34),"")</f>
        <v/>
      </c>
      <c r="AF49" s="36" t="str">
        <f>IF(AND('Riesgos de Gestión'!$AF$35="Muy Baja",'Riesgos de Gestión'!$AH$35="Mayor"),CONCATENATE("R4C",'Riesgos de Gestión'!$V$35),"")</f>
        <v/>
      </c>
      <c r="AG49" s="37" t="str">
        <f>IF(AND('Riesgos de Gestión'!$AF$36="Muy Baja",'Riesgos de Gestión'!$AH$36="Mayor"),CONCATENATE("R4C",'Riesgos de Gestión'!$V$36),"")</f>
        <v/>
      </c>
      <c r="AH49" s="38" t="str">
        <f>IF(AND('Riesgos de Gestión'!$AF$31="Muy Baja",'Riesgos de Gestión'!$AH$31="Catastrófico"),CONCATENATE("R4C",'Riesgos de Gestión'!$V$31),"")</f>
        <v/>
      </c>
      <c r="AI49" s="39" t="str">
        <f>IF(AND('Riesgos de Gestión'!$AF$32="Muy Baja",'Riesgos de Gestión'!$AH$32="Catastrófico"),CONCATENATE("R4C",'Riesgos de Gestión'!$V$32),"")</f>
        <v/>
      </c>
      <c r="AJ49" s="39" t="str">
        <f>IF(AND('Riesgos de Gestión'!$AF$33="Muy Baja",'Riesgos de Gestión'!$AH$33="Catastrófico"),CONCATENATE("R4C",'Riesgos de Gestión'!$V$33),"")</f>
        <v/>
      </c>
      <c r="AK49" s="39" t="str">
        <f>IF(AND('Riesgos de Gestión'!$AF$34="Muy Baja",'Riesgos de Gestión'!$AH$34="Catastrófico"),CONCATENATE("R4C",'Riesgos de Gestión'!$V$34),"")</f>
        <v/>
      </c>
      <c r="AL49" s="39" t="str">
        <f>IF(AND('Riesgos de Gestión'!$AF$35="Muy Baja",'Riesgos de Gestión'!$AH$35="Catastrófico"),CONCATENATE("R4C",'Riesgos de Gestión'!$V$35),"")</f>
        <v/>
      </c>
      <c r="AM49" s="40" t="str">
        <f>IF(AND('Riesgos de Gestión'!$AF$36="Muy Baja",'Riesgos de Gestión'!$AH$36="Catastrófico"),CONCATENATE("R4C",'Riesgos de Gestión'!$V$36),"")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436"/>
      <c r="C50" s="436"/>
      <c r="D50" s="437"/>
      <c r="E50" s="477"/>
      <c r="F50" s="478"/>
      <c r="G50" s="478"/>
      <c r="H50" s="478"/>
      <c r="I50" s="479"/>
      <c r="J50" s="59" t="str">
        <f>IF(AND('Riesgos de Gestión'!$AF$37="Muy Baja",'Riesgos de Gestión'!$AH$37="Leve"),CONCATENATE("R5C",'Riesgos de Gestión'!$V$37),"")</f>
        <v/>
      </c>
      <c r="K50" s="60" t="str">
        <f>IF(AND('Riesgos de Gestión'!$AF$38="Muy Baja",'Riesgos de Gestión'!$AH$38="Leve"),CONCATENATE("R5C",'Riesgos de Gestión'!$V$38),"")</f>
        <v/>
      </c>
      <c r="L50" s="60" t="str">
        <f>IF(AND('Riesgos de Gestión'!$AF$39="Muy Baja",'Riesgos de Gestión'!$AH$39="Leve"),CONCATENATE("R5C",'Riesgos de Gestión'!$V$39),"")</f>
        <v/>
      </c>
      <c r="M50" s="60" t="str">
        <f>IF(AND('Riesgos de Gestión'!$AF$40="Muy Baja",'Riesgos de Gestión'!$AH$40="Leve"),CONCATENATE("R5C",'Riesgos de Gestión'!$V$40),"")</f>
        <v/>
      </c>
      <c r="N50" s="60" t="str">
        <f>IF(AND('Riesgos de Gestión'!$AF$41="Muy Baja",'Riesgos de Gestión'!$AH$41="Leve"),CONCATENATE("R5C",'Riesgos de Gestión'!$V$41),"")</f>
        <v/>
      </c>
      <c r="O50" s="61" t="str">
        <f>IF(AND('Riesgos de Gestión'!$AF$42="Muy Baja",'Riesgos de Gestión'!$AH$42="Leve"),CONCATENATE("R5C",'Riesgos de Gestión'!$V$42),"")</f>
        <v/>
      </c>
      <c r="P50" s="59" t="str">
        <f>IF(AND('Riesgos de Gestión'!$AF$37="Muy Baja",'Riesgos de Gestión'!$AH$37="Menor"),CONCATENATE("R5C",'Riesgos de Gestión'!$V$37),"")</f>
        <v/>
      </c>
      <c r="Q50" s="60" t="str">
        <f>IF(AND('Riesgos de Gestión'!$AF$38="Muy Baja",'Riesgos de Gestión'!$AH$38="Menor"),CONCATENATE("R5C",'Riesgos de Gestión'!$V$38),"")</f>
        <v/>
      </c>
      <c r="R50" s="60" t="str">
        <f>IF(AND('Riesgos de Gestión'!$AF$39="Muy Baja",'Riesgos de Gestión'!$AH$39="Menor"),CONCATENATE("R5C",'Riesgos de Gestión'!$V$39),"")</f>
        <v/>
      </c>
      <c r="S50" s="60" t="str">
        <f>IF(AND('Riesgos de Gestión'!$AF$40="Muy Baja",'Riesgos de Gestión'!$AH$40="Menor"),CONCATENATE("R5C",'Riesgos de Gestión'!$V$40),"")</f>
        <v/>
      </c>
      <c r="T50" s="60" t="str">
        <f>IF(AND('Riesgos de Gestión'!$AF$41="Muy Baja",'Riesgos de Gestión'!$AH$41="Menor"),CONCATENATE("R5C",'Riesgos de Gestión'!$V$41),"")</f>
        <v/>
      </c>
      <c r="U50" s="61" t="str">
        <f>IF(AND('Riesgos de Gestión'!$AF$42="Muy Baja",'Riesgos de Gestión'!$AH$42="Menor"),CONCATENATE("R5C",'Riesgos de Gestión'!$V$42),"")</f>
        <v/>
      </c>
      <c r="V50" s="50" t="str">
        <f>IF(AND('Riesgos de Gestión'!$AF$37="Muy Baja",'Riesgos de Gestión'!$AH$37="Moderado"),CONCATENATE("R5C",'Riesgos de Gestión'!$V$37),"")</f>
        <v/>
      </c>
      <c r="W50" s="51" t="str">
        <f>IF(AND('Riesgos de Gestión'!$AF$38="Muy Baja",'Riesgos de Gestión'!$AH$38="Moderado"),CONCATENATE("R5C",'Riesgos de Gestión'!$V$38),"")</f>
        <v/>
      </c>
      <c r="X50" s="51" t="str">
        <f>IF(AND('Riesgos de Gestión'!$AF$39="Muy Baja",'Riesgos de Gestión'!$AH$39="Moderado"),CONCATENATE("R5C",'Riesgos de Gestión'!$V$39),"")</f>
        <v/>
      </c>
      <c r="Y50" s="51" t="str">
        <f>IF(AND('Riesgos de Gestión'!$AF$40="Muy Baja",'Riesgos de Gestión'!$AH$40="Moderado"),CONCATENATE("R5C",'Riesgos de Gestión'!$V$40),"")</f>
        <v/>
      </c>
      <c r="Z50" s="51" t="str">
        <f>IF(AND('Riesgos de Gestión'!$AF$41="Muy Baja",'Riesgos de Gestión'!$AH$41="Moderado"),CONCATENATE("R5C",'Riesgos de Gestión'!$V$41),"")</f>
        <v/>
      </c>
      <c r="AA50" s="52" t="str">
        <f>IF(AND('Riesgos de Gestión'!$AF$42="Muy Baja",'Riesgos de Gestión'!$AH$42="Moderado"),CONCATENATE("R5C",'Riesgos de Gestión'!$V$42),"")</f>
        <v/>
      </c>
      <c r="AB50" s="35" t="str">
        <f>IF(AND('Riesgos de Gestión'!$AF$37="Muy Baja",'Riesgos de Gestión'!$AH$37="Mayor"),CONCATENATE("R5C",'Riesgos de Gestión'!$V$37),"")</f>
        <v/>
      </c>
      <c r="AC50" s="36" t="str">
        <f>IF(AND('Riesgos de Gestión'!$AF$38="Muy Baja",'Riesgos de Gestión'!$AH$38="Mayor"),CONCATENATE("R5C",'Riesgos de Gestión'!$V$38),"")</f>
        <v/>
      </c>
      <c r="AD50" s="36" t="str">
        <f>IF(AND('Riesgos de Gestión'!$AF$39="Muy Baja",'Riesgos de Gestión'!$AH$39="Mayor"),CONCATENATE("R5C",'Riesgos de Gestión'!$V$39),"")</f>
        <v/>
      </c>
      <c r="AE50" s="36" t="str">
        <f>IF(AND('Riesgos de Gestión'!$AF$40="Muy Baja",'Riesgos de Gestión'!$AH$40="Mayor"),CONCATENATE("R5C",'Riesgos de Gestión'!$V$40),"")</f>
        <v/>
      </c>
      <c r="AF50" s="36" t="str">
        <f>IF(AND('Riesgos de Gestión'!$AF$41="Muy Baja",'Riesgos de Gestión'!$AH$41="Mayor"),CONCATENATE("R5C",'Riesgos de Gestión'!$V$41),"")</f>
        <v/>
      </c>
      <c r="AG50" s="37" t="str">
        <f>IF(AND('Riesgos de Gestión'!$AF$42="Muy Baja",'Riesgos de Gestión'!$AH$42="Mayor"),CONCATENATE("R5C",'Riesgos de Gestión'!$V$42),"")</f>
        <v/>
      </c>
      <c r="AH50" s="38" t="str">
        <f>IF(AND('Riesgos de Gestión'!$AF$37="Muy Baja",'Riesgos de Gestión'!$AH$37="Catastrófico"),CONCATENATE("R5C",'Riesgos de Gestión'!$V$37),"")</f>
        <v/>
      </c>
      <c r="AI50" s="39" t="str">
        <f>IF(AND('Riesgos de Gestión'!$AF$38="Muy Baja",'Riesgos de Gestión'!$AH$38="Catastrófico"),CONCATENATE("R5C",'Riesgos de Gestión'!$V$38),"")</f>
        <v/>
      </c>
      <c r="AJ50" s="39" t="str">
        <f>IF(AND('Riesgos de Gestión'!$AF$39="Muy Baja",'Riesgos de Gestión'!$AH$39="Catastrófico"),CONCATENATE("R5C",'Riesgos de Gestión'!$V$39),"")</f>
        <v/>
      </c>
      <c r="AK50" s="39" t="str">
        <f>IF(AND('Riesgos de Gestión'!$AF$40="Muy Baja",'Riesgos de Gestión'!$AH$40="Catastrófico"),CONCATENATE("R5C",'Riesgos de Gestión'!$V$40),"")</f>
        <v/>
      </c>
      <c r="AL50" s="39" t="str">
        <f>IF(AND('Riesgos de Gestión'!$AF$41="Muy Baja",'Riesgos de Gestión'!$AH$41="Catastrófico"),CONCATENATE("R5C",'Riesgos de Gestión'!$V$41),"")</f>
        <v/>
      </c>
      <c r="AM50" s="40" t="str">
        <f>IF(AND('Riesgos de Gestión'!$AF$42="Muy Baja",'Riesgos de Gestión'!$AH$42="Catastrófico"),CONCATENATE("R5C",'Riesgos de Gestión'!$V$42),"")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436"/>
      <c r="C51" s="436"/>
      <c r="D51" s="437"/>
      <c r="E51" s="477"/>
      <c r="F51" s="478"/>
      <c r="G51" s="478"/>
      <c r="H51" s="478"/>
      <c r="I51" s="479"/>
      <c r="J51" s="59" t="str">
        <f>IF(AND('Riesgos de Gestión'!$AF$43="Muy Baja",'Riesgos de Gestión'!$AH$43="Leve"),CONCATENATE("R6C",'Riesgos de Gestión'!$V$43),"")</f>
        <v/>
      </c>
      <c r="K51" s="60" t="str">
        <f>IF(AND('Riesgos de Gestión'!$AF$44="Muy Baja",'Riesgos de Gestión'!$AH$44="Leve"),CONCATENATE("R6C",'Riesgos de Gestión'!$V$44),"")</f>
        <v/>
      </c>
      <c r="L51" s="60" t="str">
        <f>IF(AND('Riesgos de Gestión'!$AF$45="Muy Baja",'Riesgos de Gestión'!$AH$45="Leve"),CONCATENATE("R6C",'Riesgos de Gestión'!$V$45),"")</f>
        <v/>
      </c>
      <c r="M51" s="60" t="str">
        <f>IF(AND('Riesgos de Gestión'!$AF$46="Muy Baja",'Riesgos de Gestión'!$AH$46="Leve"),CONCATENATE("R6C",'Riesgos de Gestión'!$V$46),"")</f>
        <v/>
      </c>
      <c r="N51" s="60" t="str">
        <f>IF(AND('Riesgos de Gestión'!$AF$47="Muy Baja",'Riesgos de Gestión'!$AH$47="Leve"),CONCATENATE("R6C",'Riesgos de Gestión'!$V$47),"")</f>
        <v/>
      </c>
      <c r="O51" s="61" t="str">
        <f>IF(AND('Riesgos de Gestión'!$AF$48="Muy Baja",'Riesgos de Gestión'!$AH$48="Leve"),CONCATENATE("R6C",'Riesgos de Gestión'!$V$48),"")</f>
        <v/>
      </c>
      <c r="P51" s="59" t="str">
        <f>IF(AND('Riesgos de Gestión'!$AF$43="Muy Baja",'Riesgos de Gestión'!$AH$43="Menor"),CONCATENATE("R6C",'Riesgos de Gestión'!$V$43),"")</f>
        <v/>
      </c>
      <c r="Q51" s="60" t="str">
        <f>IF(AND('Riesgos de Gestión'!$AF$44="Muy Baja",'Riesgos de Gestión'!$AH$44="Menor"),CONCATENATE("R6C",'Riesgos de Gestión'!$V$44),"")</f>
        <v/>
      </c>
      <c r="R51" s="60" t="str">
        <f>IF(AND('Riesgos de Gestión'!$AF$45="Muy Baja",'Riesgos de Gestión'!$AH$45="Menor"),CONCATENATE("R6C",'Riesgos de Gestión'!$V$45),"")</f>
        <v/>
      </c>
      <c r="S51" s="60" t="str">
        <f>IF(AND('Riesgos de Gestión'!$AF$46="Muy Baja",'Riesgos de Gestión'!$AH$46="Menor"),CONCATENATE("R6C",'Riesgos de Gestión'!$V$46),"")</f>
        <v/>
      </c>
      <c r="T51" s="60" t="str">
        <f>IF(AND('Riesgos de Gestión'!$AF$47="Muy Baja",'Riesgos de Gestión'!$AH$47="Menor"),CONCATENATE("R6C",'Riesgos de Gestión'!$V$47),"")</f>
        <v/>
      </c>
      <c r="U51" s="61" t="str">
        <f>IF(AND('Riesgos de Gestión'!$AF$48="Muy Baja",'Riesgos de Gestión'!$AH$48="Menor"),CONCATENATE("R6C",'Riesgos de Gestión'!$V$48),"")</f>
        <v/>
      </c>
      <c r="V51" s="50" t="str">
        <f>IF(AND('Riesgos de Gestión'!$AF$43="Muy Baja",'Riesgos de Gestión'!$AH$43="Moderado"),CONCATENATE("R6C",'Riesgos de Gestión'!$V$43),"")</f>
        <v/>
      </c>
      <c r="W51" s="51" t="str">
        <f>IF(AND('Riesgos de Gestión'!$AF$44="Muy Baja",'Riesgos de Gestión'!$AH$44="Moderado"),CONCATENATE("R6C",'Riesgos de Gestión'!$V$44),"")</f>
        <v/>
      </c>
      <c r="X51" s="51" t="str">
        <f>IF(AND('Riesgos de Gestión'!$AF$45="Muy Baja",'Riesgos de Gestión'!$AH$45="Moderado"),CONCATENATE("R6C",'Riesgos de Gestión'!$V$45),"")</f>
        <v/>
      </c>
      <c r="Y51" s="51" t="str">
        <f>IF(AND('Riesgos de Gestión'!$AF$46="Muy Baja",'Riesgos de Gestión'!$AH$46="Moderado"),CONCATENATE("R6C",'Riesgos de Gestión'!$V$46),"")</f>
        <v/>
      </c>
      <c r="Z51" s="51" t="str">
        <f>IF(AND('Riesgos de Gestión'!$AF$47="Muy Baja",'Riesgos de Gestión'!$AH$47="Moderado"),CONCATENATE("R6C",'Riesgos de Gestión'!$V$47),"")</f>
        <v/>
      </c>
      <c r="AA51" s="52" t="str">
        <f>IF(AND('Riesgos de Gestión'!$AF$48="Muy Baja",'Riesgos de Gestión'!$AH$48="Moderado"),CONCATENATE("R6C",'Riesgos de Gestión'!$V$48),"")</f>
        <v/>
      </c>
      <c r="AB51" s="35" t="str">
        <f>IF(AND('Riesgos de Gestión'!$AF$43="Muy Baja",'Riesgos de Gestión'!$AH$43="Mayor"),CONCATENATE("R6C",'Riesgos de Gestión'!$V$43),"")</f>
        <v/>
      </c>
      <c r="AC51" s="36" t="str">
        <f>IF(AND('Riesgos de Gestión'!$AF$44="Muy Baja",'Riesgos de Gestión'!$AH$44="Mayor"),CONCATENATE("R6C",'Riesgos de Gestión'!$V$44),"")</f>
        <v/>
      </c>
      <c r="AD51" s="36" t="str">
        <f>IF(AND('Riesgos de Gestión'!$AF$45="Muy Baja",'Riesgos de Gestión'!$AH$45="Mayor"),CONCATENATE("R6C",'Riesgos de Gestión'!$V$45),"")</f>
        <v/>
      </c>
      <c r="AE51" s="36" t="str">
        <f>IF(AND('Riesgos de Gestión'!$AF$46="Muy Baja",'Riesgos de Gestión'!$AH$46="Mayor"),CONCATENATE("R6C",'Riesgos de Gestión'!$V$46),"")</f>
        <v/>
      </c>
      <c r="AF51" s="36" t="str">
        <f>IF(AND('Riesgos de Gestión'!$AF$47="Muy Baja",'Riesgos de Gestión'!$AH$47="Mayor"),CONCATENATE("R6C",'Riesgos de Gestión'!$V$47),"")</f>
        <v/>
      </c>
      <c r="AG51" s="37" t="str">
        <f>IF(AND('Riesgos de Gestión'!$AF$48="Muy Baja",'Riesgos de Gestión'!$AH$48="Mayor"),CONCATENATE("R6C",'Riesgos de Gestión'!$V$48),"")</f>
        <v/>
      </c>
      <c r="AH51" s="38" t="str">
        <f>IF(AND('Riesgos de Gestión'!$AF$43="Muy Baja",'Riesgos de Gestión'!$AH$43="Catastrófico"),CONCATENATE("R6C",'Riesgos de Gestión'!$V$43),"")</f>
        <v/>
      </c>
      <c r="AI51" s="39" t="str">
        <f>IF(AND('Riesgos de Gestión'!$AF$44="Muy Baja",'Riesgos de Gestión'!$AH$44="Catastrófico"),CONCATENATE("R6C",'Riesgos de Gestión'!$V$44),"")</f>
        <v/>
      </c>
      <c r="AJ51" s="39" t="str">
        <f>IF(AND('Riesgos de Gestión'!$AF$45="Muy Baja",'Riesgos de Gestión'!$AH$45="Catastrófico"),CONCATENATE("R6C",'Riesgos de Gestión'!$V$45),"")</f>
        <v/>
      </c>
      <c r="AK51" s="39" t="str">
        <f>IF(AND('Riesgos de Gestión'!$AF$46="Muy Baja",'Riesgos de Gestión'!$AH$46="Catastrófico"),CONCATENATE("R6C",'Riesgos de Gestión'!$V$46),"")</f>
        <v/>
      </c>
      <c r="AL51" s="39" t="str">
        <f>IF(AND('Riesgos de Gestión'!$AF$47="Muy Baja",'Riesgos de Gestión'!$AH$47="Catastrófico"),CONCATENATE("R6C",'Riesgos de Gestión'!$V$47),"")</f>
        <v/>
      </c>
      <c r="AM51" s="40" t="str">
        <f>IF(AND('Riesgos de Gestión'!$AF$48="Muy Baja",'Riesgos de Gestión'!$AH$48="Catastrófico"),CONCATENATE("R6C",'Riesgos de Gestión'!$V$48),"")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436"/>
      <c r="C52" s="436"/>
      <c r="D52" s="437"/>
      <c r="E52" s="477"/>
      <c r="F52" s="478"/>
      <c r="G52" s="478"/>
      <c r="H52" s="478"/>
      <c r="I52" s="479"/>
      <c r="J52" s="59" t="str">
        <f>IF(AND('Riesgos de Gestión'!$AF$49="Muy Baja",'Riesgos de Gestión'!$AH$49="Leve"),CONCATENATE("R7C",'Riesgos de Gestión'!$V$49),"")</f>
        <v/>
      </c>
      <c r="K52" s="60" t="str">
        <f>IF(AND('Riesgos de Gestión'!$AF$50="Muy Baja",'Riesgos de Gestión'!$AH$50="Leve"),CONCATENATE("R7C",'Riesgos de Gestión'!$V$50),"")</f>
        <v/>
      </c>
      <c r="L52" s="60" t="str">
        <f>IF(AND('Riesgos de Gestión'!$AF$51="Muy Baja",'Riesgos de Gestión'!$AH$51="Leve"),CONCATENATE("R7C",'Riesgos de Gestión'!$V$51),"")</f>
        <v/>
      </c>
      <c r="M52" s="60" t="str">
        <f>IF(AND('Riesgos de Gestión'!$AF$52="Muy Baja",'Riesgos de Gestión'!$AH$52="Leve"),CONCATENATE("R7C",'Riesgos de Gestión'!$V$52),"")</f>
        <v/>
      </c>
      <c r="N52" s="60" t="str">
        <f>IF(AND('Riesgos de Gestión'!$AF$53="Muy Baja",'Riesgos de Gestión'!$AH$53="Leve"),CONCATENATE("R7C",'Riesgos de Gestión'!$V$53),"")</f>
        <v/>
      </c>
      <c r="O52" s="61" t="str">
        <f>IF(AND('Riesgos de Gestión'!$AF$54="Muy Baja",'Riesgos de Gestión'!$AH$54="Leve"),CONCATENATE("R7C",'Riesgos de Gestión'!$V$54),"")</f>
        <v/>
      </c>
      <c r="P52" s="59" t="str">
        <f>IF(AND('Riesgos de Gestión'!$AF$49="Muy Baja",'Riesgos de Gestión'!$AH$49="Menor"),CONCATENATE("R7C",'Riesgos de Gestión'!$V$49),"")</f>
        <v/>
      </c>
      <c r="Q52" s="60" t="str">
        <f>IF(AND('Riesgos de Gestión'!$AF$50="Muy Baja",'Riesgos de Gestión'!$AH$50="Menor"),CONCATENATE("R7C",'Riesgos de Gestión'!$V$50),"")</f>
        <v/>
      </c>
      <c r="R52" s="60" t="str">
        <f>IF(AND('Riesgos de Gestión'!$AF$51="Muy Baja",'Riesgos de Gestión'!$AH$51="Menor"),CONCATENATE("R7C",'Riesgos de Gestión'!$V$51),"")</f>
        <v/>
      </c>
      <c r="S52" s="60" t="str">
        <f>IF(AND('Riesgos de Gestión'!$AF$52="Muy Baja",'Riesgos de Gestión'!$AH$52="Menor"),CONCATENATE("R7C",'Riesgos de Gestión'!$V$52),"")</f>
        <v/>
      </c>
      <c r="T52" s="60" t="str">
        <f>IF(AND('Riesgos de Gestión'!$AF$53="Muy Baja",'Riesgos de Gestión'!$AH$53="Menor"),CONCATENATE("R7C",'Riesgos de Gestión'!$V$53),"")</f>
        <v/>
      </c>
      <c r="U52" s="61" t="str">
        <f>IF(AND('Riesgos de Gestión'!$AF$54="Muy Baja",'Riesgos de Gestión'!$AH$54="Menor"),CONCATENATE("R7C",'Riesgos de Gestión'!$V$54),"")</f>
        <v/>
      </c>
      <c r="V52" s="50" t="str">
        <f>IF(AND('Riesgos de Gestión'!$AF$49="Muy Baja",'Riesgos de Gestión'!$AH$49="Moderado"),CONCATENATE("R7C",'Riesgos de Gestión'!$V$49),"")</f>
        <v/>
      </c>
      <c r="W52" s="51" t="str">
        <f>IF(AND('Riesgos de Gestión'!$AF$50="Muy Baja",'Riesgos de Gestión'!$AH$50="Moderado"),CONCATENATE("R7C",'Riesgos de Gestión'!$V$50),"")</f>
        <v/>
      </c>
      <c r="X52" s="51" t="str">
        <f>IF(AND('Riesgos de Gestión'!$AF$51="Muy Baja",'Riesgos de Gestión'!$AH$51="Moderado"),CONCATENATE("R7C",'Riesgos de Gestión'!$V$51),"")</f>
        <v/>
      </c>
      <c r="Y52" s="51" t="str">
        <f>IF(AND('Riesgos de Gestión'!$AF$52="Muy Baja",'Riesgos de Gestión'!$AH$52="Moderado"),CONCATENATE("R7C",'Riesgos de Gestión'!$V$52),"")</f>
        <v/>
      </c>
      <c r="Z52" s="51" t="str">
        <f>IF(AND('Riesgos de Gestión'!$AF$53="Muy Baja",'Riesgos de Gestión'!$AH$53="Moderado"),CONCATENATE("R7C",'Riesgos de Gestión'!$V$53),"")</f>
        <v/>
      </c>
      <c r="AA52" s="52" t="str">
        <f>IF(AND('Riesgos de Gestión'!$AF$54="Muy Baja",'Riesgos de Gestión'!$AH$54="Moderado"),CONCATENATE("R7C",'Riesgos de Gestión'!$V$54),"")</f>
        <v/>
      </c>
      <c r="AB52" s="35" t="str">
        <f>IF(AND('Riesgos de Gestión'!$AF$49="Muy Baja",'Riesgos de Gestión'!$AH$49="Mayor"),CONCATENATE("R7C",'Riesgos de Gestión'!$V$49),"")</f>
        <v/>
      </c>
      <c r="AC52" s="36" t="str">
        <f>IF(AND('Riesgos de Gestión'!$AF$50="Muy Baja",'Riesgos de Gestión'!$AH$50="Mayor"),CONCATENATE("R7C",'Riesgos de Gestión'!$V$50),"")</f>
        <v/>
      </c>
      <c r="AD52" s="36" t="str">
        <f>IF(AND('Riesgos de Gestión'!$AF$51="Muy Baja",'Riesgos de Gestión'!$AH$51="Mayor"),CONCATENATE("R7C",'Riesgos de Gestión'!$V$51),"")</f>
        <v/>
      </c>
      <c r="AE52" s="36" t="str">
        <f>IF(AND('Riesgos de Gestión'!$AF$52="Muy Baja",'Riesgos de Gestión'!$AH$52="Mayor"),CONCATENATE("R7C",'Riesgos de Gestión'!$V$52),"")</f>
        <v/>
      </c>
      <c r="AF52" s="36" t="str">
        <f>IF(AND('Riesgos de Gestión'!$AF$53="Muy Baja",'Riesgos de Gestión'!$AH$53="Mayor"),CONCATENATE("R7C",'Riesgos de Gestión'!$V$53),"")</f>
        <v/>
      </c>
      <c r="AG52" s="37" t="str">
        <f>IF(AND('Riesgos de Gestión'!$AF$54="Muy Baja",'Riesgos de Gestión'!$AH$54="Mayor"),CONCATENATE("R7C",'Riesgos de Gestión'!$V$54),"")</f>
        <v/>
      </c>
      <c r="AH52" s="38" t="str">
        <f>IF(AND('Riesgos de Gestión'!$AF$49="Muy Baja",'Riesgos de Gestión'!$AH$49="Catastrófico"),CONCATENATE("R7C",'Riesgos de Gestión'!$V$49),"")</f>
        <v/>
      </c>
      <c r="AI52" s="39" t="str">
        <f>IF(AND('Riesgos de Gestión'!$AF$50="Muy Baja",'Riesgos de Gestión'!$AH$50="Catastrófico"),CONCATENATE("R7C",'Riesgos de Gestión'!$V$50),"")</f>
        <v/>
      </c>
      <c r="AJ52" s="39" t="str">
        <f>IF(AND('Riesgos de Gestión'!$AF$51="Muy Baja",'Riesgos de Gestión'!$AH$51="Catastrófico"),CONCATENATE("R7C",'Riesgos de Gestión'!$V$51),"")</f>
        <v/>
      </c>
      <c r="AK52" s="39" t="str">
        <f>IF(AND('Riesgos de Gestión'!$AF$52="Muy Baja",'Riesgos de Gestión'!$AH$52="Catastrófico"),CONCATENATE("R7C",'Riesgos de Gestión'!$V$52),"")</f>
        <v/>
      </c>
      <c r="AL52" s="39" t="str">
        <f>IF(AND('Riesgos de Gestión'!$AF$53="Muy Baja",'Riesgos de Gestión'!$AH$53="Catastrófico"),CONCATENATE("R7C",'Riesgos de Gestión'!$V$53),"")</f>
        <v/>
      </c>
      <c r="AM52" s="40" t="str">
        <f>IF(AND('Riesgos de Gestión'!$AF$54="Muy Baja",'Riesgos de Gestión'!$AH$54="Catastrófico"),CONCATENATE("R7C",'Riesgos de Gestión'!$V$54),"")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436"/>
      <c r="C53" s="436"/>
      <c r="D53" s="437"/>
      <c r="E53" s="477"/>
      <c r="F53" s="478"/>
      <c r="G53" s="478"/>
      <c r="H53" s="478"/>
      <c r="I53" s="479"/>
      <c r="J53" s="59" t="str">
        <f>IF(AND('Riesgos de Gestión'!$AF$55="Muy Baja",'Riesgos de Gestión'!$AH$55="Leve"),CONCATENATE("R8C",'Riesgos de Gestión'!$V$55),"")</f>
        <v/>
      </c>
      <c r="K53" s="60" t="str">
        <f>IF(AND('Riesgos de Gestión'!$AF$56="Muy Baja",'Riesgos de Gestión'!$AH$56="Leve"),CONCATENATE("R8C",'Riesgos de Gestión'!$V$56),"")</f>
        <v/>
      </c>
      <c r="L53" s="60" t="str">
        <f>IF(AND('Riesgos de Gestión'!$AF$57="Muy Baja",'Riesgos de Gestión'!$AH$57="Leve"),CONCATENATE("R8C",'Riesgos de Gestión'!$V$57),"")</f>
        <v/>
      </c>
      <c r="M53" s="60" t="str">
        <f>IF(AND('Riesgos de Gestión'!$AF$58="Muy Baja",'Riesgos de Gestión'!$AH$58="Leve"),CONCATENATE("R8C",'Riesgos de Gestión'!$V$58),"")</f>
        <v/>
      </c>
      <c r="N53" s="60" t="str">
        <f>IF(AND('Riesgos de Gestión'!$AF$59="Muy Baja",'Riesgos de Gestión'!$AH$59="Leve"),CONCATENATE("R8C",'Riesgos de Gestión'!$V$59),"")</f>
        <v/>
      </c>
      <c r="O53" s="61" t="str">
        <f>IF(AND('Riesgos de Gestión'!$AF$60="Muy Baja",'Riesgos de Gestión'!$AH$60="Leve"),CONCATENATE("R8C",'Riesgos de Gestión'!$V$60),"")</f>
        <v/>
      </c>
      <c r="P53" s="59" t="str">
        <f>IF(AND('Riesgos de Gestión'!$AF$55="Muy Baja",'Riesgos de Gestión'!$AH$55="Menor"),CONCATENATE("R8C",'Riesgos de Gestión'!$V$55),"")</f>
        <v/>
      </c>
      <c r="Q53" s="60" t="str">
        <f>IF(AND('Riesgos de Gestión'!$AF$56="Muy Baja",'Riesgos de Gestión'!$AH$56="Menor"),CONCATENATE("R8C",'Riesgos de Gestión'!$V$56),"")</f>
        <v/>
      </c>
      <c r="R53" s="60" t="str">
        <f>IF(AND('Riesgos de Gestión'!$AF$57="Muy Baja",'Riesgos de Gestión'!$AH$57="Menor"),CONCATENATE("R8C",'Riesgos de Gestión'!$V$57),"")</f>
        <v/>
      </c>
      <c r="S53" s="60" t="str">
        <f>IF(AND('Riesgos de Gestión'!$AF$58="Muy Baja",'Riesgos de Gestión'!$AH$58="Menor"),CONCATENATE("R8C",'Riesgos de Gestión'!$V$58),"")</f>
        <v/>
      </c>
      <c r="T53" s="60" t="str">
        <f>IF(AND('Riesgos de Gestión'!$AF$59="Muy Baja",'Riesgos de Gestión'!$AH$59="Menor"),CONCATENATE("R8C",'Riesgos de Gestión'!$V$59),"")</f>
        <v/>
      </c>
      <c r="U53" s="61" t="str">
        <f>IF(AND('Riesgos de Gestión'!$AF$60="Muy Baja",'Riesgos de Gestión'!$AH$60="Menor"),CONCATENATE("R8C",'Riesgos de Gestión'!$V$60),"")</f>
        <v/>
      </c>
      <c r="V53" s="50" t="str">
        <f>IF(AND('Riesgos de Gestión'!$AF$55="Muy Baja",'Riesgos de Gestión'!$AH$55="Moderado"),CONCATENATE("R8C",'Riesgos de Gestión'!$V$55),"")</f>
        <v/>
      </c>
      <c r="W53" s="51" t="str">
        <f>IF(AND('Riesgos de Gestión'!$AF$56="Muy Baja",'Riesgos de Gestión'!$AH$56="Moderado"),CONCATENATE("R8C",'Riesgos de Gestión'!$V$56),"")</f>
        <v/>
      </c>
      <c r="X53" s="51" t="str">
        <f>IF(AND('Riesgos de Gestión'!$AF$57="Muy Baja",'Riesgos de Gestión'!$AH$57="Moderado"),CONCATENATE("R8C",'Riesgos de Gestión'!$V$57),"")</f>
        <v/>
      </c>
      <c r="Y53" s="51" t="str">
        <f>IF(AND('Riesgos de Gestión'!$AF$58="Muy Baja",'Riesgos de Gestión'!$AH$58="Moderado"),CONCATENATE("R8C",'Riesgos de Gestión'!$V$58),"")</f>
        <v/>
      </c>
      <c r="Z53" s="51" t="str">
        <f>IF(AND('Riesgos de Gestión'!$AF$59="Muy Baja",'Riesgos de Gestión'!$AH$59="Moderado"),CONCATENATE("R8C",'Riesgos de Gestión'!$V$59),"")</f>
        <v/>
      </c>
      <c r="AA53" s="52" t="str">
        <f>IF(AND('Riesgos de Gestión'!$AF$60="Muy Baja",'Riesgos de Gestión'!$AH$60="Moderado"),CONCATENATE("R8C",'Riesgos de Gestión'!$V$60),"")</f>
        <v/>
      </c>
      <c r="AB53" s="35" t="str">
        <f>IF(AND('Riesgos de Gestión'!$AF$55="Muy Baja",'Riesgos de Gestión'!$AH$55="Mayor"),CONCATENATE("R8C",'Riesgos de Gestión'!$V$55),"")</f>
        <v/>
      </c>
      <c r="AC53" s="36" t="str">
        <f>IF(AND('Riesgos de Gestión'!$AF$56="Muy Baja",'Riesgos de Gestión'!$AH$56="Mayor"),CONCATENATE("R8C",'Riesgos de Gestión'!$V$56),"")</f>
        <v/>
      </c>
      <c r="AD53" s="36" t="str">
        <f>IF(AND('Riesgos de Gestión'!$AF$57="Muy Baja",'Riesgos de Gestión'!$AH$57="Mayor"),CONCATENATE("R8C",'Riesgos de Gestión'!$V$57),"")</f>
        <v/>
      </c>
      <c r="AE53" s="36" t="str">
        <f>IF(AND('Riesgos de Gestión'!$AF$58="Muy Baja",'Riesgos de Gestión'!$AH$58="Mayor"),CONCATENATE("R8C",'Riesgos de Gestión'!$V$58),"")</f>
        <v/>
      </c>
      <c r="AF53" s="36" t="str">
        <f>IF(AND('Riesgos de Gestión'!$AF$59="Muy Baja",'Riesgos de Gestión'!$AH$59="Mayor"),CONCATENATE("R8C",'Riesgos de Gestión'!$V$59),"")</f>
        <v/>
      </c>
      <c r="AG53" s="37" t="str">
        <f>IF(AND('Riesgos de Gestión'!$AF$60="Muy Baja",'Riesgos de Gestión'!$AH$60="Mayor"),CONCATENATE("R8C",'Riesgos de Gestión'!$V$60),"")</f>
        <v/>
      </c>
      <c r="AH53" s="38" t="str">
        <f>IF(AND('Riesgos de Gestión'!$AF$55="Muy Baja",'Riesgos de Gestión'!$AH$55="Catastrófico"),CONCATENATE("R8C",'Riesgos de Gestión'!$V$55),"")</f>
        <v/>
      </c>
      <c r="AI53" s="39" t="str">
        <f>IF(AND('Riesgos de Gestión'!$AF$56="Muy Baja",'Riesgos de Gestión'!$AH$56="Catastrófico"),CONCATENATE("R8C",'Riesgos de Gestión'!$V$56),"")</f>
        <v/>
      </c>
      <c r="AJ53" s="39" t="str">
        <f>IF(AND('Riesgos de Gestión'!$AF$57="Muy Baja",'Riesgos de Gestión'!$AH$57="Catastrófico"),CONCATENATE("R8C",'Riesgos de Gestión'!$V$57),"")</f>
        <v/>
      </c>
      <c r="AK53" s="39" t="str">
        <f>IF(AND('Riesgos de Gestión'!$AF$58="Muy Baja",'Riesgos de Gestión'!$AH$58="Catastrófico"),CONCATENATE("R8C",'Riesgos de Gestión'!$V$58),"")</f>
        <v/>
      </c>
      <c r="AL53" s="39" t="str">
        <f>IF(AND('Riesgos de Gestión'!$AF$59="Muy Baja",'Riesgos de Gestión'!$AH$59="Catastrófico"),CONCATENATE("R8C",'Riesgos de Gestión'!$V$59),"")</f>
        <v/>
      </c>
      <c r="AM53" s="40" t="str">
        <f>IF(AND('Riesgos de Gestión'!$AF$60="Muy Baja",'Riesgos de Gestión'!$AH$60="Catastrófico"),CONCATENATE("R8C",'Riesgos de Gestión'!$V$60),"")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436"/>
      <c r="C54" s="436"/>
      <c r="D54" s="437"/>
      <c r="E54" s="477"/>
      <c r="F54" s="478"/>
      <c r="G54" s="478"/>
      <c r="H54" s="478"/>
      <c r="I54" s="479"/>
      <c r="J54" s="59" t="str">
        <f>IF(AND('Riesgos de Gestión'!$AF$61="Muy Baja",'Riesgos de Gestión'!$AH$61="Leve"),CONCATENATE("R9C",'Riesgos de Gestión'!$V$61),"")</f>
        <v/>
      </c>
      <c r="K54" s="60" t="str">
        <f>IF(AND('Riesgos de Gestión'!$AF$62="Muy Baja",'Riesgos de Gestión'!$AH$62="Leve"),CONCATENATE("R9C",'Riesgos de Gestión'!$V$62),"")</f>
        <v/>
      </c>
      <c r="L54" s="60" t="str">
        <f>IF(AND('Riesgos de Gestión'!$AF$63="Muy Baja",'Riesgos de Gestión'!$AH$63="Leve"),CONCATENATE("R9C",'Riesgos de Gestión'!$V$63),"")</f>
        <v/>
      </c>
      <c r="M54" s="60" t="str">
        <f>IF(AND('Riesgos de Gestión'!$AF$64="Muy Baja",'Riesgos de Gestión'!$AH$64="Leve"),CONCATENATE("R9C",'Riesgos de Gestión'!$V$64),"")</f>
        <v/>
      </c>
      <c r="N54" s="60" t="str">
        <f>IF(AND('Riesgos de Gestión'!$AF$65="Muy Baja",'Riesgos de Gestión'!$AH$65="Leve"),CONCATENATE("R9C",'Riesgos de Gestión'!$V$65),"")</f>
        <v/>
      </c>
      <c r="O54" s="61" t="str">
        <f>IF(AND('Riesgos de Gestión'!$AF$66="Muy Baja",'Riesgos de Gestión'!$AH$66="Leve"),CONCATENATE("R9C",'Riesgos de Gestión'!$V$66),"")</f>
        <v/>
      </c>
      <c r="P54" s="59" t="str">
        <f>IF(AND('Riesgos de Gestión'!$AF$61="Muy Baja",'Riesgos de Gestión'!$AH$61="Menor"),CONCATENATE("R9C",'Riesgos de Gestión'!$V$61),"")</f>
        <v/>
      </c>
      <c r="Q54" s="60" t="str">
        <f>IF(AND('Riesgos de Gestión'!$AF$62="Muy Baja",'Riesgos de Gestión'!$AH$62="Menor"),CONCATENATE("R9C",'Riesgos de Gestión'!$V$62),"")</f>
        <v/>
      </c>
      <c r="R54" s="60" t="str">
        <f>IF(AND('Riesgos de Gestión'!$AF$63="Muy Baja",'Riesgos de Gestión'!$AH$63="Menor"),CONCATENATE("R9C",'Riesgos de Gestión'!$V$63),"")</f>
        <v/>
      </c>
      <c r="S54" s="60" t="str">
        <f>IF(AND('Riesgos de Gestión'!$AF$64="Muy Baja",'Riesgos de Gestión'!$AH$64="Menor"),CONCATENATE("R9C",'Riesgos de Gestión'!$V$64),"")</f>
        <v/>
      </c>
      <c r="T54" s="60" t="str">
        <f>IF(AND('Riesgos de Gestión'!$AF$65="Muy Baja",'Riesgos de Gestión'!$AH$65="Menor"),CONCATENATE("R9C",'Riesgos de Gestión'!$V$65),"")</f>
        <v/>
      </c>
      <c r="U54" s="61" t="str">
        <f>IF(AND('Riesgos de Gestión'!$AF$66="Muy Baja",'Riesgos de Gestión'!$AH$66="Menor"),CONCATENATE("R9C",'Riesgos de Gestión'!$V$66),"")</f>
        <v/>
      </c>
      <c r="V54" s="50" t="str">
        <f>IF(AND('Riesgos de Gestión'!$AF$61="Muy Baja",'Riesgos de Gestión'!$AH$61="Moderado"),CONCATENATE("R9C",'Riesgos de Gestión'!$V$61),"")</f>
        <v/>
      </c>
      <c r="W54" s="51" t="str">
        <f>IF(AND('Riesgos de Gestión'!$AF$62="Muy Baja",'Riesgos de Gestión'!$AH$62="Moderado"),CONCATENATE("R9C",'Riesgos de Gestión'!$V$62),"")</f>
        <v/>
      </c>
      <c r="X54" s="51" t="str">
        <f>IF(AND('Riesgos de Gestión'!$AF$63="Muy Baja",'Riesgos de Gestión'!$AH$63="Moderado"),CONCATENATE("R9C",'Riesgos de Gestión'!$V$63),"")</f>
        <v/>
      </c>
      <c r="Y54" s="51" t="str">
        <f>IF(AND('Riesgos de Gestión'!$AF$64="Muy Baja",'Riesgos de Gestión'!$AH$64="Moderado"),CONCATENATE("R9C",'Riesgos de Gestión'!$V$64),"")</f>
        <v/>
      </c>
      <c r="Z54" s="51" t="str">
        <f>IF(AND('Riesgos de Gestión'!$AF$65="Muy Baja",'Riesgos de Gestión'!$AH$65="Moderado"),CONCATENATE("R9C",'Riesgos de Gestión'!$V$65),"")</f>
        <v/>
      </c>
      <c r="AA54" s="52" t="str">
        <f>IF(AND('Riesgos de Gestión'!$AF$66="Muy Baja",'Riesgos de Gestión'!$AH$66="Moderado"),CONCATENATE("R9C",'Riesgos de Gestión'!$V$66),"")</f>
        <v/>
      </c>
      <c r="AB54" s="35" t="str">
        <f>IF(AND('Riesgos de Gestión'!$AF$61="Muy Baja",'Riesgos de Gestión'!$AH$61="Mayor"),CONCATENATE("R9C",'Riesgos de Gestión'!$V$61),"")</f>
        <v/>
      </c>
      <c r="AC54" s="36" t="str">
        <f>IF(AND('Riesgos de Gestión'!$AF$62="Muy Baja",'Riesgos de Gestión'!$AH$62="Mayor"),CONCATENATE("R9C",'Riesgos de Gestión'!$V$62),"")</f>
        <v/>
      </c>
      <c r="AD54" s="36" t="str">
        <f>IF(AND('Riesgos de Gestión'!$AF$63="Muy Baja",'Riesgos de Gestión'!$AH$63="Mayor"),CONCATENATE("R9C",'Riesgos de Gestión'!$V$63),"")</f>
        <v/>
      </c>
      <c r="AE54" s="36" t="str">
        <f>IF(AND('Riesgos de Gestión'!$AF$64="Muy Baja",'Riesgos de Gestión'!$AH$64="Mayor"),CONCATENATE("R9C",'Riesgos de Gestión'!$V$64),"")</f>
        <v/>
      </c>
      <c r="AF54" s="36" t="str">
        <f>IF(AND('Riesgos de Gestión'!$AF$65="Muy Baja",'Riesgos de Gestión'!$AH$65="Mayor"),CONCATENATE("R9C",'Riesgos de Gestión'!$V$65),"")</f>
        <v/>
      </c>
      <c r="AG54" s="37" t="str">
        <f>IF(AND('Riesgos de Gestión'!$AF$66="Muy Baja",'Riesgos de Gestión'!$AH$66="Mayor"),CONCATENATE("R9C",'Riesgos de Gestión'!$V$66),"")</f>
        <v/>
      </c>
      <c r="AH54" s="38" t="str">
        <f>IF(AND('Riesgos de Gestión'!$AF$61="Muy Baja",'Riesgos de Gestión'!$AH$61="Catastrófico"),CONCATENATE("R9C",'Riesgos de Gestión'!$V$61),"")</f>
        <v/>
      </c>
      <c r="AI54" s="39" t="str">
        <f>IF(AND('Riesgos de Gestión'!$AF$62="Muy Baja",'Riesgos de Gestión'!$AH$62="Catastrófico"),CONCATENATE("R9C",'Riesgos de Gestión'!$V$62),"")</f>
        <v/>
      </c>
      <c r="AJ54" s="39" t="str">
        <f>IF(AND('Riesgos de Gestión'!$AF$63="Muy Baja",'Riesgos de Gestión'!$AH$63="Catastrófico"),CONCATENATE("R9C",'Riesgos de Gestión'!$V$63),"")</f>
        <v/>
      </c>
      <c r="AK54" s="39" t="str">
        <f>IF(AND('Riesgos de Gestión'!$AF$64="Muy Baja",'Riesgos de Gestión'!$AH$64="Catastrófico"),CONCATENATE("R9C",'Riesgos de Gestión'!$V$64),"")</f>
        <v/>
      </c>
      <c r="AL54" s="39" t="str">
        <f>IF(AND('Riesgos de Gestión'!$AF$65="Muy Baja",'Riesgos de Gestión'!$AH$65="Catastrófico"),CONCATENATE("R9C",'Riesgos de Gestión'!$V$65),"")</f>
        <v/>
      </c>
      <c r="AM54" s="40" t="str">
        <f>IF(AND('Riesgos de Gestión'!$AF$66="Muy Baja",'Riesgos de Gestión'!$AH$66="Catastrófico"),CONCATENATE("R9C",'Riesgos de Gestión'!$V$66),"")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436"/>
      <c r="C55" s="436"/>
      <c r="D55" s="437"/>
      <c r="E55" s="480"/>
      <c r="F55" s="481"/>
      <c r="G55" s="481"/>
      <c r="H55" s="481"/>
      <c r="I55" s="482"/>
      <c r="J55" s="62" t="str">
        <f>IF(AND('Riesgos de Gestión'!$AF$67="Muy Baja",'Riesgos de Gestión'!$AH$67="Leve"),CONCATENATE("R10C",'Riesgos de Gestión'!$V$67),"")</f>
        <v/>
      </c>
      <c r="K55" s="63" t="str">
        <f>IF(AND('Riesgos de Gestión'!$AF$68="Muy Baja",'Riesgos de Gestión'!$AH$68="Leve"),CONCATENATE("R10C",'Riesgos de Gestión'!$V$68),"")</f>
        <v/>
      </c>
      <c r="L55" s="63" t="str">
        <f>IF(AND('Riesgos de Gestión'!$AF$69="Muy Baja",'Riesgos de Gestión'!$AH$69="Leve"),CONCATENATE("R10C",'Riesgos de Gestión'!$V$69),"")</f>
        <v/>
      </c>
      <c r="M55" s="63" t="str">
        <f>IF(AND('Riesgos de Gestión'!$AF$70="Muy Baja",'Riesgos de Gestión'!$AH$70="Leve"),CONCATENATE("R10C",'Riesgos de Gestión'!$V$70),"")</f>
        <v/>
      </c>
      <c r="N55" s="63" t="str">
        <f>IF(AND('Riesgos de Gestión'!$AF$71="Muy Baja",'Riesgos de Gestión'!$AH$71="Leve"),CONCATENATE("R10C",'Riesgos de Gestión'!$V$71),"")</f>
        <v/>
      </c>
      <c r="O55" s="64" t="str">
        <f>IF(AND('Riesgos de Gestión'!$AF$72="Muy Baja",'Riesgos de Gestión'!$AH$72="Leve"),CONCATENATE("R10C",'Riesgos de Gestión'!$V$72),"")</f>
        <v/>
      </c>
      <c r="P55" s="62" t="str">
        <f>IF(AND('Riesgos de Gestión'!$AF$67="Muy Baja",'Riesgos de Gestión'!$AH$67="Menor"),CONCATENATE("R10C",'Riesgos de Gestión'!$V$67),"")</f>
        <v/>
      </c>
      <c r="Q55" s="63" t="str">
        <f>IF(AND('Riesgos de Gestión'!$AF$68="Muy Baja",'Riesgos de Gestión'!$AH$68="Menor"),CONCATENATE("R10C",'Riesgos de Gestión'!$V$68),"")</f>
        <v/>
      </c>
      <c r="R55" s="63" t="str">
        <f>IF(AND('Riesgos de Gestión'!$AF$69="Muy Baja",'Riesgos de Gestión'!$AH$69="Menor"),CONCATENATE("R10C",'Riesgos de Gestión'!$V$69),"")</f>
        <v/>
      </c>
      <c r="S55" s="63" t="str">
        <f>IF(AND('Riesgos de Gestión'!$AF$70="Muy Baja",'Riesgos de Gestión'!$AH$70="Menor"),CONCATENATE("R10C",'Riesgos de Gestión'!$V$70),"")</f>
        <v/>
      </c>
      <c r="T55" s="63" t="str">
        <f>IF(AND('Riesgos de Gestión'!$AF$71="Muy Baja",'Riesgos de Gestión'!$AH$71="Menor"),CONCATENATE("R10C",'Riesgos de Gestión'!$V$71),"")</f>
        <v/>
      </c>
      <c r="U55" s="64" t="str">
        <f>IF(AND('Riesgos de Gestión'!$AF$72="Muy Baja",'Riesgos de Gestión'!$AH$72="Menor"),CONCATENATE("R10C",'Riesgos de Gestión'!$V$72),"")</f>
        <v/>
      </c>
      <c r="V55" s="53" t="str">
        <f>IF(AND('Riesgos de Gestión'!$AF$67="Muy Baja",'Riesgos de Gestión'!$AH$67="Moderado"),CONCATENATE("R10C",'Riesgos de Gestión'!$V$67),"")</f>
        <v/>
      </c>
      <c r="W55" s="54" t="str">
        <f>IF(AND('Riesgos de Gestión'!$AF$68="Muy Baja",'Riesgos de Gestión'!$AH$68="Moderado"),CONCATENATE("R10C",'Riesgos de Gestión'!$V$68),"")</f>
        <v/>
      </c>
      <c r="X55" s="54" t="str">
        <f>IF(AND('Riesgos de Gestión'!$AF$69="Muy Baja",'Riesgos de Gestión'!$AH$69="Moderado"),CONCATENATE("R10C",'Riesgos de Gestión'!$V$69),"")</f>
        <v/>
      </c>
      <c r="Y55" s="54" t="str">
        <f>IF(AND('Riesgos de Gestión'!$AF$70="Muy Baja",'Riesgos de Gestión'!$AH$70="Moderado"),CONCATENATE("R10C",'Riesgos de Gestión'!$V$70),"")</f>
        <v/>
      </c>
      <c r="Z55" s="54" t="str">
        <f>IF(AND('Riesgos de Gestión'!$AF$71="Muy Baja",'Riesgos de Gestión'!$AH$71="Moderado"),CONCATENATE("R10C",'Riesgos de Gestión'!$V$71),"")</f>
        <v/>
      </c>
      <c r="AA55" s="55" t="str">
        <f>IF(AND('Riesgos de Gestión'!$AF$72="Muy Baja",'Riesgos de Gestión'!$AH$72="Moderado"),CONCATENATE("R10C",'Riesgos de Gestión'!$V$72),"")</f>
        <v/>
      </c>
      <c r="AB55" s="41" t="str">
        <f>IF(AND('Riesgos de Gestión'!$AF$67="Muy Baja",'Riesgos de Gestión'!$AH$67="Mayor"),CONCATENATE("R10C",'Riesgos de Gestión'!$V$67),"")</f>
        <v/>
      </c>
      <c r="AC55" s="42" t="str">
        <f>IF(AND('Riesgos de Gestión'!$AF$68="Muy Baja",'Riesgos de Gestión'!$AH$68="Mayor"),CONCATENATE("R10C",'Riesgos de Gestión'!$V$68),"")</f>
        <v/>
      </c>
      <c r="AD55" s="42" t="str">
        <f>IF(AND('Riesgos de Gestión'!$AF$69="Muy Baja",'Riesgos de Gestión'!$AH$69="Mayor"),CONCATENATE("R10C",'Riesgos de Gestión'!$V$69),"")</f>
        <v/>
      </c>
      <c r="AE55" s="42" t="str">
        <f>IF(AND('Riesgos de Gestión'!$AF$70="Muy Baja",'Riesgos de Gestión'!$AH$70="Mayor"),CONCATENATE("R10C",'Riesgos de Gestión'!$V$70),"")</f>
        <v/>
      </c>
      <c r="AF55" s="42" t="str">
        <f>IF(AND('Riesgos de Gestión'!$AF$71="Muy Baja",'Riesgos de Gestión'!$AH$71="Mayor"),CONCATENATE("R10C",'Riesgos de Gestión'!$V$71),"")</f>
        <v/>
      </c>
      <c r="AG55" s="43" t="str">
        <f>IF(AND('Riesgos de Gestión'!$AF$72="Muy Baja",'Riesgos de Gestión'!$AH$72="Mayor"),CONCATENATE("R10C",'Riesgos de Gestión'!$V$72),"")</f>
        <v/>
      </c>
      <c r="AH55" s="44" t="str">
        <f>IF(AND('Riesgos de Gestión'!$AF$67="Muy Baja",'Riesgos de Gestión'!$AH$67="Catastrófico"),CONCATENATE("R10C",'Riesgos de Gestión'!$V$67),"")</f>
        <v/>
      </c>
      <c r="AI55" s="45" t="str">
        <f>IF(AND('Riesgos de Gestión'!$AF$68="Muy Baja",'Riesgos de Gestión'!$AH$68="Catastrófico"),CONCATENATE("R10C",'Riesgos de Gestión'!$V$68),"")</f>
        <v/>
      </c>
      <c r="AJ55" s="45" t="str">
        <f>IF(AND('Riesgos de Gestión'!$AF$69="Muy Baja",'Riesgos de Gestión'!$AH$69="Catastrófico"),CONCATENATE("R10C",'Riesgos de Gestión'!$V$69),"")</f>
        <v/>
      </c>
      <c r="AK55" s="45" t="str">
        <f>IF(AND('Riesgos de Gestión'!$AF$70="Muy Baja",'Riesgos de Gestión'!$AH$70="Catastrófico"),CONCATENATE("R10C",'Riesgos de Gestión'!$V$70),"")</f>
        <v/>
      </c>
      <c r="AL55" s="45" t="str">
        <f>IF(AND('Riesgos de Gestión'!$AF$71="Muy Baja",'Riesgos de Gestión'!$AH$71="Catastrófico"),CONCATENATE("R10C",'Riesgos de Gestión'!$V$71),"")</f>
        <v/>
      </c>
      <c r="AM55" s="46" t="str">
        <f>IF(AND('Riesgos de Gestión'!$AF$72="Muy Baja",'Riesgos de Gestión'!$AH$72="Catastrófico"),CONCATENATE("R10C",'Riesgos de Gestión'!$V$72),"")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474" t="s">
        <v>274</v>
      </c>
      <c r="K56" s="475"/>
      <c r="L56" s="475"/>
      <c r="M56" s="475"/>
      <c r="N56" s="475"/>
      <c r="O56" s="476"/>
      <c r="P56" s="474" t="s">
        <v>275</v>
      </c>
      <c r="Q56" s="475"/>
      <c r="R56" s="475"/>
      <c r="S56" s="475"/>
      <c r="T56" s="475"/>
      <c r="U56" s="476"/>
      <c r="V56" s="474" t="s">
        <v>276</v>
      </c>
      <c r="W56" s="475"/>
      <c r="X56" s="475"/>
      <c r="Y56" s="475"/>
      <c r="Z56" s="475"/>
      <c r="AA56" s="476"/>
      <c r="AB56" s="474" t="s">
        <v>277</v>
      </c>
      <c r="AC56" s="483"/>
      <c r="AD56" s="475"/>
      <c r="AE56" s="475"/>
      <c r="AF56" s="475"/>
      <c r="AG56" s="476"/>
      <c r="AH56" s="474" t="s">
        <v>278</v>
      </c>
      <c r="AI56" s="475"/>
      <c r="AJ56" s="475"/>
      <c r="AK56" s="475"/>
      <c r="AL56" s="475"/>
      <c r="AM56" s="47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477"/>
      <c r="K57" s="478"/>
      <c r="L57" s="478"/>
      <c r="M57" s="478"/>
      <c r="N57" s="478"/>
      <c r="O57" s="479"/>
      <c r="P57" s="477"/>
      <c r="Q57" s="478"/>
      <c r="R57" s="478"/>
      <c r="S57" s="478"/>
      <c r="T57" s="478"/>
      <c r="U57" s="479"/>
      <c r="V57" s="477"/>
      <c r="W57" s="478"/>
      <c r="X57" s="478"/>
      <c r="Y57" s="478"/>
      <c r="Z57" s="478"/>
      <c r="AA57" s="479"/>
      <c r="AB57" s="477"/>
      <c r="AC57" s="478"/>
      <c r="AD57" s="478"/>
      <c r="AE57" s="478"/>
      <c r="AF57" s="478"/>
      <c r="AG57" s="479"/>
      <c r="AH57" s="477"/>
      <c r="AI57" s="478"/>
      <c r="AJ57" s="478"/>
      <c r="AK57" s="478"/>
      <c r="AL57" s="478"/>
      <c r="AM57" s="479"/>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477"/>
      <c r="K58" s="478"/>
      <c r="L58" s="478"/>
      <c r="M58" s="478"/>
      <c r="N58" s="478"/>
      <c r="O58" s="479"/>
      <c r="P58" s="477"/>
      <c r="Q58" s="478"/>
      <c r="R58" s="478"/>
      <c r="S58" s="478"/>
      <c r="T58" s="478"/>
      <c r="U58" s="479"/>
      <c r="V58" s="477"/>
      <c r="W58" s="478"/>
      <c r="X58" s="478"/>
      <c r="Y58" s="478"/>
      <c r="Z58" s="478"/>
      <c r="AA58" s="479"/>
      <c r="AB58" s="477"/>
      <c r="AC58" s="478"/>
      <c r="AD58" s="478"/>
      <c r="AE58" s="478"/>
      <c r="AF58" s="478"/>
      <c r="AG58" s="479"/>
      <c r="AH58" s="477"/>
      <c r="AI58" s="478"/>
      <c r="AJ58" s="478"/>
      <c r="AK58" s="478"/>
      <c r="AL58" s="478"/>
      <c r="AM58" s="479"/>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477"/>
      <c r="K59" s="478"/>
      <c r="L59" s="478"/>
      <c r="M59" s="478"/>
      <c r="N59" s="478"/>
      <c r="O59" s="479"/>
      <c r="P59" s="477"/>
      <c r="Q59" s="478"/>
      <c r="R59" s="478"/>
      <c r="S59" s="478"/>
      <c r="T59" s="478"/>
      <c r="U59" s="479"/>
      <c r="V59" s="477"/>
      <c r="W59" s="478"/>
      <c r="X59" s="478"/>
      <c r="Y59" s="478"/>
      <c r="Z59" s="478"/>
      <c r="AA59" s="479"/>
      <c r="AB59" s="477"/>
      <c r="AC59" s="478"/>
      <c r="AD59" s="478"/>
      <c r="AE59" s="478"/>
      <c r="AF59" s="478"/>
      <c r="AG59" s="479"/>
      <c r="AH59" s="477"/>
      <c r="AI59" s="478"/>
      <c r="AJ59" s="478"/>
      <c r="AK59" s="478"/>
      <c r="AL59" s="478"/>
      <c r="AM59" s="479"/>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477"/>
      <c r="K60" s="478"/>
      <c r="L60" s="478"/>
      <c r="M60" s="478"/>
      <c r="N60" s="478"/>
      <c r="O60" s="479"/>
      <c r="P60" s="477"/>
      <c r="Q60" s="478"/>
      <c r="R60" s="478"/>
      <c r="S60" s="478"/>
      <c r="T60" s="478"/>
      <c r="U60" s="479"/>
      <c r="V60" s="477"/>
      <c r="W60" s="478"/>
      <c r="X60" s="478"/>
      <c r="Y60" s="478"/>
      <c r="Z60" s="478"/>
      <c r="AA60" s="479"/>
      <c r="AB60" s="477"/>
      <c r="AC60" s="478"/>
      <c r="AD60" s="478"/>
      <c r="AE60" s="478"/>
      <c r="AF60" s="478"/>
      <c r="AG60" s="479"/>
      <c r="AH60" s="477"/>
      <c r="AI60" s="478"/>
      <c r="AJ60" s="478"/>
      <c r="AK60" s="478"/>
      <c r="AL60" s="478"/>
      <c r="AM60" s="479"/>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480"/>
      <c r="K61" s="481"/>
      <c r="L61" s="481"/>
      <c r="M61" s="481"/>
      <c r="N61" s="481"/>
      <c r="O61" s="482"/>
      <c r="P61" s="480"/>
      <c r="Q61" s="481"/>
      <c r="R61" s="481"/>
      <c r="S61" s="481"/>
      <c r="T61" s="481"/>
      <c r="U61" s="482"/>
      <c r="V61" s="480"/>
      <c r="W61" s="481"/>
      <c r="X61" s="481"/>
      <c r="Y61" s="481"/>
      <c r="Z61" s="481"/>
      <c r="AA61" s="482"/>
      <c r="AB61" s="480"/>
      <c r="AC61" s="481"/>
      <c r="AD61" s="481"/>
      <c r="AE61" s="481"/>
      <c r="AF61" s="481"/>
      <c r="AG61" s="482"/>
      <c r="AH61" s="480"/>
      <c r="AI61" s="481"/>
      <c r="AJ61" s="481"/>
      <c r="AK61" s="481"/>
      <c r="AL61" s="481"/>
      <c r="AM61" s="482"/>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L75"/>
  <sheetViews>
    <sheetView topLeftCell="H1" zoomScale="40" zoomScaleNormal="40" zoomScaleSheetLayoutView="40" zoomScalePageLayoutView="60" workbookViewId="0">
      <selection activeCell="A13" sqref="A13:AR18"/>
    </sheetView>
  </sheetViews>
  <sheetFormatPr baseColWidth="10" defaultColWidth="11.42578125" defaultRowHeight="15" x14ac:dyDescent="0.2"/>
  <cols>
    <col min="1" max="1" width="6.5703125" style="212" customWidth="1"/>
    <col min="2" max="2" width="16" style="212" customWidth="1"/>
    <col min="3" max="3" width="19.140625" style="212" customWidth="1"/>
    <col min="4" max="4" width="25.28515625" style="212" customWidth="1"/>
    <col min="5" max="5" width="40.140625" style="212" customWidth="1"/>
    <col min="6" max="6" width="17.7109375" style="192" customWidth="1"/>
    <col min="7" max="7" width="16" style="192" customWidth="1"/>
    <col min="8" max="8" width="24.28515625" style="192" customWidth="1"/>
    <col min="9" max="10" width="28.42578125" style="192" customWidth="1"/>
    <col min="11" max="11" width="24.28515625" style="192" customWidth="1"/>
    <col min="12" max="12" width="19.42578125" style="192" customWidth="1"/>
    <col min="13" max="13" width="20.5703125" style="192" customWidth="1"/>
    <col min="14" max="14" width="14.7109375" style="213" customWidth="1"/>
    <col min="15" max="15" width="16.7109375" style="192" customWidth="1"/>
    <col min="16" max="16" width="10.42578125" style="192" customWidth="1"/>
    <col min="17" max="17" width="12.85546875" style="192" customWidth="1"/>
    <col min="18" max="18" width="35.85546875" style="192" customWidth="1"/>
    <col min="19" max="19" width="17.140625" style="192" customWidth="1"/>
    <col min="20" max="20" width="17.5703125" style="192" customWidth="1"/>
    <col min="21" max="21" width="15" style="192" customWidth="1"/>
    <col min="22" max="22" width="16" style="192" customWidth="1"/>
    <col min="23" max="23" width="54.140625" style="192" customWidth="1"/>
    <col min="24" max="24" width="26.85546875" style="192" customWidth="1"/>
    <col min="25" max="25" width="5.85546875" style="192" customWidth="1"/>
    <col min="26" max="26" width="6.85546875" style="192" customWidth="1"/>
    <col min="27" max="27" width="5" style="192" customWidth="1"/>
    <col min="28" max="28" width="5.5703125" style="192" customWidth="1"/>
    <col min="29" max="29" width="7.140625" style="192" customWidth="1"/>
    <col min="30" max="30" width="6.7109375" style="192" customWidth="1"/>
    <col min="31" max="31" width="7.5703125" style="192" customWidth="1"/>
    <col min="32" max="32" width="8.5703125" style="192" customWidth="1"/>
    <col min="33" max="37" width="10.85546875" style="192" customWidth="1"/>
    <col min="38" max="38" width="46.140625" style="211" customWidth="1"/>
    <col min="39" max="39" width="23" style="192" customWidth="1"/>
    <col min="40" max="40" width="18.85546875" style="192" customWidth="1"/>
    <col min="41" max="41" width="21.5703125" style="192" customWidth="1"/>
    <col min="42" max="42" width="22.42578125" style="192" customWidth="1"/>
    <col min="43" max="43" width="16.42578125" style="192" customWidth="1"/>
    <col min="44" max="44" width="20.5703125" style="192" customWidth="1"/>
    <col min="45" max="16384" width="11.42578125" style="192"/>
  </cols>
  <sheetData>
    <row r="1" spans="1:272" s="195" customFormat="1" ht="20.25" x14ac:dyDescent="0.3">
      <c r="A1" s="379"/>
      <c r="B1" s="380"/>
      <c r="C1" s="381"/>
      <c r="D1" s="370" t="s">
        <v>208</v>
      </c>
      <c r="E1" s="371"/>
      <c r="F1" s="371"/>
      <c r="G1" s="371"/>
      <c r="H1" s="371"/>
      <c r="I1" s="371"/>
      <c r="J1" s="371"/>
      <c r="K1" s="371"/>
      <c r="L1" s="371"/>
      <c r="M1" s="371"/>
      <c r="N1" s="371"/>
      <c r="O1" s="371"/>
      <c r="P1" s="371"/>
      <c r="Q1" s="371"/>
      <c r="R1" s="371"/>
      <c r="S1" s="371"/>
      <c r="T1" s="372"/>
      <c r="U1" s="246"/>
      <c r="V1" s="246"/>
      <c r="W1" s="246"/>
      <c r="X1" s="352"/>
      <c r="Y1" s="352"/>
      <c r="Z1" s="352"/>
      <c r="AA1" s="352"/>
      <c r="AB1" s="352"/>
      <c r="AC1" s="352"/>
      <c r="AD1" s="352"/>
      <c r="AE1" s="352"/>
      <c r="AF1" s="352"/>
      <c r="AG1" s="352"/>
      <c r="AH1" s="352"/>
      <c r="AI1" s="352"/>
      <c r="AJ1" s="352"/>
      <c r="AK1" s="352"/>
      <c r="AL1" s="352"/>
      <c r="AM1" s="352"/>
      <c r="AN1" s="352"/>
      <c r="AO1" s="352"/>
      <c r="AP1" s="352"/>
      <c r="AQ1" s="352"/>
      <c r="AR1" s="352"/>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row>
    <row r="2" spans="1:272" s="195" customFormat="1" ht="21" thickBot="1" x14ac:dyDescent="0.35">
      <c r="A2" s="382"/>
      <c r="B2" s="383"/>
      <c r="C2" s="384"/>
      <c r="D2" s="373"/>
      <c r="E2" s="374"/>
      <c r="F2" s="374"/>
      <c r="G2" s="374"/>
      <c r="H2" s="374"/>
      <c r="I2" s="374"/>
      <c r="J2" s="374"/>
      <c r="K2" s="374"/>
      <c r="L2" s="374"/>
      <c r="M2" s="374"/>
      <c r="N2" s="374"/>
      <c r="O2" s="374"/>
      <c r="P2" s="374"/>
      <c r="Q2" s="374"/>
      <c r="R2" s="374"/>
      <c r="S2" s="374"/>
      <c r="T2" s="375"/>
      <c r="U2" s="246"/>
      <c r="V2" s="246"/>
      <c r="W2" s="246"/>
      <c r="X2" s="352"/>
      <c r="Y2" s="352"/>
      <c r="Z2" s="352"/>
      <c r="AA2" s="352"/>
      <c r="AB2" s="352"/>
      <c r="AC2" s="352"/>
      <c r="AD2" s="352"/>
      <c r="AE2" s="352"/>
      <c r="AF2" s="352"/>
      <c r="AG2" s="352"/>
      <c r="AH2" s="352"/>
      <c r="AI2" s="352"/>
      <c r="AJ2" s="352"/>
      <c r="AK2" s="352"/>
      <c r="AL2" s="352"/>
      <c r="AM2" s="352"/>
      <c r="AN2" s="352"/>
      <c r="AO2" s="352"/>
      <c r="AP2" s="352"/>
      <c r="AQ2" s="352"/>
      <c r="AR2" s="352"/>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row>
    <row r="3" spans="1:272" s="195" customFormat="1" ht="27.75" customHeight="1" thickBot="1" x14ac:dyDescent="0.35">
      <c r="A3" s="382"/>
      <c r="B3" s="383"/>
      <c r="C3" s="384"/>
      <c r="D3" s="376" t="s">
        <v>209</v>
      </c>
      <c r="E3" s="377"/>
      <c r="F3" s="377"/>
      <c r="G3" s="377"/>
      <c r="H3" s="377"/>
      <c r="I3" s="378"/>
      <c r="J3" s="376" t="s">
        <v>210</v>
      </c>
      <c r="K3" s="377"/>
      <c r="L3" s="377"/>
      <c r="M3" s="377"/>
      <c r="N3" s="377"/>
      <c r="O3" s="377"/>
      <c r="P3" s="377"/>
      <c r="Q3" s="377"/>
      <c r="R3" s="377"/>
      <c r="S3" s="377"/>
      <c r="T3" s="378"/>
      <c r="U3" s="247"/>
      <c r="V3" s="247"/>
      <c r="W3" s="246"/>
      <c r="X3" s="353"/>
      <c r="Y3" s="353"/>
      <c r="Z3" s="353"/>
      <c r="AA3" s="353"/>
      <c r="AB3" s="353"/>
      <c r="AC3" s="353"/>
      <c r="AD3" s="353"/>
      <c r="AE3" s="353"/>
      <c r="AF3" s="353"/>
      <c r="AG3" s="353"/>
      <c r="AH3" s="353"/>
      <c r="AI3" s="353"/>
      <c r="AJ3" s="353"/>
      <c r="AK3" s="353"/>
      <c r="AL3" s="353"/>
      <c r="AM3" s="353"/>
      <c r="AN3" s="353"/>
      <c r="AO3" s="353"/>
      <c r="AP3" s="353"/>
      <c r="AQ3" s="353"/>
      <c r="AR3" s="353"/>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row>
    <row r="4" spans="1:272" s="195" customFormat="1" ht="27.75" customHeight="1" thickBot="1" x14ac:dyDescent="0.35">
      <c r="A4" s="385"/>
      <c r="B4" s="386"/>
      <c r="C4" s="387"/>
      <c r="D4" s="376" t="s">
        <v>422</v>
      </c>
      <c r="E4" s="377"/>
      <c r="F4" s="377"/>
      <c r="G4" s="377"/>
      <c r="H4" s="377"/>
      <c r="I4" s="377"/>
      <c r="J4" s="377"/>
      <c r="K4" s="377"/>
      <c r="L4" s="377"/>
      <c r="M4" s="377"/>
      <c r="N4" s="377"/>
      <c r="O4" s="377"/>
      <c r="P4" s="377"/>
      <c r="Q4" s="377"/>
      <c r="R4" s="377"/>
      <c r="S4" s="377"/>
      <c r="T4" s="378"/>
      <c r="U4" s="246"/>
      <c r="V4" s="246"/>
      <c r="W4" s="246"/>
      <c r="X4" s="353"/>
      <c r="Y4" s="353"/>
      <c r="Z4" s="353"/>
      <c r="AA4" s="353"/>
      <c r="AB4" s="353"/>
      <c r="AC4" s="353"/>
      <c r="AD4" s="353"/>
      <c r="AE4" s="353"/>
      <c r="AF4" s="353"/>
      <c r="AG4" s="353"/>
      <c r="AH4" s="353"/>
      <c r="AI4" s="353"/>
      <c r="AJ4" s="353"/>
      <c r="AK4" s="353"/>
      <c r="AL4" s="353"/>
      <c r="AM4" s="353"/>
      <c r="AN4" s="353"/>
      <c r="AO4" s="353"/>
      <c r="AP4" s="353"/>
      <c r="AQ4" s="353"/>
      <c r="AR4" s="353"/>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row>
    <row r="5" spans="1:272" ht="15.75" thickBot="1" x14ac:dyDescent="0.25">
      <c r="A5" s="196"/>
      <c r="B5" s="197"/>
      <c r="C5" s="196"/>
      <c r="D5" s="196"/>
      <c r="E5" s="196"/>
      <c r="F5" s="198"/>
      <c r="G5" s="198"/>
      <c r="H5" s="198"/>
      <c r="I5" s="198"/>
      <c r="J5" s="198"/>
      <c r="K5" s="198"/>
      <c r="L5" s="198"/>
      <c r="M5" s="198"/>
      <c r="N5" s="199"/>
      <c r="O5" s="198"/>
      <c r="P5" s="198"/>
      <c r="Q5" s="198"/>
      <c r="R5" s="198"/>
      <c r="S5" s="198"/>
      <c r="T5" s="198"/>
      <c r="U5" s="198"/>
      <c r="V5" s="198"/>
      <c r="W5" s="198"/>
      <c r="X5" s="198"/>
      <c r="Y5" s="198"/>
      <c r="Z5" s="198"/>
      <c r="AA5" s="198"/>
      <c r="AB5" s="198"/>
      <c r="AC5" s="198"/>
      <c r="AD5" s="198"/>
      <c r="AE5" s="198"/>
      <c r="AF5" s="198"/>
      <c r="AG5" s="198"/>
      <c r="AH5" s="198"/>
      <c r="AI5" s="198"/>
      <c r="AJ5" s="198"/>
      <c r="AK5" s="198"/>
      <c r="AL5" s="24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row>
    <row r="6" spans="1:272" ht="27" customHeight="1" thickBot="1" x14ac:dyDescent="0.25">
      <c r="A6" s="354" t="s">
        <v>211</v>
      </c>
      <c r="B6" s="355"/>
      <c r="C6" s="361"/>
      <c r="D6" s="362"/>
      <c r="E6" s="362"/>
      <c r="F6" s="362"/>
      <c r="G6" s="362"/>
      <c r="H6" s="362"/>
      <c r="I6" s="362"/>
      <c r="J6" s="362"/>
      <c r="K6" s="362"/>
      <c r="L6" s="362"/>
      <c r="M6" s="362"/>
      <c r="N6" s="362"/>
      <c r="O6" s="362"/>
      <c r="P6" s="362"/>
      <c r="Q6" s="362"/>
      <c r="R6" s="362"/>
      <c r="S6" s="362"/>
      <c r="T6" s="363"/>
      <c r="U6" s="249"/>
      <c r="V6" s="249"/>
      <c r="W6" s="360"/>
      <c r="X6" s="360"/>
      <c r="Y6" s="360"/>
      <c r="Z6" s="351"/>
      <c r="AA6" s="351"/>
      <c r="AB6" s="351"/>
      <c r="AC6" s="351"/>
      <c r="AD6" s="351"/>
      <c r="AE6" s="351"/>
      <c r="AF6" s="351"/>
      <c r="AG6" s="351"/>
      <c r="AH6" s="351"/>
      <c r="AI6" s="351"/>
      <c r="AJ6" s="351"/>
      <c r="AK6" s="351"/>
      <c r="AL6" s="351"/>
      <c r="AM6" s="351"/>
      <c r="AN6" s="351"/>
      <c r="AO6" s="351"/>
      <c r="AP6" s="351"/>
      <c r="AQ6" s="351"/>
      <c r="AR6" s="351"/>
      <c r="AS6" s="198"/>
      <c r="AT6" s="198"/>
      <c r="AU6" s="198"/>
      <c r="AV6" s="198"/>
      <c r="AW6" s="198"/>
      <c r="AX6" s="198"/>
      <c r="AY6" s="198"/>
      <c r="AZ6" s="198"/>
      <c r="BA6" s="198"/>
      <c r="BB6" s="198"/>
      <c r="BC6" s="198"/>
      <c r="BD6" s="198"/>
      <c r="BE6" s="198"/>
      <c r="BF6" s="198"/>
      <c r="BG6" s="198"/>
      <c r="BH6" s="198"/>
      <c r="BI6" s="198"/>
      <c r="BJ6" s="198"/>
      <c r="BK6" s="198"/>
      <c r="BL6" s="198"/>
      <c r="BM6" s="198"/>
      <c r="BN6" s="198"/>
      <c r="BO6" s="198"/>
      <c r="BP6" s="198"/>
    </row>
    <row r="7" spans="1:272" ht="27" customHeight="1" thickBot="1" x14ac:dyDescent="0.3">
      <c r="A7" s="356" t="s">
        <v>212</v>
      </c>
      <c r="B7" s="357"/>
      <c r="C7" s="364"/>
      <c r="D7" s="365"/>
      <c r="E7" s="365"/>
      <c r="F7" s="365"/>
      <c r="G7" s="365"/>
      <c r="H7" s="365"/>
      <c r="I7" s="365"/>
      <c r="J7" s="365"/>
      <c r="K7" s="365"/>
      <c r="L7" s="365"/>
      <c r="M7" s="365"/>
      <c r="N7" s="365"/>
      <c r="O7" s="365"/>
      <c r="P7" s="365"/>
      <c r="Q7" s="365"/>
      <c r="R7" s="365"/>
      <c r="S7" s="365"/>
      <c r="T7" s="366"/>
      <c r="U7" s="250"/>
      <c r="V7" s="250"/>
      <c r="W7" s="251"/>
      <c r="X7" s="251"/>
      <c r="Y7" s="251"/>
      <c r="Z7" s="351"/>
      <c r="AA7" s="351"/>
      <c r="AB7" s="351"/>
      <c r="AC7" s="351"/>
      <c r="AD7" s="351"/>
      <c r="AE7" s="351"/>
      <c r="AF7" s="351"/>
      <c r="AG7" s="351"/>
      <c r="AH7" s="351"/>
      <c r="AI7" s="351"/>
      <c r="AJ7" s="351"/>
      <c r="AK7" s="351"/>
      <c r="AL7" s="351"/>
      <c r="AM7" s="351"/>
      <c r="AN7" s="351"/>
      <c r="AO7" s="351"/>
      <c r="AP7" s="351"/>
      <c r="AQ7" s="351"/>
      <c r="AR7" s="351"/>
      <c r="AS7" s="198"/>
      <c r="AT7" s="198"/>
      <c r="AU7" s="198"/>
      <c r="AV7" s="198"/>
      <c r="AW7" s="198"/>
      <c r="AX7" s="198"/>
      <c r="AY7" s="198"/>
      <c r="AZ7" s="198"/>
      <c r="BA7" s="198"/>
      <c r="BB7" s="198"/>
      <c r="BC7" s="198"/>
      <c r="BD7" s="198"/>
      <c r="BE7" s="198"/>
      <c r="BF7" s="198"/>
      <c r="BG7" s="198"/>
      <c r="BH7" s="198"/>
      <c r="BI7" s="198"/>
      <c r="BJ7" s="198"/>
      <c r="BK7" s="198"/>
      <c r="BL7" s="198"/>
      <c r="BM7" s="198"/>
      <c r="BN7" s="198"/>
      <c r="BO7" s="198"/>
      <c r="BP7" s="198"/>
    </row>
    <row r="8" spans="1:272" ht="27" customHeight="1" thickBot="1" x14ac:dyDescent="0.3">
      <c r="A8" s="358" t="s">
        <v>213</v>
      </c>
      <c r="B8" s="359"/>
      <c r="C8" s="364"/>
      <c r="D8" s="365"/>
      <c r="E8" s="365"/>
      <c r="F8" s="365"/>
      <c r="G8" s="365"/>
      <c r="H8" s="365"/>
      <c r="I8" s="365"/>
      <c r="J8" s="365"/>
      <c r="K8" s="365"/>
      <c r="L8" s="365"/>
      <c r="M8" s="365"/>
      <c r="N8" s="365"/>
      <c r="O8" s="365"/>
      <c r="P8" s="365"/>
      <c r="Q8" s="365"/>
      <c r="R8" s="365"/>
      <c r="S8" s="365"/>
      <c r="T8" s="366"/>
      <c r="U8" s="250"/>
      <c r="V8" s="250"/>
      <c r="W8" s="251"/>
      <c r="X8" s="251"/>
      <c r="Y8" s="251"/>
      <c r="Z8" s="351"/>
      <c r="AA8" s="351"/>
      <c r="AB8" s="351"/>
      <c r="AC8" s="351"/>
      <c r="AD8" s="351"/>
      <c r="AE8" s="351"/>
      <c r="AF8" s="351"/>
      <c r="AG8" s="351"/>
      <c r="AH8" s="351"/>
      <c r="AI8" s="351"/>
      <c r="AJ8" s="351"/>
      <c r="AK8" s="351"/>
      <c r="AL8" s="351"/>
      <c r="AM8" s="351"/>
      <c r="AN8" s="351"/>
      <c r="AO8" s="351"/>
      <c r="AP8" s="351"/>
      <c r="AQ8" s="351"/>
      <c r="AR8" s="351"/>
      <c r="AS8" s="198"/>
      <c r="AT8" s="198"/>
      <c r="AU8" s="198"/>
      <c r="AV8" s="198"/>
      <c r="AW8" s="198"/>
      <c r="AX8" s="198"/>
      <c r="AY8" s="198"/>
      <c r="AZ8" s="198"/>
      <c r="BA8" s="198"/>
      <c r="BB8" s="198"/>
      <c r="BC8" s="198"/>
      <c r="BD8" s="198"/>
      <c r="BE8" s="198"/>
      <c r="BF8" s="198"/>
      <c r="BG8" s="198"/>
      <c r="BH8" s="198"/>
      <c r="BI8" s="198"/>
      <c r="BJ8" s="198"/>
      <c r="BK8" s="198"/>
      <c r="BL8" s="198"/>
      <c r="BM8" s="198"/>
      <c r="BN8" s="198"/>
      <c r="BO8" s="198"/>
      <c r="BP8" s="198"/>
    </row>
    <row r="9" spans="1:272" ht="15.75" x14ac:dyDescent="0.25">
      <c r="A9" s="200"/>
      <c r="B9" s="200"/>
      <c r="C9" s="201"/>
      <c r="D9" s="201"/>
      <c r="E9" s="201"/>
      <c r="F9" s="201"/>
      <c r="G9" s="201"/>
      <c r="H9" s="201"/>
      <c r="I9" s="201"/>
      <c r="J9" s="201"/>
      <c r="K9" s="201"/>
      <c r="L9" s="201"/>
      <c r="M9" s="201"/>
      <c r="N9" s="201"/>
      <c r="O9" s="201"/>
      <c r="P9" s="201"/>
      <c r="Q9" s="201"/>
      <c r="R9" s="201"/>
      <c r="S9" s="201"/>
      <c r="T9" s="201"/>
      <c r="U9" s="201"/>
      <c r="V9" s="201"/>
      <c r="W9" s="202"/>
      <c r="X9" s="202"/>
      <c r="Y9" s="202"/>
      <c r="Z9" s="203"/>
      <c r="AA9" s="203"/>
      <c r="AB9" s="203"/>
      <c r="AC9" s="203"/>
      <c r="AD9" s="203"/>
      <c r="AE9" s="203"/>
      <c r="AF9" s="203"/>
      <c r="AG9" s="203"/>
      <c r="AH9" s="203"/>
      <c r="AI9" s="203"/>
      <c r="AJ9" s="203"/>
      <c r="AK9" s="203"/>
      <c r="AL9" s="203"/>
      <c r="AM9" s="203"/>
      <c r="AN9" s="203"/>
      <c r="AO9" s="203"/>
      <c r="AP9" s="203"/>
      <c r="AQ9" s="203"/>
      <c r="AR9" s="203"/>
    </row>
    <row r="10" spans="1:272" ht="39" customHeight="1" x14ac:dyDescent="0.2">
      <c r="A10" s="367" t="s">
        <v>214</v>
      </c>
      <c r="B10" s="368"/>
      <c r="C10" s="368"/>
      <c r="D10" s="368"/>
      <c r="E10" s="368"/>
      <c r="F10" s="369"/>
      <c r="G10" s="330" t="s">
        <v>215</v>
      </c>
      <c r="H10" s="331"/>
      <c r="I10" s="331"/>
      <c r="J10" s="331"/>
      <c r="K10" s="332"/>
      <c r="L10" s="316" t="s">
        <v>216</v>
      </c>
      <c r="M10" s="317"/>
      <c r="N10" s="218"/>
      <c r="O10" s="218"/>
      <c r="P10" s="328" t="s">
        <v>217</v>
      </c>
      <c r="Q10" s="328"/>
      <c r="R10" s="328"/>
      <c r="S10" s="328"/>
      <c r="T10" s="328"/>
      <c r="U10" s="328"/>
      <c r="V10" s="328"/>
      <c r="W10" s="328" t="s">
        <v>218</v>
      </c>
      <c r="X10" s="328"/>
      <c r="Y10" s="328"/>
      <c r="Z10" s="328"/>
      <c r="AA10" s="328"/>
      <c r="AB10" s="328"/>
      <c r="AC10" s="328"/>
      <c r="AD10" s="328"/>
      <c r="AE10" s="328"/>
      <c r="AF10" s="318" t="s">
        <v>219</v>
      </c>
      <c r="AG10" s="319"/>
      <c r="AH10" s="319"/>
      <c r="AI10" s="319"/>
      <c r="AJ10" s="320"/>
      <c r="AK10" s="318" t="s">
        <v>423</v>
      </c>
      <c r="AL10" s="319"/>
      <c r="AM10" s="319"/>
      <c r="AN10" s="319"/>
      <c r="AO10" s="320"/>
      <c r="AP10" s="318" t="s">
        <v>424</v>
      </c>
      <c r="AQ10" s="319"/>
      <c r="AR10" s="320"/>
      <c r="AS10" s="198"/>
      <c r="AT10" s="198"/>
      <c r="AU10" s="198"/>
      <c r="AV10" s="198"/>
      <c r="AW10" s="198"/>
      <c r="AX10" s="198"/>
      <c r="AY10" s="198"/>
      <c r="AZ10" s="198"/>
      <c r="BA10" s="198"/>
      <c r="BB10" s="198"/>
      <c r="BC10" s="198"/>
      <c r="BD10" s="198"/>
      <c r="BE10" s="198"/>
      <c r="BF10" s="198"/>
      <c r="BG10" s="198"/>
      <c r="BH10" s="198"/>
      <c r="BI10" s="198"/>
      <c r="BJ10" s="198"/>
      <c r="BK10" s="198"/>
      <c r="BL10" s="198"/>
      <c r="BM10" s="198"/>
      <c r="BN10" s="198"/>
      <c r="BO10" s="198"/>
      <c r="BP10" s="198"/>
    </row>
    <row r="11" spans="1:272" ht="26.25" customHeight="1" x14ac:dyDescent="0.2">
      <c r="A11" s="343" t="s">
        <v>222</v>
      </c>
      <c r="B11" s="344" t="s">
        <v>15</v>
      </c>
      <c r="C11" s="345" t="s">
        <v>17</v>
      </c>
      <c r="D11" s="345" t="s">
        <v>19</v>
      </c>
      <c r="E11" s="344" t="s">
        <v>21</v>
      </c>
      <c r="F11" s="345" t="s">
        <v>23</v>
      </c>
      <c r="G11" s="346" t="s">
        <v>124</v>
      </c>
      <c r="H11" s="346" t="s">
        <v>280</v>
      </c>
      <c r="I11" s="346" t="s">
        <v>224</v>
      </c>
      <c r="J11" s="346" t="s">
        <v>225</v>
      </c>
      <c r="K11" s="346" t="s">
        <v>226</v>
      </c>
      <c r="L11" s="316"/>
      <c r="M11" s="317"/>
      <c r="N11" s="314" t="s">
        <v>227</v>
      </c>
      <c r="O11" s="314" t="s">
        <v>228</v>
      </c>
      <c r="P11" s="339" t="s">
        <v>229</v>
      </c>
      <c r="Q11" s="314" t="s">
        <v>230</v>
      </c>
      <c r="R11" s="314" t="s">
        <v>231</v>
      </c>
      <c r="S11" s="314" t="s">
        <v>232</v>
      </c>
      <c r="T11" s="339" t="s">
        <v>229</v>
      </c>
      <c r="U11" s="314" t="s">
        <v>29</v>
      </c>
      <c r="V11" s="327" t="s">
        <v>233</v>
      </c>
      <c r="W11" s="314" t="s">
        <v>31</v>
      </c>
      <c r="X11" s="314" t="s">
        <v>33</v>
      </c>
      <c r="Y11" s="314" t="s">
        <v>234</v>
      </c>
      <c r="Z11" s="314"/>
      <c r="AA11" s="314"/>
      <c r="AB11" s="314"/>
      <c r="AC11" s="314"/>
      <c r="AD11" s="314"/>
      <c r="AE11" s="327" t="s">
        <v>235</v>
      </c>
      <c r="AF11" s="327" t="s">
        <v>236</v>
      </c>
      <c r="AG11" s="327" t="s">
        <v>229</v>
      </c>
      <c r="AH11" s="327" t="s">
        <v>237</v>
      </c>
      <c r="AI11" s="327" t="s">
        <v>229</v>
      </c>
      <c r="AJ11" s="327" t="s">
        <v>238</v>
      </c>
      <c r="AK11" s="327" t="s">
        <v>49</v>
      </c>
      <c r="AL11" s="314" t="s">
        <v>239</v>
      </c>
      <c r="AM11" s="314" t="s">
        <v>240</v>
      </c>
      <c r="AN11" s="314" t="s">
        <v>241</v>
      </c>
      <c r="AO11" s="314" t="s">
        <v>242</v>
      </c>
      <c r="AP11" s="314" t="s">
        <v>239</v>
      </c>
      <c r="AQ11" s="314" t="s">
        <v>241</v>
      </c>
      <c r="AR11" s="314" t="s">
        <v>240</v>
      </c>
      <c r="AS11" s="198"/>
      <c r="AT11" s="198"/>
      <c r="AU11" s="198"/>
      <c r="AV11" s="198"/>
      <c r="AW11" s="198"/>
      <c r="AX11" s="198"/>
      <c r="AY11" s="198"/>
      <c r="AZ11" s="198"/>
      <c r="BA11" s="198"/>
      <c r="BB11" s="198"/>
      <c r="BC11" s="198"/>
      <c r="BD11" s="198"/>
      <c r="BE11" s="198"/>
      <c r="BF11" s="198"/>
      <c r="BG11" s="198"/>
      <c r="BH11" s="198"/>
      <c r="BI11" s="198"/>
      <c r="BJ11" s="198"/>
      <c r="BK11" s="198"/>
      <c r="BL11" s="198"/>
      <c r="BM11" s="198"/>
      <c r="BN11" s="198"/>
      <c r="BO11" s="198"/>
    </row>
    <row r="12" spans="1:272" s="207" customFormat="1" ht="73.5" customHeight="1" thickBot="1" x14ac:dyDescent="0.3">
      <c r="A12" s="343"/>
      <c r="B12" s="344"/>
      <c r="C12" s="345"/>
      <c r="D12" s="345"/>
      <c r="E12" s="344"/>
      <c r="F12" s="345"/>
      <c r="G12" s="347"/>
      <c r="H12" s="347"/>
      <c r="I12" s="347"/>
      <c r="J12" s="347"/>
      <c r="K12" s="347"/>
      <c r="L12" s="244" t="s">
        <v>425</v>
      </c>
      <c r="M12" s="244" t="s">
        <v>246</v>
      </c>
      <c r="N12" s="314"/>
      <c r="O12" s="314"/>
      <c r="P12" s="339"/>
      <c r="Q12" s="339"/>
      <c r="R12" s="314"/>
      <c r="S12" s="339"/>
      <c r="T12" s="339"/>
      <c r="U12" s="314"/>
      <c r="V12" s="327"/>
      <c r="W12" s="314"/>
      <c r="X12" s="314"/>
      <c r="Y12" s="204" t="s">
        <v>247</v>
      </c>
      <c r="Z12" s="204" t="s">
        <v>248</v>
      </c>
      <c r="AA12" s="204" t="s">
        <v>249</v>
      </c>
      <c r="AB12" s="204" t="s">
        <v>250</v>
      </c>
      <c r="AC12" s="204" t="s">
        <v>251</v>
      </c>
      <c r="AD12" s="204" t="s">
        <v>252</v>
      </c>
      <c r="AE12" s="327"/>
      <c r="AF12" s="327"/>
      <c r="AG12" s="327"/>
      <c r="AH12" s="327"/>
      <c r="AI12" s="327"/>
      <c r="AJ12" s="327"/>
      <c r="AK12" s="327"/>
      <c r="AL12" s="314"/>
      <c r="AM12" s="314"/>
      <c r="AN12" s="314"/>
      <c r="AO12" s="314"/>
      <c r="AP12" s="314"/>
      <c r="AQ12" s="314"/>
      <c r="AR12" s="314"/>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6"/>
      <c r="BQ12" s="206"/>
      <c r="BR12" s="206"/>
      <c r="BS12" s="206"/>
      <c r="BT12" s="206"/>
      <c r="BU12" s="206"/>
      <c r="BV12" s="206"/>
      <c r="BW12" s="206"/>
      <c r="BX12" s="206"/>
      <c r="BY12" s="206"/>
      <c r="BZ12" s="206"/>
      <c r="CA12" s="206"/>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c r="CX12" s="206"/>
      <c r="CY12" s="206"/>
      <c r="CZ12" s="206"/>
      <c r="DA12" s="206"/>
      <c r="DB12" s="206"/>
      <c r="DC12" s="206"/>
      <c r="DD12" s="206"/>
      <c r="DE12" s="206"/>
      <c r="DF12" s="206"/>
      <c r="DG12" s="206"/>
      <c r="DH12" s="206"/>
      <c r="DI12" s="206"/>
      <c r="DJ12" s="206"/>
      <c r="DK12" s="206"/>
      <c r="DL12" s="206"/>
      <c r="DM12" s="206"/>
      <c r="DN12" s="206"/>
      <c r="DO12" s="206"/>
      <c r="DP12" s="206"/>
      <c r="DQ12" s="206"/>
      <c r="DR12" s="206"/>
      <c r="DS12" s="206"/>
      <c r="DT12" s="206"/>
      <c r="DU12" s="206"/>
      <c r="DV12" s="206"/>
      <c r="DW12" s="206"/>
      <c r="DX12" s="206"/>
      <c r="DY12" s="206"/>
      <c r="DZ12" s="206"/>
      <c r="EA12" s="206"/>
      <c r="EB12" s="206"/>
      <c r="EC12" s="206"/>
      <c r="ED12" s="206"/>
      <c r="EE12" s="206"/>
      <c r="EF12" s="206"/>
      <c r="EG12" s="206"/>
      <c r="EH12" s="206"/>
      <c r="EI12" s="206"/>
      <c r="EJ12" s="206"/>
      <c r="EK12" s="206"/>
      <c r="EL12" s="206"/>
      <c r="EM12" s="206"/>
      <c r="EN12" s="206"/>
      <c r="EO12" s="206"/>
      <c r="EP12" s="206"/>
      <c r="EQ12" s="206"/>
      <c r="ER12" s="206"/>
      <c r="ES12" s="206"/>
      <c r="ET12" s="206"/>
      <c r="EU12" s="206"/>
      <c r="EV12" s="206"/>
      <c r="EW12" s="206"/>
      <c r="EX12" s="206"/>
      <c r="EY12" s="206"/>
      <c r="EZ12" s="206"/>
      <c r="FA12" s="206"/>
      <c r="FB12" s="206"/>
      <c r="FC12" s="206"/>
      <c r="FD12" s="206"/>
      <c r="FE12" s="206"/>
      <c r="FF12" s="206"/>
      <c r="FG12" s="206"/>
      <c r="FH12" s="206"/>
      <c r="FI12" s="206"/>
      <c r="FJ12" s="206"/>
      <c r="FK12" s="206"/>
      <c r="FL12" s="206"/>
      <c r="FM12" s="206"/>
      <c r="FN12" s="206"/>
      <c r="FO12" s="206"/>
      <c r="FP12" s="206"/>
      <c r="FQ12" s="206"/>
      <c r="FR12" s="206"/>
      <c r="FS12" s="206"/>
      <c r="FT12" s="206"/>
      <c r="FU12" s="206"/>
      <c r="FV12" s="206"/>
      <c r="FW12" s="206"/>
      <c r="FX12" s="206"/>
      <c r="FY12" s="206"/>
      <c r="FZ12" s="206"/>
      <c r="GA12" s="206"/>
      <c r="GB12" s="206"/>
      <c r="GC12" s="206"/>
      <c r="GD12" s="206"/>
      <c r="GE12" s="206"/>
      <c r="GF12" s="206"/>
      <c r="GG12" s="206"/>
      <c r="GH12" s="206"/>
      <c r="GI12" s="206"/>
      <c r="GJ12" s="206"/>
      <c r="GK12" s="206"/>
      <c r="GL12" s="206"/>
      <c r="GM12" s="206"/>
      <c r="GN12" s="206"/>
      <c r="GO12" s="206"/>
      <c r="GP12" s="206"/>
      <c r="GQ12" s="206"/>
      <c r="GR12" s="206"/>
      <c r="GS12" s="206"/>
      <c r="GT12" s="206"/>
      <c r="GU12" s="206"/>
      <c r="GV12" s="206"/>
      <c r="GW12" s="206"/>
      <c r="GX12" s="206"/>
      <c r="GY12" s="206"/>
      <c r="GZ12" s="206"/>
      <c r="HA12" s="206"/>
      <c r="HB12" s="206"/>
      <c r="HC12" s="206"/>
      <c r="HD12" s="206"/>
      <c r="HE12" s="206"/>
      <c r="HF12" s="206"/>
      <c r="HG12" s="206"/>
      <c r="HH12" s="206"/>
      <c r="HI12" s="206"/>
      <c r="HJ12" s="206"/>
      <c r="HK12" s="206"/>
      <c r="HL12" s="206"/>
      <c r="HM12" s="206"/>
      <c r="HN12" s="206"/>
      <c r="HO12" s="206"/>
      <c r="HP12" s="206"/>
      <c r="HQ12" s="206"/>
      <c r="HR12" s="206"/>
      <c r="HS12" s="206"/>
      <c r="HT12" s="206"/>
      <c r="HU12" s="206"/>
      <c r="HV12" s="206"/>
      <c r="HW12" s="206"/>
      <c r="HX12" s="206"/>
      <c r="HY12" s="206"/>
      <c r="HZ12" s="206"/>
      <c r="IA12" s="206"/>
      <c r="IB12" s="206"/>
      <c r="IC12" s="206"/>
      <c r="ID12" s="206"/>
      <c r="IE12" s="206"/>
      <c r="IF12" s="206"/>
      <c r="IG12" s="206"/>
      <c r="IH12" s="206"/>
      <c r="II12" s="206"/>
      <c r="IJ12" s="206"/>
      <c r="IK12" s="206"/>
      <c r="IL12" s="206"/>
      <c r="IM12" s="206"/>
      <c r="IN12" s="206"/>
      <c r="IO12" s="206"/>
      <c r="IP12" s="206"/>
      <c r="IQ12" s="206"/>
      <c r="IR12" s="206"/>
      <c r="IS12" s="206"/>
      <c r="IT12" s="206"/>
      <c r="IU12" s="206"/>
      <c r="IV12" s="206"/>
      <c r="IW12" s="206"/>
      <c r="IX12" s="206"/>
      <c r="IY12" s="206"/>
      <c r="IZ12" s="206"/>
      <c r="JA12" s="206"/>
      <c r="JB12" s="206"/>
      <c r="JC12" s="206"/>
      <c r="JD12" s="206"/>
      <c r="JE12" s="206"/>
      <c r="JF12" s="206"/>
      <c r="JG12" s="206"/>
      <c r="JH12" s="206"/>
      <c r="JI12" s="206"/>
      <c r="JJ12" s="206"/>
      <c r="JK12" s="206"/>
      <c r="JL12" s="206"/>
    </row>
    <row r="13" spans="1:272" s="209" customFormat="1" ht="324.75" customHeight="1" x14ac:dyDescent="0.25">
      <c r="A13" s="342">
        <v>1</v>
      </c>
      <c r="B13" s="321" t="s">
        <v>120</v>
      </c>
      <c r="C13" s="321" t="s">
        <v>428</v>
      </c>
      <c r="D13" s="321" t="s">
        <v>429</v>
      </c>
      <c r="E13" s="524" t="s">
        <v>430</v>
      </c>
      <c r="F13" s="340" t="s">
        <v>150</v>
      </c>
      <c r="G13" s="321" t="s">
        <v>127</v>
      </c>
      <c r="H13" s="321" t="s">
        <v>431</v>
      </c>
      <c r="I13" s="321" t="s">
        <v>432</v>
      </c>
      <c r="J13" s="321" t="s">
        <v>433</v>
      </c>
      <c r="K13" s="321" t="s">
        <v>434</v>
      </c>
      <c r="L13" s="321" t="s">
        <v>133</v>
      </c>
      <c r="M13" s="321" t="s">
        <v>141</v>
      </c>
      <c r="N13" s="329">
        <v>630</v>
      </c>
      <c r="O13" s="326" t="str">
        <f>IF(N13&lt;=0,"",IF(N13&lt;=2,"Muy Baja",IF(N13&lt;=24,"Baja",IF(N13&lt;=500,"Media",IF(N13&lt;=5000,"Alta","Muy Alta")))))</f>
        <v>Alta</v>
      </c>
      <c r="P13" s="325">
        <f>IF(O13="","",IF(O13="Muy Baja",0.2,IF(O13="Baja",0.4,IF(O13="Media",0.6,IF(O13="Alta",0.8,IF(O13="Muy Alta",1,))))))</f>
        <v>0.8</v>
      </c>
      <c r="Q13" s="315" t="s">
        <v>253</v>
      </c>
      <c r="R13" s="325" t="str">
        <f>IF(NOT(ISERROR(MATCH(Q13,'Tabla Impacto'!$B$222:$B$224,0))),'Tabla Impacto'!$F$224&amp;"Por favor no seleccionar los criterios de impacto(Afectación Económica o presupuestal y Pérdida Reputacional)",Q13)</f>
        <v xml:space="preserve">     El riesgo afecta la imagen de la entidad con algunos usuarios de relevancia frente al logro de los objetivos</v>
      </c>
      <c r="S13" s="326" t="str">
        <f>IF(OR(R13='Tabla Impacto'!$C$12,R13='Tabla Impacto'!$D$12),"Leve",IF(OR(R13='Tabla Impacto'!$C$13,R13='Tabla Impacto'!$D$13),"Menor",IF(OR(R13='Tabla Impacto'!$C$14,R13='Tabla Impacto'!$D$14),"Moderado",IF(OR(R13='Tabla Impacto'!$C$15,R13='Tabla Impacto'!$D$15),"Mayor",IF(OR(R13='Tabla Impacto'!$C$16,R13='Tabla Impacto'!$D$16),"Catastrófico","")))))</f>
        <v>Moderado</v>
      </c>
      <c r="T13" s="325">
        <f>IF(S13="","",IF(S13="Leve",0.2,IF(S13="Menor",0.4,IF(S13="Moderado",0.6,IF(S13="Mayor",0.8,IF(S13="Catastrófico",1,))))))</f>
        <v>0.6</v>
      </c>
      <c r="U13" s="324"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Alto</v>
      </c>
      <c r="V13" s="208">
        <v>1</v>
      </c>
      <c r="W13" s="260" t="s">
        <v>436</v>
      </c>
      <c r="X13" s="183" t="str">
        <f t="shared" ref="X13:X18" si="0">IF(OR(Y13="Preventivo",Y13="Detectivo"),"Probabilidad",IF(Y13="Correctivo","Impacto",""))</f>
        <v>Probabilidad</v>
      </c>
      <c r="Y13" s="184" t="s">
        <v>254</v>
      </c>
      <c r="Z13" s="184" t="s">
        <v>255</v>
      </c>
      <c r="AA13" s="185" t="str">
        <f>IF(AND(Y13="Preventivo",Z13="Automático"),"50%",IF(AND(Y13="Preventivo",Z13="Manual"),"40%",IF(AND(Y13="Detectivo",Z13="Automático"),"40%",IF(AND(Y13="Detectivo",Z13="Manual"),"30%",IF(AND(Y13="Correctivo",Z13="Automático"),"35%",IF(AND(Y13="Correctivo",Z13="Manual"),"25%",""))))))</f>
        <v>40%</v>
      </c>
      <c r="AB13" s="184" t="s">
        <v>256</v>
      </c>
      <c r="AC13" s="184" t="s">
        <v>257</v>
      </c>
      <c r="AD13" s="184" t="s">
        <v>258</v>
      </c>
      <c r="AE13" s="186">
        <f>IFERROR(IF(X13="Probabilidad",(P13-(+P13*AA13)),IF(X13="Impacto",P13,"")),"")</f>
        <v>0.48</v>
      </c>
      <c r="AF13" s="187" t="str">
        <f>IFERROR(IF(AE13="","",IF(AE13&lt;=0.2,"Muy Baja",IF(AE13&lt;=0.4,"Baja",IF(AE13&lt;=0.6,"Media",IF(AE13&lt;=0.8,"Alta","Muy Alta"))))),"")</f>
        <v>Media</v>
      </c>
      <c r="AG13" s="185">
        <f>+AE13</f>
        <v>0.48</v>
      </c>
      <c r="AH13" s="187" t="str">
        <f>IFERROR(IF(AI13="","",IF(AI13&lt;=0.2,"Leve",IF(AI13&lt;=0.4,"Menor",IF(AI13&lt;=0.6,"Moderado",IF(AI13&lt;=0.8,"Mayor","Catastrófico"))))),"")</f>
        <v>Moderado</v>
      </c>
      <c r="AI13" s="185">
        <f>IFERROR(IF(X13="Impacto",(T13-(+T13*AA13)),IF(X13="Probabilidad",T13,"")),"")</f>
        <v>0.6</v>
      </c>
      <c r="AJ13" s="188"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Moderado</v>
      </c>
      <c r="AK13" s="189" t="s">
        <v>123</v>
      </c>
      <c r="AL13" s="180" t="s">
        <v>443</v>
      </c>
      <c r="AM13" s="217" t="s">
        <v>438</v>
      </c>
      <c r="AN13" s="217" t="s">
        <v>439</v>
      </c>
      <c r="AO13" s="191">
        <v>45199</v>
      </c>
      <c r="AP13" s="341" t="s">
        <v>440</v>
      </c>
      <c r="AQ13" s="341" t="s">
        <v>441</v>
      </c>
      <c r="AR13" s="341" t="s">
        <v>442</v>
      </c>
    </row>
    <row r="14" spans="1:272" ht="257.25" customHeight="1" x14ac:dyDescent="0.2">
      <c r="A14" s="342"/>
      <c r="B14" s="322"/>
      <c r="C14" s="322"/>
      <c r="D14" s="322"/>
      <c r="E14" s="525"/>
      <c r="F14" s="340"/>
      <c r="G14" s="322"/>
      <c r="H14" s="322"/>
      <c r="I14" s="322"/>
      <c r="J14" s="322"/>
      <c r="K14" s="322"/>
      <c r="L14" s="322"/>
      <c r="M14" s="322"/>
      <c r="N14" s="329"/>
      <c r="O14" s="326"/>
      <c r="P14" s="325"/>
      <c r="Q14" s="315"/>
      <c r="R14" s="325">
        <f>IF(NOT(ISERROR(MATCH(Q14,_xlfn.ANCHORARRAY(E25),0))),P27&amp;"Por favor no seleccionar los criterios de impacto",Q14)</f>
        <v>0</v>
      </c>
      <c r="S14" s="326"/>
      <c r="T14" s="325"/>
      <c r="U14" s="324"/>
      <c r="V14" s="208">
        <v>2</v>
      </c>
      <c r="W14" s="193" t="s">
        <v>437</v>
      </c>
      <c r="X14" s="183" t="str">
        <f t="shared" si="0"/>
        <v>Probabilidad</v>
      </c>
      <c r="Y14" s="184" t="s">
        <v>254</v>
      </c>
      <c r="Z14" s="184" t="s">
        <v>255</v>
      </c>
      <c r="AA14" s="185" t="str">
        <f t="shared" ref="AA14:AA18" si="1">IF(AND(Y14="Preventivo",Z14="Automático"),"50%",IF(AND(Y14="Preventivo",Z14="Manual"),"40%",IF(AND(Y14="Detectivo",Z14="Automático"),"40%",IF(AND(Y14="Detectivo",Z14="Manual"),"30%",IF(AND(Y14="Correctivo",Z14="Automático"),"35%",IF(AND(Y14="Correctivo",Z14="Manual"),"25%",""))))))</f>
        <v>40%</v>
      </c>
      <c r="AB14" s="184" t="s">
        <v>256</v>
      </c>
      <c r="AC14" s="184" t="s">
        <v>412</v>
      </c>
      <c r="AD14" s="184" t="s">
        <v>258</v>
      </c>
      <c r="AE14" s="186">
        <f>IFERROR(IF(AND(X13="Probabilidad",X14="Probabilidad"),(AG13-(+AG13*AA14)),IF(X14="Probabilidad",(P13-(+P13*AA14)),IF(X14="Impacto",AG13,""))),"")</f>
        <v>0.28799999999999998</v>
      </c>
      <c r="AF14" s="187" t="str">
        <f t="shared" ref="AF14:AF72" si="2">IFERROR(IF(AE14="","",IF(AE14&lt;=0.2,"Muy Baja",IF(AE14&lt;=0.4,"Baja",IF(AE14&lt;=0.6,"Media",IF(AE14&lt;=0.8,"Alta","Muy Alta"))))),"")</f>
        <v>Baja</v>
      </c>
      <c r="AG14" s="185">
        <f t="shared" ref="AG14:AG18" si="3">+AE14</f>
        <v>0.28799999999999998</v>
      </c>
      <c r="AH14" s="187" t="str">
        <f t="shared" ref="AH14:AH72" si="4">IFERROR(IF(AI14="","",IF(AI14&lt;=0.2,"Leve",IF(AI14&lt;=0.4,"Menor",IF(AI14&lt;=0.6,"Moderado",IF(AI14&lt;=0.8,"Mayor","Catastrófico"))))),"")</f>
        <v>Moderado</v>
      </c>
      <c r="AI14" s="185">
        <f>IFERROR(IF(AND(X13="Impacto",X14="Impacto"),(AI13-(+AI13*AA14)),IF(X14="Impacto",($T$13-(+$T$13*AA14)),IF(X14="Probabilidad",AI13,""))),"")</f>
        <v>0.6</v>
      </c>
      <c r="AJ14" s="188" t="str">
        <f t="shared" ref="AJ14:AJ18" si="5">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Moderado</v>
      </c>
      <c r="AK14" s="189"/>
      <c r="AL14" s="180"/>
      <c r="AM14" s="190"/>
      <c r="AN14" s="180"/>
      <c r="AO14" s="191"/>
      <c r="AP14" s="322"/>
      <c r="AQ14" s="322"/>
      <c r="AR14" s="322"/>
    </row>
    <row r="15" spans="1:272" ht="30" customHeight="1" x14ac:dyDescent="0.2">
      <c r="A15" s="342"/>
      <c r="B15" s="322"/>
      <c r="C15" s="322"/>
      <c r="D15" s="322"/>
      <c r="E15" s="525"/>
      <c r="F15" s="340"/>
      <c r="G15" s="322"/>
      <c r="H15" s="322"/>
      <c r="I15" s="322"/>
      <c r="J15" s="322"/>
      <c r="K15" s="322"/>
      <c r="L15" s="322"/>
      <c r="M15" s="322"/>
      <c r="N15" s="329"/>
      <c r="O15" s="326"/>
      <c r="P15" s="325"/>
      <c r="Q15" s="315"/>
      <c r="R15" s="325">
        <f>IF(NOT(ISERROR(MATCH(Q15,_xlfn.ANCHORARRAY(E26),0))),P28&amp;"Por favor no seleccionar los criterios de impacto",Q15)</f>
        <v>0</v>
      </c>
      <c r="S15" s="326"/>
      <c r="T15" s="325"/>
      <c r="U15" s="324"/>
      <c r="V15" s="208">
        <v>3</v>
      </c>
      <c r="W15" s="182"/>
      <c r="X15" s="183" t="str">
        <f t="shared" si="0"/>
        <v/>
      </c>
      <c r="Y15" s="184"/>
      <c r="Z15" s="184"/>
      <c r="AA15" s="185" t="str">
        <f t="shared" si="1"/>
        <v/>
      </c>
      <c r="AB15" s="184"/>
      <c r="AC15" s="184"/>
      <c r="AD15" s="184"/>
      <c r="AE15" s="186" t="str">
        <f>IFERROR(IF(AND(X14="Probabilidad",X15="Probabilidad"),(AG14-(+AG14*AA15)),IF(AND(X14="Impacto",X15="Probabilidad"),(AG13-(+AG13*AA15)),IF(X15="Impacto",AG14,""))),"")</f>
        <v/>
      </c>
      <c r="AF15" s="187" t="str">
        <f t="shared" si="2"/>
        <v/>
      </c>
      <c r="AG15" s="185" t="str">
        <f t="shared" si="3"/>
        <v/>
      </c>
      <c r="AH15" s="187" t="str">
        <f t="shared" si="4"/>
        <v/>
      </c>
      <c r="AI15" s="185" t="str">
        <f>IFERROR(IF(AND(X14="Impacto",X15="Impacto"),(AI14-(+AI14*AA15)),IF(AND(X14="Probabilidad",X15="Impacto"),(AI13-(+AI13*AA15)),IF(X15="Probabilidad",AI14,""))),"")</f>
        <v/>
      </c>
      <c r="AJ15" s="188" t="str">
        <f t="shared" si="5"/>
        <v/>
      </c>
      <c r="AK15" s="189"/>
      <c r="AL15" s="180"/>
      <c r="AM15" s="190"/>
      <c r="AN15" s="190"/>
      <c r="AO15" s="191"/>
      <c r="AP15" s="322"/>
      <c r="AQ15" s="322"/>
      <c r="AR15" s="322"/>
    </row>
    <row r="16" spans="1:272" x14ac:dyDescent="0.2">
      <c r="A16" s="342"/>
      <c r="B16" s="322"/>
      <c r="C16" s="322"/>
      <c r="D16" s="322"/>
      <c r="E16" s="525"/>
      <c r="F16" s="340"/>
      <c r="G16" s="322"/>
      <c r="H16" s="322"/>
      <c r="I16" s="322"/>
      <c r="J16" s="322"/>
      <c r="K16" s="322"/>
      <c r="L16" s="322"/>
      <c r="M16" s="322"/>
      <c r="N16" s="329"/>
      <c r="O16" s="326"/>
      <c r="P16" s="325"/>
      <c r="Q16" s="315"/>
      <c r="R16" s="325">
        <f>IF(NOT(ISERROR(MATCH(Q16,_xlfn.ANCHORARRAY(E27),0))),P29&amp;"Por favor no seleccionar los criterios de impacto",Q16)</f>
        <v>0</v>
      </c>
      <c r="S16" s="326"/>
      <c r="T16" s="325"/>
      <c r="U16" s="324"/>
      <c r="V16" s="208">
        <v>4</v>
      </c>
      <c r="W16" s="181"/>
      <c r="X16" s="183" t="str">
        <f t="shared" si="0"/>
        <v/>
      </c>
      <c r="Y16" s="184"/>
      <c r="Z16" s="184"/>
      <c r="AA16" s="185" t="str">
        <f t="shared" si="1"/>
        <v/>
      </c>
      <c r="AB16" s="184"/>
      <c r="AC16" s="184"/>
      <c r="AD16" s="184"/>
      <c r="AE16" s="186" t="str">
        <f t="shared" ref="AE16:AE18" si="6">IFERROR(IF(AND(X15="Probabilidad",X16="Probabilidad"),(AG15-(+AG15*AA16)),IF(AND(X15="Impacto",X16="Probabilidad"),(AG14-(+AG14*AA16)),IF(X16="Impacto",AG15,""))),"")</f>
        <v/>
      </c>
      <c r="AF16" s="187" t="str">
        <f t="shared" si="2"/>
        <v/>
      </c>
      <c r="AG16" s="185" t="str">
        <f t="shared" si="3"/>
        <v/>
      </c>
      <c r="AH16" s="187" t="str">
        <f t="shared" si="4"/>
        <v/>
      </c>
      <c r="AI16" s="185" t="str">
        <f t="shared" ref="AI16:AI18" si="7">IFERROR(IF(AND(X15="Impacto",X16="Impacto"),(AI15-(+AI15*AA16)),IF(AND(X15="Probabilidad",X16="Impacto"),(AI14-(+AI14*AA16)),IF(X16="Probabilidad",AI15,""))),"")</f>
        <v/>
      </c>
      <c r="AJ16" s="188" t="str">
        <f>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
      </c>
      <c r="AK16" s="189"/>
      <c r="AL16" s="180"/>
      <c r="AM16" s="190"/>
      <c r="AN16" s="190"/>
      <c r="AO16" s="191"/>
      <c r="AP16" s="322"/>
      <c r="AQ16" s="322"/>
      <c r="AR16" s="322"/>
    </row>
    <row r="17" spans="1:44" x14ac:dyDescent="0.2">
      <c r="A17" s="342"/>
      <c r="B17" s="322"/>
      <c r="C17" s="322"/>
      <c r="D17" s="322"/>
      <c r="E17" s="525"/>
      <c r="F17" s="340"/>
      <c r="G17" s="322"/>
      <c r="H17" s="322"/>
      <c r="I17" s="322"/>
      <c r="J17" s="322"/>
      <c r="K17" s="322"/>
      <c r="L17" s="322"/>
      <c r="M17" s="322"/>
      <c r="N17" s="329"/>
      <c r="O17" s="326"/>
      <c r="P17" s="325"/>
      <c r="Q17" s="315"/>
      <c r="R17" s="325">
        <f>IF(NOT(ISERROR(MATCH(Q17,_xlfn.ANCHORARRAY(E28),0))),P30&amp;"Por favor no seleccionar los criterios de impacto",Q17)</f>
        <v>0</v>
      </c>
      <c r="S17" s="326"/>
      <c r="T17" s="325"/>
      <c r="U17" s="324"/>
      <c r="V17" s="208">
        <v>5</v>
      </c>
      <c r="W17" s="181"/>
      <c r="X17" s="183" t="str">
        <f t="shared" si="0"/>
        <v/>
      </c>
      <c r="Y17" s="184"/>
      <c r="Z17" s="184"/>
      <c r="AA17" s="185" t="str">
        <f t="shared" si="1"/>
        <v/>
      </c>
      <c r="AB17" s="184"/>
      <c r="AC17" s="184"/>
      <c r="AD17" s="184"/>
      <c r="AE17" s="186" t="str">
        <f t="shared" si="6"/>
        <v/>
      </c>
      <c r="AF17" s="187" t="str">
        <f t="shared" si="2"/>
        <v/>
      </c>
      <c r="AG17" s="185" t="str">
        <f t="shared" si="3"/>
        <v/>
      </c>
      <c r="AH17" s="187" t="str">
        <f t="shared" si="4"/>
        <v/>
      </c>
      <c r="AI17" s="185" t="str">
        <f t="shared" si="7"/>
        <v/>
      </c>
      <c r="AJ17" s="188" t="str">
        <f t="shared" si="5"/>
        <v/>
      </c>
      <c r="AK17" s="189"/>
      <c r="AL17" s="180"/>
      <c r="AM17" s="190"/>
      <c r="AN17" s="190"/>
      <c r="AO17" s="191"/>
      <c r="AP17" s="322"/>
      <c r="AQ17" s="322"/>
      <c r="AR17" s="322"/>
    </row>
    <row r="18" spans="1:44" ht="37.5" customHeight="1" x14ac:dyDescent="0.2">
      <c r="A18" s="342"/>
      <c r="B18" s="323"/>
      <c r="C18" s="323"/>
      <c r="D18" s="323"/>
      <c r="E18" s="526"/>
      <c r="F18" s="340"/>
      <c r="G18" s="323"/>
      <c r="H18" s="323"/>
      <c r="I18" s="323"/>
      <c r="J18" s="323"/>
      <c r="K18" s="323"/>
      <c r="L18" s="323"/>
      <c r="M18" s="323"/>
      <c r="N18" s="329"/>
      <c r="O18" s="326"/>
      <c r="P18" s="325"/>
      <c r="Q18" s="315"/>
      <c r="R18" s="325">
        <f>IF(NOT(ISERROR(MATCH(Q18,_xlfn.ANCHORARRAY(E29),0))),P31&amp;"Por favor no seleccionar los criterios de impacto",Q18)</f>
        <v>0</v>
      </c>
      <c r="S18" s="326"/>
      <c r="T18" s="325"/>
      <c r="U18" s="324"/>
      <c r="V18" s="208">
        <v>6</v>
      </c>
      <c r="W18" s="181"/>
      <c r="X18" s="183" t="str">
        <f t="shared" si="0"/>
        <v/>
      </c>
      <c r="Y18" s="184"/>
      <c r="Z18" s="184"/>
      <c r="AA18" s="185" t="str">
        <f t="shared" si="1"/>
        <v/>
      </c>
      <c r="AB18" s="184"/>
      <c r="AC18" s="184"/>
      <c r="AD18" s="184"/>
      <c r="AE18" s="186" t="str">
        <f t="shared" si="6"/>
        <v/>
      </c>
      <c r="AF18" s="187" t="str">
        <f t="shared" si="2"/>
        <v/>
      </c>
      <c r="AG18" s="185" t="str">
        <f t="shared" si="3"/>
        <v/>
      </c>
      <c r="AH18" s="187" t="str">
        <f t="shared" si="4"/>
        <v/>
      </c>
      <c r="AI18" s="185" t="str">
        <f t="shared" si="7"/>
        <v/>
      </c>
      <c r="AJ18" s="188" t="str">
        <f t="shared" si="5"/>
        <v/>
      </c>
      <c r="AK18" s="189"/>
      <c r="AL18" s="180"/>
      <c r="AM18" s="190"/>
      <c r="AN18" s="190"/>
      <c r="AO18" s="191"/>
      <c r="AP18" s="323"/>
      <c r="AQ18" s="323"/>
      <c r="AR18" s="323"/>
    </row>
    <row r="19" spans="1:44" ht="37.5" customHeight="1" x14ac:dyDescent="0.2">
      <c r="A19" s="342">
        <v>2</v>
      </c>
      <c r="B19" s="340"/>
      <c r="C19" s="340"/>
      <c r="D19" s="340"/>
      <c r="E19" s="523"/>
      <c r="F19" s="340"/>
      <c r="G19" s="321"/>
      <c r="H19" s="321"/>
      <c r="I19" s="321"/>
      <c r="J19" s="321"/>
      <c r="K19" s="321"/>
      <c r="L19" s="321"/>
      <c r="M19" s="321"/>
      <c r="N19" s="329"/>
      <c r="O19" s="326" t="str">
        <f>IF(N19&lt;=0,"",IF(N19&lt;=2,"Muy Baja",IF(N19&lt;=24,"Baja",IF(N19&lt;=500,"Media",IF(N19&lt;=5000,"Alta","Muy Alta")))))</f>
        <v/>
      </c>
      <c r="P19" s="325" t="str">
        <f>IF(O19="","",IF(O19="Muy Baja",0.2,IF(O19="Baja",0.4,IF(O19="Media",0.6,IF(O19="Alta",0.8,IF(O19="Muy Alta",1,))))))</f>
        <v/>
      </c>
      <c r="Q19" s="315"/>
      <c r="R19" s="325">
        <f>IF(NOT(ISERROR(MATCH(Q19,'Tabla Impacto'!$B$222:$B$224,0))),'Tabla Impacto'!$F$224&amp;"Por favor no seleccionar los criterios de impacto(Afectación Económica o presupuestal y Pérdida Reputacional)",Q19)</f>
        <v>0</v>
      </c>
      <c r="S19" s="326" t="str">
        <f>IF(OR(R19='Tabla Impacto'!$C$12,R19='Tabla Impacto'!$D$12),"Leve",IF(OR(R19='Tabla Impacto'!$C$13,R19='Tabla Impacto'!$D$13),"Menor",IF(OR(R19='Tabla Impacto'!$C$14,R19='Tabla Impacto'!$D$14),"Moderado",IF(OR(R19='Tabla Impacto'!$C$15,R19='Tabla Impacto'!$D$15),"Mayor",IF(OR(R19='Tabla Impacto'!$C$16,R19='Tabla Impacto'!$D$16),"Catastrófico","")))))</f>
        <v/>
      </c>
      <c r="T19" s="325" t="str">
        <f>IF(S19="","",IF(S19="Leve",0.2,IF(S19="Menor",0.4,IF(S19="Moderado",0.6,IF(S19="Mayor",0.8,IF(S19="Catastrófico",1,))))))</f>
        <v/>
      </c>
      <c r="U19" s="324"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
      </c>
      <c r="V19" s="208">
        <v>1</v>
      </c>
      <c r="W19" s="181"/>
      <c r="X19" s="183" t="str">
        <f>IF(OR(Y19="Preventivo",Y19="Detectivo"),"Probabilidad",IF(Y19="Correctivo","Impacto",""))</f>
        <v/>
      </c>
      <c r="Y19" s="184"/>
      <c r="Z19" s="184"/>
      <c r="AA19" s="185" t="str">
        <f>IF(AND(Y19="Preventivo",Z19="Automático"),"50%",IF(AND(Y19="Preventivo",Z19="Manual"),"40%",IF(AND(Y19="Detectivo",Z19="Automático"),"40%",IF(AND(Y19="Detectivo",Z19="Manual"),"30%",IF(AND(Y19="Correctivo",Z19="Automático"),"35%",IF(AND(Y19="Correctivo",Z19="Manual"),"25%",""))))))</f>
        <v/>
      </c>
      <c r="AB19" s="184"/>
      <c r="AC19" s="184"/>
      <c r="AD19" s="184"/>
      <c r="AE19" s="186" t="str">
        <f>IFERROR(IF(X19="Probabilidad",(P19-(+P19*AA19)),IF(X19="Impacto",P19,"")),"")</f>
        <v/>
      </c>
      <c r="AF19" s="187" t="str">
        <f>IFERROR(IF(AE19="","",IF(AE19&lt;=0.2,"Muy Baja",IF(AE19&lt;=0.4,"Baja",IF(AE19&lt;=0.6,"Media",IF(AE19&lt;=0.8,"Alta","Muy Alta"))))),"")</f>
        <v/>
      </c>
      <c r="AG19" s="185" t="str">
        <f>+AE19</f>
        <v/>
      </c>
      <c r="AH19" s="187" t="str">
        <f>IFERROR(IF(AI19="","",IF(AI19&lt;=0.2,"Leve",IF(AI19&lt;=0.4,"Menor",IF(AI19&lt;=0.6,"Moderado",IF(AI19&lt;=0.8,"Mayor","Catastrófico"))))),"")</f>
        <v/>
      </c>
      <c r="AI19" s="185" t="str">
        <f t="shared" ref="AI19" si="8">IFERROR(IF(X19="Impacto",(T19-(+T19*AA19)),IF(X19="Probabilidad",T19,"")),"")</f>
        <v/>
      </c>
      <c r="AJ19" s="188" t="str">
        <f>IFERROR(IF(OR(AND(AF19="Muy Baja",AH19="Leve"),AND(AF19="Muy Baja",AH19="Menor"),AND(AF19="Baja",AH19="Leve")),"Bajo",IF(OR(AND(AF19="Muy baja",AH19="Moderado"),AND(AF19="Baja",AH19="Menor"),AND(AF19="Baja",AH19="Moderado"),AND(AF19="Media",AH19="Leve"),AND(AF19="Media",AH19="Menor"),AND(AF19="Media",AH19="Moderado"),AND(AF19="Alta",AH19="Leve"),AND(AF19="Alta",AH19="Menor")),"Moderado",IF(OR(AND(AF19="Muy Baja",AH19="Mayor"),AND(AF19="Baja",AH19="Mayor"),AND(AF19="Media",AH19="Mayor"),AND(AF19="Alta",AH19="Moderado"),AND(AF19="Alta",AH19="Mayor"),AND(AF19="Muy Alta",AH19="Leve"),AND(AF19="Muy Alta",AH19="Menor"),AND(AF19="Muy Alta",AH19="Moderado"),AND(AF19="Muy Alta",AH19="Mayor")),"Alto",IF(OR(AND(AF19="Muy Baja",AH19="Catastrófico"),AND(AF19="Baja",AH19="Catastrófico"),AND(AF19="Media",AH19="Catastrófico"),AND(AF19="Alta",AH19="Catastrófico"),AND(AF19="Muy Alta",AH19="Catastrófico")),"Extremo","")))),"")</f>
        <v/>
      </c>
      <c r="AK19" s="189"/>
      <c r="AL19" s="180"/>
      <c r="AM19" s="190"/>
      <c r="AN19" s="190"/>
      <c r="AO19" s="191"/>
      <c r="AP19" s="329"/>
      <c r="AQ19" s="329"/>
      <c r="AR19" s="329"/>
    </row>
    <row r="20" spans="1:44" ht="37.5" customHeight="1" x14ac:dyDescent="0.2">
      <c r="A20" s="342"/>
      <c r="B20" s="340"/>
      <c r="C20" s="340"/>
      <c r="D20" s="340"/>
      <c r="E20" s="523"/>
      <c r="F20" s="340"/>
      <c r="G20" s="322"/>
      <c r="H20" s="322"/>
      <c r="I20" s="322"/>
      <c r="J20" s="322"/>
      <c r="K20" s="322"/>
      <c r="L20" s="322"/>
      <c r="M20" s="322"/>
      <c r="N20" s="329"/>
      <c r="O20" s="326"/>
      <c r="P20" s="325"/>
      <c r="Q20" s="315"/>
      <c r="R20" s="325">
        <f>IF(NOT(ISERROR(MATCH(Q20,_xlfn.ANCHORARRAY(E31),0))),P33&amp;"Por favor no seleccionar los criterios de impacto",Q20)</f>
        <v>0</v>
      </c>
      <c r="S20" s="326"/>
      <c r="T20" s="325"/>
      <c r="U20" s="324"/>
      <c r="V20" s="208">
        <v>2</v>
      </c>
      <c r="W20" s="181"/>
      <c r="X20" s="183" t="str">
        <f>IF(OR(Y20="Preventivo",Y20="Detectivo"),"Probabilidad",IF(Y20="Correctivo","Impacto",""))</f>
        <v/>
      </c>
      <c r="Y20" s="184"/>
      <c r="Z20" s="184"/>
      <c r="AA20" s="185" t="str">
        <f t="shared" ref="AA20:AA24" si="9">IF(AND(Y20="Preventivo",Z20="Automático"),"50%",IF(AND(Y20="Preventivo",Z20="Manual"),"40%",IF(AND(Y20="Detectivo",Z20="Automático"),"40%",IF(AND(Y20="Detectivo",Z20="Manual"),"30%",IF(AND(Y20="Correctivo",Z20="Automático"),"35%",IF(AND(Y20="Correctivo",Z20="Manual"),"25%",""))))))</f>
        <v/>
      </c>
      <c r="AB20" s="184"/>
      <c r="AC20" s="184"/>
      <c r="AD20" s="184"/>
      <c r="AE20" s="186" t="str">
        <f>IFERROR(IF(AND(X19="Probabilidad",X20="Probabilidad"),(AG19-(+AG19*AA20)),IF(X20="Probabilidad",(P19-(+P19*AA20)),IF(X20="Impacto",AG19,""))),"")</f>
        <v/>
      </c>
      <c r="AF20" s="187" t="str">
        <f t="shared" si="2"/>
        <v/>
      </c>
      <c r="AG20" s="185" t="str">
        <f t="shared" ref="AG20:AG24" si="10">+AE20</f>
        <v/>
      </c>
      <c r="AH20" s="187" t="str">
        <f t="shared" si="4"/>
        <v/>
      </c>
      <c r="AI20" s="185" t="str">
        <f t="shared" ref="AI20" si="11">IFERROR(IF(AND(X19="Impacto",X20="Impacto"),(AI19-(+AI19*AA20)),IF(X20="Impacto",($T$13-(+$T$13*AA20)),IF(X20="Probabilidad",AI19,""))),"")</f>
        <v/>
      </c>
      <c r="AJ20" s="188" t="str">
        <f t="shared" ref="AJ20:AJ21" si="12">IFERROR(IF(OR(AND(AF20="Muy Baja",AH20="Leve"),AND(AF20="Muy Baja",AH20="Menor"),AND(AF20="Baja",AH20="Leve")),"Bajo",IF(OR(AND(AF20="Muy baja",AH20="Moderado"),AND(AF20="Baja",AH20="Menor"),AND(AF20="Baja",AH20="Moderado"),AND(AF20="Media",AH20="Leve"),AND(AF20="Media",AH20="Menor"),AND(AF20="Media",AH20="Moderado"),AND(AF20="Alta",AH20="Leve"),AND(AF20="Alta",AH20="Menor")),"Moderado",IF(OR(AND(AF20="Muy Baja",AH20="Mayor"),AND(AF20="Baja",AH20="Mayor"),AND(AF20="Media",AH20="Mayor"),AND(AF20="Alta",AH20="Moderado"),AND(AF20="Alta",AH20="Mayor"),AND(AF20="Muy Alta",AH20="Leve"),AND(AF20="Muy Alta",AH20="Menor"),AND(AF20="Muy Alta",AH20="Moderado"),AND(AF20="Muy Alta",AH20="Mayor")),"Alto",IF(OR(AND(AF20="Muy Baja",AH20="Catastrófico"),AND(AF20="Baja",AH20="Catastrófico"),AND(AF20="Media",AH20="Catastrófico"),AND(AF20="Alta",AH20="Catastrófico"),AND(AF20="Muy Alta",AH20="Catastrófico")),"Extremo","")))),"")</f>
        <v/>
      </c>
      <c r="AK20" s="189"/>
      <c r="AL20" s="180"/>
      <c r="AM20" s="190"/>
      <c r="AN20" s="180"/>
      <c r="AO20" s="191"/>
      <c r="AP20" s="329"/>
      <c r="AQ20" s="329"/>
      <c r="AR20" s="329"/>
    </row>
    <row r="21" spans="1:44" ht="37.5" customHeight="1" x14ac:dyDescent="0.2">
      <c r="A21" s="342"/>
      <c r="B21" s="340"/>
      <c r="C21" s="340"/>
      <c r="D21" s="340"/>
      <c r="E21" s="523"/>
      <c r="F21" s="340"/>
      <c r="G21" s="322"/>
      <c r="H21" s="322"/>
      <c r="I21" s="322"/>
      <c r="J21" s="322"/>
      <c r="K21" s="322"/>
      <c r="L21" s="322"/>
      <c r="M21" s="322"/>
      <c r="N21" s="329"/>
      <c r="O21" s="326"/>
      <c r="P21" s="325"/>
      <c r="Q21" s="315"/>
      <c r="R21" s="325">
        <f>IF(NOT(ISERROR(MATCH(Q21,_xlfn.ANCHORARRAY(E32),0))),P34&amp;"Por favor no seleccionar los criterios de impacto",Q21)</f>
        <v>0</v>
      </c>
      <c r="S21" s="326"/>
      <c r="T21" s="325"/>
      <c r="U21" s="324"/>
      <c r="V21" s="208">
        <v>3</v>
      </c>
      <c r="W21" s="182"/>
      <c r="X21" s="183" t="str">
        <f>IF(OR(Y21="Preventivo",Y21="Detectivo"),"Probabilidad",IF(Y21="Correctivo","Impacto",""))</f>
        <v/>
      </c>
      <c r="Y21" s="184"/>
      <c r="Z21" s="184"/>
      <c r="AA21" s="185" t="str">
        <f t="shared" si="9"/>
        <v/>
      </c>
      <c r="AB21" s="184"/>
      <c r="AC21" s="184"/>
      <c r="AD21" s="184"/>
      <c r="AE21" s="186" t="str">
        <f>IFERROR(IF(AND(X20="Probabilidad",X21="Probabilidad"),(AG20-(+AG20*AA21)),IF(AND(X20="Impacto",X21="Probabilidad"),(AG19-(+AG19*AA21)),IF(X21="Impacto",AG20,""))),"")</f>
        <v/>
      </c>
      <c r="AF21" s="187" t="str">
        <f t="shared" si="2"/>
        <v/>
      </c>
      <c r="AG21" s="185" t="str">
        <f t="shared" si="10"/>
        <v/>
      </c>
      <c r="AH21" s="187" t="str">
        <f t="shared" si="4"/>
        <v/>
      </c>
      <c r="AI21" s="185" t="str">
        <f t="shared" ref="AI21:AI72" si="13">IFERROR(IF(AND(X20="Impacto",X21="Impacto"),(AI20-(+AI20*AA21)),IF(AND(X20="Probabilidad",X21="Impacto"),(AI19-(+AI19*AA21)),IF(X21="Probabilidad",AI20,""))),"")</f>
        <v/>
      </c>
      <c r="AJ21" s="188" t="str">
        <f t="shared" si="12"/>
        <v/>
      </c>
      <c r="AK21" s="189"/>
      <c r="AL21" s="180"/>
      <c r="AM21" s="190"/>
      <c r="AN21" s="190"/>
      <c r="AO21" s="191"/>
      <c r="AP21" s="329"/>
      <c r="AQ21" s="329"/>
      <c r="AR21" s="329"/>
    </row>
    <row r="22" spans="1:44" ht="37.5" customHeight="1" x14ac:dyDescent="0.2">
      <c r="A22" s="342"/>
      <c r="B22" s="340"/>
      <c r="C22" s="340"/>
      <c r="D22" s="340"/>
      <c r="E22" s="523"/>
      <c r="F22" s="340"/>
      <c r="G22" s="322"/>
      <c r="H22" s="322"/>
      <c r="I22" s="322"/>
      <c r="J22" s="322"/>
      <c r="K22" s="322"/>
      <c r="L22" s="322"/>
      <c r="M22" s="322"/>
      <c r="N22" s="329"/>
      <c r="O22" s="326"/>
      <c r="P22" s="325"/>
      <c r="Q22" s="315"/>
      <c r="R22" s="325">
        <f>IF(NOT(ISERROR(MATCH(Q22,_xlfn.ANCHORARRAY(E33),0))),P35&amp;"Por favor no seleccionar los criterios de impacto",Q22)</f>
        <v>0</v>
      </c>
      <c r="S22" s="326"/>
      <c r="T22" s="325"/>
      <c r="U22" s="324"/>
      <c r="V22" s="208">
        <v>4</v>
      </c>
      <c r="W22" s="181"/>
      <c r="X22" s="183" t="str">
        <f t="shared" ref="X22:X24" si="14">IF(OR(Y22="Preventivo",Y22="Detectivo"),"Probabilidad",IF(Y22="Correctivo","Impacto",""))</f>
        <v/>
      </c>
      <c r="Y22" s="184"/>
      <c r="Z22" s="184"/>
      <c r="AA22" s="185" t="str">
        <f t="shared" si="9"/>
        <v/>
      </c>
      <c r="AB22" s="184"/>
      <c r="AC22" s="184"/>
      <c r="AD22" s="184"/>
      <c r="AE22" s="186" t="str">
        <f t="shared" ref="AE22:AE24" si="15">IFERROR(IF(AND(X21="Probabilidad",X22="Probabilidad"),(AG21-(+AG21*AA22)),IF(AND(X21="Impacto",X22="Probabilidad"),(AG20-(+AG20*AA22)),IF(X22="Impacto",AG21,""))),"")</f>
        <v/>
      </c>
      <c r="AF22" s="187" t="str">
        <f t="shared" si="2"/>
        <v/>
      </c>
      <c r="AG22" s="185" t="str">
        <f t="shared" si="10"/>
        <v/>
      </c>
      <c r="AH22" s="187" t="str">
        <f t="shared" si="4"/>
        <v/>
      </c>
      <c r="AI22" s="185" t="str">
        <f t="shared" si="13"/>
        <v/>
      </c>
      <c r="AJ22" s="188" t="str">
        <f>IFERROR(IF(OR(AND(AF22="Muy Baja",AH22="Leve"),AND(AF22="Muy Baja",AH22="Menor"),AND(AF22="Baja",AH22="Leve")),"Bajo",IF(OR(AND(AF22="Muy baja",AH22="Moderado"),AND(AF22="Baja",AH22="Menor"),AND(AF22="Baja",AH22="Moderado"),AND(AF22="Media",AH22="Leve"),AND(AF22="Media",AH22="Menor"),AND(AF22="Media",AH22="Moderado"),AND(AF22="Alta",AH22="Leve"),AND(AF22="Alta",AH22="Menor")),"Moderado",IF(OR(AND(AF22="Muy Baja",AH22="Mayor"),AND(AF22="Baja",AH22="Mayor"),AND(AF22="Media",AH22="Mayor"),AND(AF22="Alta",AH22="Moderado"),AND(AF22="Alta",AH22="Mayor"),AND(AF22="Muy Alta",AH22="Leve"),AND(AF22="Muy Alta",AH22="Menor"),AND(AF22="Muy Alta",AH22="Moderado"),AND(AF22="Muy Alta",AH22="Mayor")),"Alto",IF(OR(AND(AF22="Muy Baja",AH22="Catastrófico"),AND(AF22="Baja",AH22="Catastrófico"),AND(AF22="Media",AH22="Catastrófico"),AND(AF22="Alta",AH22="Catastrófico"),AND(AF22="Muy Alta",AH22="Catastrófico")),"Extremo","")))),"")</f>
        <v/>
      </c>
      <c r="AK22" s="189"/>
      <c r="AL22" s="180"/>
      <c r="AM22" s="190"/>
      <c r="AN22" s="190"/>
      <c r="AO22" s="191"/>
      <c r="AP22" s="329"/>
      <c r="AQ22" s="329"/>
      <c r="AR22" s="329"/>
    </row>
    <row r="23" spans="1:44" ht="37.5" customHeight="1" x14ac:dyDescent="0.2">
      <c r="A23" s="342"/>
      <c r="B23" s="340"/>
      <c r="C23" s="340"/>
      <c r="D23" s="340"/>
      <c r="E23" s="523"/>
      <c r="F23" s="340"/>
      <c r="G23" s="322"/>
      <c r="H23" s="322"/>
      <c r="I23" s="322"/>
      <c r="J23" s="322"/>
      <c r="K23" s="322"/>
      <c r="L23" s="322"/>
      <c r="M23" s="322"/>
      <c r="N23" s="329"/>
      <c r="O23" s="326"/>
      <c r="P23" s="325"/>
      <c r="Q23" s="315"/>
      <c r="R23" s="325">
        <f>IF(NOT(ISERROR(MATCH(Q23,_xlfn.ANCHORARRAY(E34),0))),P36&amp;"Por favor no seleccionar los criterios de impacto",Q23)</f>
        <v>0</v>
      </c>
      <c r="S23" s="326"/>
      <c r="T23" s="325"/>
      <c r="U23" s="324"/>
      <c r="V23" s="208">
        <v>5</v>
      </c>
      <c r="W23" s="181"/>
      <c r="X23" s="183" t="str">
        <f t="shared" si="14"/>
        <v/>
      </c>
      <c r="Y23" s="184"/>
      <c r="Z23" s="184"/>
      <c r="AA23" s="185" t="str">
        <f t="shared" si="9"/>
        <v/>
      </c>
      <c r="AB23" s="184"/>
      <c r="AC23" s="184"/>
      <c r="AD23" s="184"/>
      <c r="AE23" s="186" t="str">
        <f t="shared" si="15"/>
        <v/>
      </c>
      <c r="AF23" s="187" t="str">
        <f t="shared" si="2"/>
        <v/>
      </c>
      <c r="AG23" s="185" t="str">
        <f t="shared" si="10"/>
        <v/>
      </c>
      <c r="AH23" s="187" t="str">
        <f t="shared" si="4"/>
        <v/>
      </c>
      <c r="AI23" s="185" t="str">
        <f t="shared" si="13"/>
        <v/>
      </c>
      <c r="AJ23" s="188" t="str">
        <f t="shared" ref="AJ23:AJ24" si="16">IFERROR(IF(OR(AND(AF23="Muy Baja",AH23="Leve"),AND(AF23="Muy Baja",AH23="Menor"),AND(AF23="Baja",AH23="Leve")),"Bajo",IF(OR(AND(AF23="Muy baja",AH23="Moderado"),AND(AF23="Baja",AH23="Menor"),AND(AF23="Baja",AH23="Moderado"),AND(AF23="Media",AH23="Leve"),AND(AF23="Media",AH23="Menor"),AND(AF23="Media",AH23="Moderado"),AND(AF23="Alta",AH23="Leve"),AND(AF23="Alta",AH23="Menor")),"Moderado",IF(OR(AND(AF23="Muy Baja",AH23="Mayor"),AND(AF23="Baja",AH23="Mayor"),AND(AF23="Media",AH23="Mayor"),AND(AF23="Alta",AH23="Moderado"),AND(AF23="Alta",AH23="Mayor"),AND(AF23="Muy Alta",AH23="Leve"),AND(AF23="Muy Alta",AH23="Menor"),AND(AF23="Muy Alta",AH23="Moderado"),AND(AF23="Muy Alta",AH23="Mayor")),"Alto",IF(OR(AND(AF23="Muy Baja",AH23="Catastrófico"),AND(AF23="Baja",AH23="Catastrófico"),AND(AF23="Media",AH23="Catastrófico"),AND(AF23="Alta",AH23="Catastrófico"),AND(AF23="Muy Alta",AH23="Catastrófico")),"Extremo","")))),"")</f>
        <v/>
      </c>
      <c r="AK23" s="189"/>
      <c r="AL23" s="180"/>
      <c r="AM23" s="190"/>
      <c r="AN23" s="190"/>
      <c r="AO23" s="191"/>
      <c r="AP23" s="329"/>
      <c r="AQ23" s="329"/>
      <c r="AR23" s="329"/>
    </row>
    <row r="24" spans="1:44" ht="37.5" customHeight="1" x14ac:dyDescent="0.2">
      <c r="A24" s="342"/>
      <c r="B24" s="340"/>
      <c r="C24" s="340"/>
      <c r="D24" s="340"/>
      <c r="E24" s="523"/>
      <c r="F24" s="340"/>
      <c r="G24" s="323"/>
      <c r="H24" s="323"/>
      <c r="I24" s="323"/>
      <c r="J24" s="323"/>
      <c r="K24" s="323"/>
      <c r="L24" s="323"/>
      <c r="M24" s="323"/>
      <c r="N24" s="329"/>
      <c r="O24" s="326"/>
      <c r="P24" s="325"/>
      <c r="Q24" s="315"/>
      <c r="R24" s="325">
        <f>IF(NOT(ISERROR(MATCH(Q24,_xlfn.ANCHORARRAY(E35),0))),P37&amp;"Por favor no seleccionar los criterios de impacto",Q24)</f>
        <v>0</v>
      </c>
      <c r="S24" s="326"/>
      <c r="T24" s="325"/>
      <c r="U24" s="324"/>
      <c r="V24" s="208">
        <v>6</v>
      </c>
      <c r="W24" s="181"/>
      <c r="X24" s="183" t="str">
        <f t="shared" si="14"/>
        <v/>
      </c>
      <c r="Y24" s="184"/>
      <c r="Z24" s="184"/>
      <c r="AA24" s="185" t="str">
        <f t="shared" si="9"/>
        <v/>
      </c>
      <c r="AB24" s="184"/>
      <c r="AC24" s="184"/>
      <c r="AD24" s="184"/>
      <c r="AE24" s="186" t="str">
        <f t="shared" si="15"/>
        <v/>
      </c>
      <c r="AF24" s="187" t="str">
        <f t="shared" si="2"/>
        <v/>
      </c>
      <c r="AG24" s="185" t="str">
        <f t="shared" si="10"/>
        <v/>
      </c>
      <c r="AH24" s="187" t="str">
        <f t="shared" si="4"/>
        <v/>
      </c>
      <c r="AI24" s="185" t="str">
        <f t="shared" si="13"/>
        <v/>
      </c>
      <c r="AJ24" s="188" t="str">
        <f t="shared" si="16"/>
        <v/>
      </c>
      <c r="AK24" s="189"/>
      <c r="AL24" s="180"/>
      <c r="AM24" s="190"/>
      <c r="AN24" s="190"/>
      <c r="AO24" s="191"/>
      <c r="AP24" s="329"/>
      <c r="AQ24" s="329"/>
      <c r="AR24" s="329"/>
    </row>
    <row r="25" spans="1:44" ht="37.5" customHeight="1" x14ac:dyDescent="0.2">
      <c r="A25" s="342">
        <v>3</v>
      </c>
      <c r="B25" s="340"/>
      <c r="C25" s="340"/>
      <c r="D25" s="340"/>
      <c r="E25" s="523"/>
      <c r="F25" s="340"/>
      <c r="G25" s="321"/>
      <c r="H25" s="321"/>
      <c r="I25" s="321"/>
      <c r="J25" s="321"/>
      <c r="K25" s="321"/>
      <c r="L25" s="321"/>
      <c r="M25" s="321"/>
      <c r="N25" s="329"/>
      <c r="O25" s="326" t="str">
        <f>IF(N25&lt;=0,"",IF(N25&lt;=2,"Muy Baja",IF(N25&lt;=24,"Baja",IF(N25&lt;=500,"Media",IF(N25&lt;=5000,"Alta","Muy Alta")))))</f>
        <v/>
      </c>
      <c r="P25" s="325" t="str">
        <f>IF(O25="","",IF(O25="Muy Baja",0.2,IF(O25="Baja",0.4,IF(O25="Media",0.6,IF(O25="Alta",0.8,IF(O25="Muy Alta",1,))))))</f>
        <v/>
      </c>
      <c r="Q25" s="315"/>
      <c r="R25" s="325">
        <f>IF(NOT(ISERROR(MATCH(Q25,'Tabla Impacto'!$B$222:$B$224,0))),'Tabla Impacto'!$F$224&amp;"Por favor no seleccionar los criterios de impacto(Afectación Económica o presupuestal y Pérdida Reputacional)",Q25)</f>
        <v>0</v>
      </c>
      <c r="S25" s="326" t="str">
        <f>IF(OR(R25='Tabla Impacto'!$C$12,R25='Tabla Impacto'!$D$12),"Leve",IF(OR(R25='Tabla Impacto'!$C$13,R25='Tabla Impacto'!$D$13),"Menor",IF(OR(R25='Tabla Impacto'!$C$14,R25='Tabla Impacto'!$D$14),"Moderado",IF(OR(R25='Tabla Impacto'!$C$15,R25='Tabla Impacto'!$D$15),"Mayor",IF(OR(R25='Tabla Impacto'!$C$16,R25='Tabla Impacto'!$D$16),"Catastrófico","")))))</f>
        <v/>
      </c>
      <c r="T25" s="325" t="str">
        <f>IF(S25="","",IF(S25="Leve",0.2,IF(S25="Menor",0.4,IF(S25="Moderado",0.6,IF(S25="Mayor",0.8,IF(S25="Catastrófico",1,))))))</f>
        <v/>
      </c>
      <c r="U25" s="324"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208">
        <v>1</v>
      </c>
      <c r="W25" s="181"/>
      <c r="X25" s="183" t="str">
        <f>IF(OR(Y25="Preventivo",Y25="Detectivo"),"Probabilidad",IF(Y25="Correctivo","Impacto",""))</f>
        <v/>
      </c>
      <c r="Y25" s="184"/>
      <c r="Z25" s="184"/>
      <c r="AA25" s="185" t="str">
        <f>IF(AND(Y25="Preventivo",Z25="Automático"),"50%",IF(AND(Y25="Preventivo",Z25="Manual"),"40%",IF(AND(Y25="Detectivo",Z25="Automático"),"40%",IF(AND(Y25="Detectivo",Z25="Manual"),"30%",IF(AND(Y25="Correctivo",Z25="Automático"),"35%",IF(AND(Y25="Correctivo",Z25="Manual"),"25%",""))))))</f>
        <v/>
      </c>
      <c r="AB25" s="184"/>
      <c r="AC25" s="184"/>
      <c r="AD25" s="184"/>
      <c r="AE25" s="186" t="str">
        <f>IFERROR(IF(X25="Probabilidad",(P25-(+P25*AA25)),IF(X25="Impacto",P25,"")),"")</f>
        <v/>
      </c>
      <c r="AF25" s="187" t="str">
        <f>IFERROR(IF(AE25="","",IF(AE25&lt;=0.2,"Muy Baja",IF(AE25&lt;=0.4,"Baja",IF(AE25&lt;=0.6,"Media",IF(AE25&lt;=0.8,"Alta","Muy Alta"))))),"")</f>
        <v/>
      </c>
      <c r="AG25" s="185" t="str">
        <f>+AE25</f>
        <v/>
      </c>
      <c r="AH25" s="187" t="str">
        <f>IFERROR(IF(AI25="","",IF(AI25&lt;=0.2,"Leve",IF(AI25&lt;=0.4,"Menor",IF(AI25&lt;=0.6,"Moderado",IF(AI25&lt;=0.8,"Mayor","Catastrófico"))))),"")</f>
        <v/>
      </c>
      <c r="AI25" s="185" t="str">
        <f t="shared" ref="AI25" si="17">IFERROR(IF(X25="Impacto",(T25-(+T25*AA25)),IF(X25="Probabilidad",T25,"")),"")</f>
        <v/>
      </c>
      <c r="AJ25" s="188" t="str">
        <f>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
      </c>
      <c r="AK25" s="189"/>
      <c r="AL25" s="180"/>
      <c r="AM25" s="190"/>
      <c r="AN25" s="190"/>
      <c r="AO25" s="191"/>
      <c r="AP25" s="329"/>
      <c r="AQ25" s="329"/>
      <c r="AR25" s="329"/>
    </row>
    <row r="26" spans="1:44" ht="37.5" customHeight="1" x14ac:dyDescent="0.2">
      <c r="A26" s="342"/>
      <c r="B26" s="340"/>
      <c r="C26" s="340"/>
      <c r="D26" s="340"/>
      <c r="E26" s="523"/>
      <c r="F26" s="340"/>
      <c r="G26" s="322"/>
      <c r="H26" s="322"/>
      <c r="I26" s="322"/>
      <c r="J26" s="322"/>
      <c r="K26" s="322"/>
      <c r="L26" s="322"/>
      <c r="M26" s="322"/>
      <c r="N26" s="329"/>
      <c r="O26" s="326"/>
      <c r="P26" s="325"/>
      <c r="Q26" s="315"/>
      <c r="R26" s="325">
        <f>IF(NOT(ISERROR(MATCH(Q26,_xlfn.ANCHORARRAY(E37),0))),P39&amp;"Por favor no seleccionar los criterios de impacto",Q26)</f>
        <v>0</v>
      </c>
      <c r="S26" s="326"/>
      <c r="T26" s="325"/>
      <c r="U26" s="324"/>
      <c r="V26" s="208">
        <v>2</v>
      </c>
      <c r="W26" s="181"/>
      <c r="X26" s="183" t="str">
        <f>IF(OR(Y26="Preventivo",Y26="Detectivo"),"Probabilidad",IF(Y26="Correctivo","Impacto",""))</f>
        <v/>
      </c>
      <c r="Y26" s="184"/>
      <c r="Z26" s="184"/>
      <c r="AA26" s="185" t="str">
        <f t="shared" ref="AA26:AA30" si="18">IF(AND(Y26="Preventivo",Z26="Automático"),"50%",IF(AND(Y26="Preventivo",Z26="Manual"),"40%",IF(AND(Y26="Detectivo",Z26="Automático"),"40%",IF(AND(Y26="Detectivo",Z26="Manual"),"30%",IF(AND(Y26="Correctivo",Z26="Automático"),"35%",IF(AND(Y26="Correctivo",Z26="Manual"),"25%",""))))))</f>
        <v/>
      </c>
      <c r="AB26" s="184"/>
      <c r="AC26" s="184"/>
      <c r="AD26" s="184"/>
      <c r="AE26" s="186" t="str">
        <f>IFERROR(IF(AND(X25="Probabilidad",X26="Probabilidad"),(AG25-(+AG25*AA26)),IF(X26="Probabilidad",(P25-(+P25*AA26)),IF(X26="Impacto",AG25,""))),"")</f>
        <v/>
      </c>
      <c r="AF26" s="187" t="str">
        <f t="shared" si="2"/>
        <v/>
      </c>
      <c r="AG26" s="185" t="str">
        <f t="shared" ref="AG26:AG30" si="19">+AE26</f>
        <v/>
      </c>
      <c r="AH26" s="187" t="str">
        <f t="shared" si="4"/>
        <v/>
      </c>
      <c r="AI26" s="185" t="str">
        <f t="shared" ref="AI26" si="20">IFERROR(IF(AND(X25="Impacto",X26="Impacto"),(AI25-(+AI25*AA26)),IF(X26="Impacto",($T$13-(+$T$13*AA26)),IF(X26="Probabilidad",AI25,""))),"")</f>
        <v/>
      </c>
      <c r="AJ26" s="188" t="str">
        <f t="shared" ref="AJ26:AJ27" si="21">IFERROR(IF(OR(AND(AF26="Muy Baja",AH26="Leve"),AND(AF26="Muy Baja",AH26="Menor"),AND(AF26="Baja",AH26="Leve")),"Bajo",IF(OR(AND(AF26="Muy baja",AH26="Moderado"),AND(AF26="Baja",AH26="Menor"),AND(AF26="Baja",AH26="Moderado"),AND(AF26="Media",AH26="Leve"),AND(AF26="Media",AH26="Menor"),AND(AF26="Media",AH26="Moderado"),AND(AF26="Alta",AH26="Leve"),AND(AF26="Alta",AH26="Menor")),"Moderado",IF(OR(AND(AF26="Muy Baja",AH26="Mayor"),AND(AF26="Baja",AH26="Mayor"),AND(AF26="Media",AH26="Mayor"),AND(AF26="Alta",AH26="Moderado"),AND(AF26="Alta",AH26="Mayor"),AND(AF26="Muy Alta",AH26="Leve"),AND(AF26="Muy Alta",AH26="Menor"),AND(AF26="Muy Alta",AH26="Moderado"),AND(AF26="Muy Alta",AH26="Mayor")),"Alto",IF(OR(AND(AF26="Muy Baja",AH26="Catastrófico"),AND(AF26="Baja",AH26="Catastrófico"),AND(AF26="Media",AH26="Catastrófico"),AND(AF26="Alta",AH26="Catastrófico"),AND(AF26="Muy Alta",AH26="Catastrófico")),"Extremo","")))),"")</f>
        <v/>
      </c>
      <c r="AK26" s="189"/>
      <c r="AL26" s="180"/>
      <c r="AM26" s="190"/>
      <c r="AN26" s="190"/>
      <c r="AO26" s="191"/>
      <c r="AP26" s="329"/>
      <c r="AQ26" s="329"/>
      <c r="AR26" s="329"/>
    </row>
    <row r="27" spans="1:44" ht="37.5" customHeight="1" x14ac:dyDescent="0.2">
      <c r="A27" s="342"/>
      <c r="B27" s="340"/>
      <c r="C27" s="340"/>
      <c r="D27" s="340"/>
      <c r="E27" s="523"/>
      <c r="F27" s="340"/>
      <c r="G27" s="322"/>
      <c r="H27" s="322"/>
      <c r="I27" s="322"/>
      <c r="J27" s="322"/>
      <c r="K27" s="322"/>
      <c r="L27" s="322"/>
      <c r="M27" s="322"/>
      <c r="N27" s="329"/>
      <c r="O27" s="326"/>
      <c r="P27" s="325"/>
      <c r="Q27" s="315"/>
      <c r="R27" s="325">
        <f>IF(NOT(ISERROR(MATCH(Q27,_xlfn.ANCHORARRAY(E38),0))),P40&amp;"Por favor no seleccionar los criterios de impacto",Q27)</f>
        <v>0</v>
      </c>
      <c r="S27" s="326"/>
      <c r="T27" s="325"/>
      <c r="U27" s="324"/>
      <c r="V27" s="208">
        <v>3</v>
      </c>
      <c r="W27" s="181"/>
      <c r="X27" s="183" t="str">
        <f>IF(OR(Y27="Preventivo",Y27="Detectivo"),"Probabilidad",IF(Y27="Correctivo","Impacto",""))</f>
        <v/>
      </c>
      <c r="Y27" s="184"/>
      <c r="Z27" s="184"/>
      <c r="AA27" s="185" t="str">
        <f t="shared" si="18"/>
        <v/>
      </c>
      <c r="AB27" s="184"/>
      <c r="AC27" s="184"/>
      <c r="AD27" s="184"/>
      <c r="AE27" s="186" t="str">
        <f>IFERROR(IF(AND(X26="Probabilidad",X27="Probabilidad"),(AG26-(+AG26*AA27)),IF(AND(X26="Impacto",X27="Probabilidad"),(AG25-(+AG25*AA27)),IF(X27="Impacto",AG26,""))),"")</f>
        <v/>
      </c>
      <c r="AF27" s="187" t="str">
        <f t="shared" si="2"/>
        <v/>
      </c>
      <c r="AG27" s="185" t="str">
        <f t="shared" si="19"/>
        <v/>
      </c>
      <c r="AH27" s="187" t="str">
        <f t="shared" si="4"/>
        <v/>
      </c>
      <c r="AI27" s="185" t="str">
        <f t="shared" ref="AI27" si="22">IFERROR(IF(AND(X26="Impacto",X27="Impacto"),(AI26-(+AI26*AA27)),IF(AND(X26="Probabilidad",X27="Impacto"),(AI25-(+AI25*AA27)),IF(X27="Probabilidad",AI26,""))),"")</f>
        <v/>
      </c>
      <c r="AJ27" s="188" t="str">
        <f t="shared" si="21"/>
        <v/>
      </c>
      <c r="AK27" s="189"/>
      <c r="AL27" s="180"/>
      <c r="AM27" s="190"/>
      <c r="AN27" s="190"/>
      <c r="AO27" s="191"/>
      <c r="AP27" s="329"/>
      <c r="AQ27" s="329"/>
      <c r="AR27" s="329"/>
    </row>
    <row r="28" spans="1:44" ht="37.5" customHeight="1" x14ac:dyDescent="0.2">
      <c r="A28" s="342"/>
      <c r="B28" s="340"/>
      <c r="C28" s="340"/>
      <c r="D28" s="340"/>
      <c r="E28" s="523"/>
      <c r="F28" s="340"/>
      <c r="G28" s="322"/>
      <c r="H28" s="322"/>
      <c r="I28" s="322"/>
      <c r="J28" s="322"/>
      <c r="K28" s="322"/>
      <c r="L28" s="322"/>
      <c r="M28" s="322"/>
      <c r="N28" s="329"/>
      <c r="O28" s="326"/>
      <c r="P28" s="325"/>
      <c r="Q28" s="315"/>
      <c r="R28" s="325">
        <f>IF(NOT(ISERROR(MATCH(Q28,_xlfn.ANCHORARRAY(E39),0))),P41&amp;"Por favor no seleccionar los criterios de impacto",Q28)</f>
        <v>0</v>
      </c>
      <c r="S28" s="326"/>
      <c r="T28" s="325"/>
      <c r="U28" s="324"/>
      <c r="V28" s="208">
        <v>4</v>
      </c>
      <c r="W28" s="181"/>
      <c r="X28" s="183" t="str">
        <f t="shared" ref="X28:X30" si="23">IF(OR(Y28="Preventivo",Y28="Detectivo"),"Probabilidad",IF(Y28="Correctivo","Impacto",""))</f>
        <v/>
      </c>
      <c r="Y28" s="184"/>
      <c r="Z28" s="184"/>
      <c r="AA28" s="185" t="str">
        <f t="shared" si="18"/>
        <v/>
      </c>
      <c r="AB28" s="184"/>
      <c r="AC28" s="184"/>
      <c r="AD28" s="184"/>
      <c r="AE28" s="186" t="str">
        <f t="shared" ref="AE28:AE30" si="24">IFERROR(IF(AND(X27="Probabilidad",X28="Probabilidad"),(AG27-(+AG27*AA28)),IF(AND(X27="Impacto",X28="Probabilidad"),(AG26-(+AG26*AA28)),IF(X28="Impacto",AG27,""))),"")</f>
        <v/>
      </c>
      <c r="AF28" s="187" t="str">
        <f t="shared" si="2"/>
        <v/>
      </c>
      <c r="AG28" s="185" t="str">
        <f t="shared" si="19"/>
        <v/>
      </c>
      <c r="AH28" s="187" t="str">
        <f t="shared" si="4"/>
        <v/>
      </c>
      <c r="AI28" s="185" t="str">
        <f t="shared" si="13"/>
        <v/>
      </c>
      <c r="AJ28" s="188" t="str">
        <f>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
      </c>
      <c r="AK28" s="189"/>
      <c r="AL28" s="180"/>
      <c r="AM28" s="190"/>
      <c r="AN28" s="190"/>
      <c r="AO28" s="191"/>
      <c r="AP28" s="329"/>
      <c r="AQ28" s="329"/>
      <c r="AR28" s="329"/>
    </row>
    <row r="29" spans="1:44" ht="37.5" customHeight="1" x14ac:dyDescent="0.2">
      <c r="A29" s="342"/>
      <c r="B29" s="340"/>
      <c r="C29" s="340"/>
      <c r="D29" s="340"/>
      <c r="E29" s="523"/>
      <c r="F29" s="340"/>
      <c r="G29" s="322"/>
      <c r="H29" s="322"/>
      <c r="I29" s="322"/>
      <c r="J29" s="322"/>
      <c r="K29" s="322"/>
      <c r="L29" s="322"/>
      <c r="M29" s="322"/>
      <c r="N29" s="329"/>
      <c r="O29" s="326"/>
      <c r="P29" s="325"/>
      <c r="Q29" s="315"/>
      <c r="R29" s="325">
        <f>IF(NOT(ISERROR(MATCH(Q29,_xlfn.ANCHORARRAY(E40),0))),P42&amp;"Por favor no seleccionar los criterios de impacto",Q29)</f>
        <v>0</v>
      </c>
      <c r="S29" s="326"/>
      <c r="T29" s="325"/>
      <c r="U29" s="324"/>
      <c r="V29" s="208">
        <v>5</v>
      </c>
      <c r="W29" s="181"/>
      <c r="X29" s="183" t="str">
        <f t="shared" si="23"/>
        <v/>
      </c>
      <c r="Y29" s="184"/>
      <c r="Z29" s="184"/>
      <c r="AA29" s="185" t="str">
        <f t="shared" si="18"/>
        <v/>
      </c>
      <c r="AB29" s="184"/>
      <c r="AC29" s="184"/>
      <c r="AD29" s="184"/>
      <c r="AE29" s="186" t="str">
        <f t="shared" si="24"/>
        <v/>
      </c>
      <c r="AF29" s="187" t="str">
        <f t="shared" si="2"/>
        <v/>
      </c>
      <c r="AG29" s="185" t="str">
        <f t="shared" si="19"/>
        <v/>
      </c>
      <c r="AH29" s="187" t="str">
        <f t="shared" si="4"/>
        <v/>
      </c>
      <c r="AI29" s="185" t="str">
        <f t="shared" si="13"/>
        <v/>
      </c>
      <c r="AJ29" s="188" t="str">
        <f t="shared" ref="AJ29:AJ30" si="25">IFERROR(IF(OR(AND(AF29="Muy Baja",AH29="Leve"),AND(AF29="Muy Baja",AH29="Menor"),AND(AF29="Baja",AH29="Leve")),"Bajo",IF(OR(AND(AF29="Muy baja",AH29="Moderado"),AND(AF29="Baja",AH29="Menor"),AND(AF29="Baja",AH29="Moderado"),AND(AF29="Media",AH29="Leve"),AND(AF29="Media",AH29="Menor"),AND(AF29="Media",AH29="Moderado"),AND(AF29="Alta",AH29="Leve"),AND(AF29="Alta",AH29="Menor")),"Moderado",IF(OR(AND(AF29="Muy Baja",AH29="Mayor"),AND(AF29="Baja",AH29="Mayor"),AND(AF29="Media",AH29="Mayor"),AND(AF29="Alta",AH29="Moderado"),AND(AF29="Alta",AH29="Mayor"),AND(AF29="Muy Alta",AH29="Leve"),AND(AF29="Muy Alta",AH29="Menor"),AND(AF29="Muy Alta",AH29="Moderado"),AND(AF29="Muy Alta",AH29="Mayor")),"Alto",IF(OR(AND(AF29="Muy Baja",AH29="Catastrófico"),AND(AF29="Baja",AH29="Catastrófico"),AND(AF29="Media",AH29="Catastrófico"),AND(AF29="Alta",AH29="Catastrófico"),AND(AF29="Muy Alta",AH29="Catastrófico")),"Extremo","")))),"")</f>
        <v/>
      </c>
      <c r="AK29" s="189"/>
      <c r="AL29" s="180"/>
      <c r="AM29" s="190"/>
      <c r="AN29" s="190"/>
      <c r="AO29" s="191"/>
      <c r="AP29" s="329"/>
      <c r="AQ29" s="329"/>
      <c r="AR29" s="329"/>
    </row>
    <row r="30" spans="1:44" ht="37.5" customHeight="1" x14ac:dyDescent="0.2">
      <c r="A30" s="342"/>
      <c r="B30" s="340"/>
      <c r="C30" s="340"/>
      <c r="D30" s="340"/>
      <c r="E30" s="523"/>
      <c r="F30" s="340"/>
      <c r="G30" s="323"/>
      <c r="H30" s="323"/>
      <c r="I30" s="323"/>
      <c r="J30" s="323"/>
      <c r="K30" s="323"/>
      <c r="L30" s="323"/>
      <c r="M30" s="323"/>
      <c r="N30" s="329"/>
      <c r="O30" s="326"/>
      <c r="P30" s="325"/>
      <c r="Q30" s="315"/>
      <c r="R30" s="325">
        <f>IF(NOT(ISERROR(MATCH(Q30,_xlfn.ANCHORARRAY(E41),0))),P43&amp;"Por favor no seleccionar los criterios de impacto",Q30)</f>
        <v>0</v>
      </c>
      <c r="S30" s="326"/>
      <c r="T30" s="325"/>
      <c r="U30" s="324"/>
      <c r="V30" s="208">
        <v>6</v>
      </c>
      <c r="W30" s="181"/>
      <c r="X30" s="183" t="str">
        <f t="shared" si="23"/>
        <v/>
      </c>
      <c r="Y30" s="184"/>
      <c r="Z30" s="184"/>
      <c r="AA30" s="185" t="str">
        <f t="shared" si="18"/>
        <v/>
      </c>
      <c r="AB30" s="184"/>
      <c r="AC30" s="184"/>
      <c r="AD30" s="184"/>
      <c r="AE30" s="186" t="str">
        <f t="shared" si="24"/>
        <v/>
      </c>
      <c r="AF30" s="187" t="str">
        <f t="shared" si="2"/>
        <v/>
      </c>
      <c r="AG30" s="185" t="str">
        <f t="shared" si="19"/>
        <v/>
      </c>
      <c r="AH30" s="187" t="str">
        <f t="shared" si="4"/>
        <v/>
      </c>
      <c r="AI30" s="185" t="str">
        <f t="shared" si="13"/>
        <v/>
      </c>
      <c r="AJ30" s="188" t="str">
        <f t="shared" si="25"/>
        <v/>
      </c>
      <c r="AK30" s="189"/>
      <c r="AL30" s="180"/>
      <c r="AM30" s="190"/>
      <c r="AN30" s="190"/>
      <c r="AO30" s="191"/>
      <c r="AP30" s="329"/>
      <c r="AQ30" s="329"/>
      <c r="AR30" s="329"/>
    </row>
    <row r="31" spans="1:44" ht="37.5" customHeight="1" x14ac:dyDescent="0.2">
      <c r="A31" s="342">
        <v>4</v>
      </c>
      <c r="B31" s="340"/>
      <c r="C31" s="340"/>
      <c r="D31" s="340"/>
      <c r="E31" s="340"/>
      <c r="F31" s="340"/>
      <c r="G31" s="321"/>
      <c r="H31" s="321"/>
      <c r="I31" s="321"/>
      <c r="J31" s="321"/>
      <c r="K31" s="321"/>
      <c r="L31" s="321"/>
      <c r="M31" s="321"/>
      <c r="N31" s="329"/>
      <c r="O31" s="326" t="str">
        <f>IF(N31&lt;=0,"",IF(N31&lt;=2,"Muy Baja",IF(N31&lt;=24,"Baja",IF(N31&lt;=500,"Media",IF(N31&lt;=5000,"Alta","Muy Alta")))))</f>
        <v/>
      </c>
      <c r="P31" s="325" t="str">
        <f>IF(O31="","",IF(O31="Muy Baja",0.2,IF(O31="Baja",0.4,IF(O31="Media",0.6,IF(O31="Alta",0.8,IF(O31="Muy Alta",1,))))))</f>
        <v/>
      </c>
      <c r="Q31" s="315"/>
      <c r="R31" s="325">
        <f>IF(NOT(ISERROR(MATCH(Q31,'Tabla Impacto'!$B$222:$B$224,0))),'Tabla Impacto'!$F$224&amp;"Por favor no seleccionar los criterios de impacto(Afectación Económica o presupuestal y Pérdida Reputacional)",Q31)</f>
        <v>0</v>
      </c>
      <c r="S31" s="326" t="str">
        <f>IF(OR(R31='Tabla Impacto'!$C$12,R31='Tabla Impacto'!$D$12),"Leve",IF(OR(R31='Tabla Impacto'!$C$13,R31='Tabla Impacto'!$D$13),"Menor",IF(OR(R31='Tabla Impacto'!$C$14,R31='Tabla Impacto'!$D$14),"Moderado",IF(OR(R31='Tabla Impacto'!$C$15,R31='Tabla Impacto'!$D$15),"Mayor",IF(OR(R31='Tabla Impacto'!$C$16,R31='Tabla Impacto'!$D$16),"Catastrófico","")))))</f>
        <v/>
      </c>
      <c r="T31" s="325" t="str">
        <f>IF(S31="","",IF(S31="Leve",0.2,IF(S31="Menor",0.4,IF(S31="Moderado",0.6,IF(S31="Mayor",0.8,IF(S31="Catastrófico",1,))))))</f>
        <v/>
      </c>
      <c r="U31" s="324"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208">
        <v>1</v>
      </c>
      <c r="W31" s="181"/>
      <c r="X31" s="183" t="str">
        <f>IF(OR(Y31="Preventivo",Y31="Detectivo"),"Probabilidad",IF(Y31="Correctivo","Impacto",""))</f>
        <v/>
      </c>
      <c r="Y31" s="184"/>
      <c r="Z31" s="184"/>
      <c r="AA31" s="185" t="str">
        <f>IF(AND(Y31="Preventivo",Z31="Automático"),"50%",IF(AND(Y31="Preventivo",Z31="Manual"),"40%",IF(AND(Y31="Detectivo",Z31="Automático"),"40%",IF(AND(Y31="Detectivo",Z31="Manual"),"30%",IF(AND(Y31="Correctivo",Z31="Automático"),"35%",IF(AND(Y31="Correctivo",Z31="Manual"),"25%",""))))))</f>
        <v/>
      </c>
      <c r="AB31" s="184"/>
      <c r="AC31" s="184"/>
      <c r="AD31" s="184"/>
      <c r="AE31" s="186" t="str">
        <f>IFERROR(IF(X31="Probabilidad",(P31-(+P31*AA31)),IF(X31="Impacto",P31,"")),"")</f>
        <v/>
      </c>
      <c r="AF31" s="187" t="str">
        <f>IFERROR(IF(AE31="","",IF(AE31&lt;=0.2,"Muy Baja",IF(AE31&lt;=0.4,"Baja",IF(AE31&lt;=0.6,"Media",IF(AE31&lt;=0.8,"Alta","Muy Alta"))))),"")</f>
        <v/>
      </c>
      <c r="AG31" s="185" t="str">
        <f>+AE31</f>
        <v/>
      </c>
      <c r="AH31" s="187" t="str">
        <f>IFERROR(IF(AI31="","",IF(AI31&lt;=0.2,"Leve",IF(AI31&lt;=0.4,"Menor",IF(AI31&lt;=0.6,"Moderado",IF(AI31&lt;=0.8,"Mayor","Catastrófico"))))),"")</f>
        <v/>
      </c>
      <c r="AI31" s="185" t="str">
        <f t="shared" ref="AI31" si="26">IFERROR(IF(X31="Impacto",(T31-(+T31*AA31)),IF(X31="Probabilidad",T31,"")),"")</f>
        <v/>
      </c>
      <c r="AJ31" s="188" t="str">
        <f>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
      </c>
      <c r="AK31" s="189"/>
      <c r="AL31" s="180"/>
      <c r="AM31" s="190"/>
      <c r="AN31" s="190"/>
      <c r="AO31" s="191"/>
      <c r="AP31" s="329"/>
      <c r="AQ31" s="329"/>
      <c r="AR31" s="329"/>
    </row>
    <row r="32" spans="1:44" ht="37.5" customHeight="1" x14ac:dyDescent="0.2">
      <c r="A32" s="342"/>
      <c r="B32" s="340"/>
      <c r="C32" s="340"/>
      <c r="D32" s="340"/>
      <c r="E32" s="340"/>
      <c r="F32" s="340"/>
      <c r="G32" s="322"/>
      <c r="H32" s="322"/>
      <c r="I32" s="322"/>
      <c r="J32" s="322"/>
      <c r="K32" s="322"/>
      <c r="L32" s="322"/>
      <c r="M32" s="322"/>
      <c r="N32" s="329"/>
      <c r="O32" s="326"/>
      <c r="P32" s="325"/>
      <c r="Q32" s="315"/>
      <c r="R32" s="325">
        <f>IF(NOT(ISERROR(MATCH(Q32,_xlfn.ANCHORARRAY(E43),0))),P45&amp;"Por favor no seleccionar los criterios de impacto",Q32)</f>
        <v>0</v>
      </c>
      <c r="S32" s="326"/>
      <c r="T32" s="325"/>
      <c r="U32" s="324"/>
      <c r="V32" s="208">
        <v>2</v>
      </c>
      <c r="W32" s="181"/>
      <c r="X32" s="183" t="str">
        <f>IF(OR(Y32="Preventivo",Y32="Detectivo"),"Probabilidad",IF(Y32="Correctivo","Impacto",""))</f>
        <v/>
      </c>
      <c r="Y32" s="184"/>
      <c r="Z32" s="184"/>
      <c r="AA32" s="185" t="str">
        <f t="shared" ref="AA32:AA36" si="27">IF(AND(Y32="Preventivo",Z32="Automático"),"50%",IF(AND(Y32="Preventivo",Z32="Manual"),"40%",IF(AND(Y32="Detectivo",Z32="Automático"),"40%",IF(AND(Y32="Detectivo",Z32="Manual"),"30%",IF(AND(Y32="Correctivo",Z32="Automático"),"35%",IF(AND(Y32="Correctivo",Z32="Manual"),"25%",""))))))</f>
        <v/>
      </c>
      <c r="AB32" s="184"/>
      <c r="AC32" s="184"/>
      <c r="AD32" s="184"/>
      <c r="AE32" s="186" t="str">
        <f>IFERROR(IF(AND(X31="Probabilidad",X32="Probabilidad"),(AG31-(+AG31*AA32)),IF(X32="Probabilidad",(P31-(+P31*AA32)),IF(X32="Impacto",AG31,""))),"")</f>
        <v/>
      </c>
      <c r="AF32" s="187" t="str">
        <f t="shared" si="2"/>
        <v/>
      </c>
      <c r="AG32" s="185" t="str">
        <f t="shared" ref="AG32:AG36" si="28">+AE32</f>
        <v/>
      </c>
      <c r="AH32" s="187" t="str">
        <f t="shared" si="4"/>
        <v/>
      </c>
      <c r="AI32" s="185" t="str">
        <f t="shared" ref="AI32" si="29">IFERROR(IF(AND(X31="Impacto",X32="Impacto"),(AI31-(+AI31*AA32)),IF(X32="Impacto",($T$13-(+$T$13*AA32)),IF(X32="Probabilidad",AI31,""))),"")</f>
        <v/>
      </c>
      <c r="AJ32" s="188" t="str">
        <f t="shared" ref="AJ32:AJ33" si="30">IFERROR(IF(OR(AND(AF32="Muy Baja",AH32="Leve"),AND(AF32="Muy Baja",AH32="Menor"),AND(AF32="Baja",AH32="Leve")),"Bajo",IF(OR(AND(AF32="Muy baja",AH32="Moderado"),AND(AF32="Baja",AH32="Menor"),AND(AF32="Baja",AH32="Moderado"),AND(AF32="Media",AH32="Leve"),AND(AF32="Media",AH32="Menor"),AND(AF32="Media",AH32="Moderado"),AND(AF32="Alta",AH32="Leve"),AND(AF32="Alta",AH32="Menor")),"Moderado",IF(OR(AND(AF32="Muy Baja",AH32="Mayor"),AND(AF32="Baja",AH32="Mayor"),AND(AF32="Media",AH32="Mayor"),AND(AF32="Alta",AH32="Moderado"),AND(AF32="Alta",AH32="Mayor"),AND(AF32="Muy Alta",AH32="Leve"),AND(AF32="Muy Alta",AH32="Menor"),AND(AF32="Muy Alta",AH32="Moderado"),AND(AF32="Muy Alta",AH32="Mayor")),"Alto",IF(OR(AND(AF32="Muy Baja",AH32="Catastrófico"),AND(AF32="Baja",AH32="Catastrófico"),AND(AF32="Media",AH32="Catastrófico"),AND(AF32="Alta",AH32="Catastrófico"),AND(AF32="Muy Alta",AH32="Catastrófico")),"Extremo","")))),"")</f>
        <v/>
      </c>
      <c r="AK32" s="189"/>
      <c r="AL32" s="180"/>
      <c r="AM32" s="190"/>
      <c r="AN32" s="190"/>
      <c r="AO32" s="191"/>
      <c r="AP32" s="329"/>
      <c r="AQ32" s="329"/>
      <c r="AR32" s="329"/>
    </row>
    <row r="33" spans="1:44" ht="37.5" customHeight="1" x14ac:dyDescent="0.2">
      <c r="A33" s="342"/>
      <c r="B33" s="340"/>
      <c r="C33" s="340"/>
      <c r="D33" s="340"/>
      <c r="E33" s="340"/>
      <c r="F33" s="340"/>
      <c r="G33" s="322"/>
      <c r="H33" s="322"/>
      <c r="I33" s="322"/>
      <c r="J33" s="322"/>
      <c r="K33" s="322"/>
      <c r="L33" s="322"/>
      <c r="M33" s="322"/>
      <c r="N33" s="329"/>
      <c r="O33" s="326"/>
      <c r="P33" s="325"/>
      <c r="Q33" s="315"/>
      <c r="R33" s="325">
        <f>IF(NOT(ISERROR(MATCH(Q33,_xlfn.ANCHORARRAY(E44),0))),P46&amp;"Por favor no seleccionar los criterios de impacto",Q33)</f>
        <v>0</v>
      </c>
      <c r="S33" s="326"/>
      <c r="T33" s="325"/>
      <c r="U33" s="324"/>
      <c r="V33" s="208">
        <v>3</v>
      </c>
      <c r="W33" s="182"/>
      <c r="X33" s="183" t="str">
        <f>IF(OR(Y33="Preventivo",Y33="Detectivo"),"Probabilidad",IF(Y33="Correctivo","Impacto",""))</f>
        <v/>
      </c>
      <c r="Y33" s="184"/>
      <c r="Z33" s="184"/>
      <c r="AA33" s="185" t="str">
        <f t="shared" si="27"/>
        <v/>
      </c>
      <c r="AB33" s="184"/>
      <c r="AC33" s="184"/>
      <c r="AD33" s="184"/>
      <c r="AE33" s="186" t="str">
        <f>IFERROR(IF(AND(X32="Probabilidad",X33="Probabilidad"),(AG32-(+AG32*AA33)),IF(AND(X32="Impacto",X33="Probabilidad"),(AG31-(+AG31*AA33)),IF(X33="Impacto",AG32,""))),"")</f>
        <v/>
      </c>
      <c r="AF33" s="187" t="str">
        <f t="shared" si="2"/>
        <v/>
      </c>
      <c r="AG33" s="185" t="str">
        <f t="shared" si="28"/>
        <v/>
      </c>
      <c r="AH33" s="187" t="str">
        <f t="shared" si="4"/>
        <v/>
      </c>
      <c r="AI33" s="185" t="str">
        <f t="shared" ref="AI33" si="31">IFERROR(IF(AND(X32="Impacto",X33="Impacto"),(AI32-(+AI32*AA33)),IF(AND(X32="Probabilidad",X33="Impacto"),(AI31-(+AI31*AA33)),IF(X33="Probabilidad",AI32,""))),"")</f>
        <v/>
      </c>
      <c r="AJ33" s="188" t="str">
        <f t="shared" si="30"/>
        <v/>
      </c>
      <c r="AK33" s="189"/>
      <c r="AL33" s="180"/>
      <c r="AM33" s="190"/>
      <c r="AN33" s="190"/>
      <c r="AO33" s="191"/>
      <c r="AP33" s="329"/>
      <c r="AQ33" s="329"/>
      <c r="AR33" s="329"/>
    </row>
    <row r="34" spans="1:44" ht="37.5" customHeight="1" x14ac:dyDescent="0.2">
      <c r="A34" s="342"/>
      <c r="B34" s="340"/>
      <c r="C34" s="340"/>
      <c r="D34" s="340"/>
      <c r="E34" s="340"/>
      <c r="F34" s="340"/>
      <c r="G34" s="322"/>
      <c r="H34" s="322"/>
      <c r="I34" s="322"/>
      <c r="J34" s="322"/>
      <c r="K34" s="322"/>
      <c r="L34" s="322"/>
      <c r="M34" s="322"/>
      <c r="N34" s="329"/>
      <c r="O34" s="326"/>
      <c r="P34" s="325"/>
      <c r="Q34" s="315"/>
      <c r="R34" s="325">
        <f>IF(NOT(ISERROR(MATCH(Q34,_xlfn.ANCHORARRAY(E45),0))),P47&amp;"Por favor no seleccionar los criterios de impacto",Q34)</f>
        <v>0</v>
      </c>
      <c r="S34" s="326"/>
      <c r="T34" s="325"/>
      <c r="U34" s="324"/>
      <c r="V34" s="208">
        <v>4</v>
      </c>
      <c r="W34" s="181"/>
      <c r="X34" s="183" t="str">
        <f t="shared" ref="X34:X36" si="32">IF(OR(Y34="Preventivo",Y34="Detectivo"),"Probabilidad",IF(Y34="Correctivo","Impacto",""))</f>
        <v/>
      </c>
      <c r="Y34" s="184"/>
      <c r="Z34" s="184"/>
      <c r="AA34" s="185" t="str">
        <f t="shared" si="27"/>
        <v/>
      </c>
      <c r="AB34" s="184"/>
      <c r="AC34" s="184"/>
      <c r="AD34" s="184"/>
      <c r="AE34" s="186" t="str">
        <f t="shared" ref="AE34:AE36" si="33">IFERROR(IF(AND(X33="Probabilidad",X34="Probabilidad"),(AG33-(+AG33*AA34)),IF(AND(X33="Impacto",X34="Probabilidad"),(AG32-(+AG32*AA34)),IF(X34="Impacto",AG33,""))),"")</f>
        <v/>
      </c>
      <c r="AF34" s="187" t="str">
        <f t="shared" si="2"/>
        <v/>
      </c>
      <c r="AG34" s="185" t="str">
        <f t="shared" si="28"/>
        <v/>
      </c>
      <c r="AH34" s="187" t="str">
        <f t="shared" si="4"/>
        <v/>
      </c>
      <c r="AI34" s="185" t="str">
        <f t="shared" si="13"/>
        <v/>
      </c>
      <c r="AJ34" s="188" t="str">
        <f>IFERROR(IF(OR(AND(AF34="Muy Baja",AH34="Leve"),AND(AF34="Muy Baja",AH34="Menor"),AND(AF34="Baja",AH34="Leve")),"Bajo",IF(OR(AND(AF34="Muy baja",AH34="Moderado"),AND(AF34="Baja",AH34="Menor"),AND(AF34="Baja",AH34="Moderado"),AND(AF34="Media",AH34="Leve"),AND(AF34="Media",AH34="Menor"),AND(AF34="Media",AH34="Moderado"),AND(AF34="Alta",AH34="Leve"),AND(AF34="Alta",AH34="Menor")),"Moderado",IF(OR(AND(AF34="Muy Baja",AH34="Mayor"),AND(AF34="Baja",AH34="Mayor"),AND(AF34="Media",AH34="Mayor"),AND(AF34="Alta",AH34="Moderado"),AND(AF34="Alta",AH34="Mayor"),AND(AF34="Muy Alta",AH34="Leve"),AND(AF34="Muy Alta",AH34="Menor"),AND(AF34="Muy Alta",AH34="Moderado"),AND(AF34="Muy Alta",AH34="Mayor")),"Alto",IF(OR(AND(AF34="Muy Baja",AH34="Catastrófico"),AND(AF34="Baja",AH34="Catastrófico"),AND(AF34="Media",AH34="Catastrófico"),AND(AF34="Alta",AH34="Catastrófico"),AND(AF34="Muy Alta",AH34="Catastrófico")),"Extremo","")))),"")</f>
        <v/>
      </c>
      <c r="AK34" s="189"/>
      <c r="AL34" s="180"/>
      <c r="AM34" s="190"/>
      <c r="AN34" s="190"/>
      <c r="AO34" s="191"/>
      <c r="AP34" s="329"/>
      <c r="AQ34" s="329"/>
      <c r="AR34" s="329"/>
    </row>
    <row r="35" spans="1:44" ht="37.5" customHeight="1" x14ac:dyDescent="0.2">
      <c r="A35" s="342"/>
      <c r="B35" s="340"/>
      <c r="C35" s="340"/>
      <c r="D35" s="340"/>
      <c r="E35" s="340"/>
      <c r="F35" s="340"/>
      <c r="G35" s="322"/>
      <c r="H35" s="322"/>
      <c r="I35" s="322"/>
      <c r="J35" s="322"/>
      <c r="K35" s="322"/>
      <c r="L35" s="322"/>
      <c r="M35" s="322"/>
      <c r="N35" s="329"/>
      <c r="O35" s="326"/>
      <c r="P35" s="325"/>
      <c r="Q35" s="315"/>
      <c r="R35" s="325">
        <f>IF(NOT(ISERROR(MATCH(Q35,_xlfn.ANCHORARRAY(E46),0))),P48&amp;"Por favor no seleccionar los criterios de impacto",Q35)</f>
        <v>0</v>
      </c>
      <c r="S35" s="326"/>
      <c r="T35" s="325"/>
      <c r="U35" s="324"/>
      <c r="V35" s="208">
        <v>5</v>
      </c>
      <c r="W35" s="181"/>
      <c r="X35" s="183" t="str">
        <f t="shared" si="32"/>
        <v/>
      </c>
      <c r="Y35" s="184"/>
      <c r="Z35" s="184"/>
      <c r="AA35" s="185" t="str">
        <f t="shared" si="27"/>
        <v/>
      </c>
      <c r="AB35" s="184"/>
      <c r="AC35" s="184"/>
      <c r="AD35" s="184"/>
      <c r="AE35" s="186" t="str">
        <f t="shared" si="33"/>
        <v/>
      </c>
      <c r="AF35" s="187" t="str">
        <f>IFERROR(IF(AE35="","",IF(AE35&lt;=0.2,"Muy Baja",IF(AE35&lt;=0.4,"Baja",IF(AE35&lt;=0.6,"Media",IF(AE35&lt;=0.8,"Alta","Muy Alta"))))),"")</f>
        <v/>
      </c>
      <c r="AG35" s="185" t="str">
        <f t="shared" si="28"/>
        <v/>
      </c>
      <c r="AH35" s="187" t="str">
        <f t="shared" si="4"/>
        <v/>
      </c>
      <c r="AI35" s="185" t="str">
        <f t="shared" si="13"/>
        <v/>
      </c>
      <c r="AJ35" s="188" t="str">
        <f t="shared" ref="AJ35:AJ36" si="34">IFERROR(IF(OR(AND(AF35="Muy Baja",AH35="Leve"),AND(AF35="Muy Baja",AH35="Menor"),AND(AF35="Baja",AH35="Leve")),"Bajo",IF(OR(AND(AF35="Muy baja",AH35="Moderado"),AND(AF35="Baja",AH35="Menor"),AND(AF35="Baja",AH35="Moderado"),AND(AF35="Media",AH35="Leve"),AND(AF35="Media",AH35="Menor"),AND(AF35="Media",AH35="Moderado"),AND(AF35="Alta",AH35="Leve"),AND(AF35="Alta",AH35="Menor")),"Moderado",IF(OR(AND(AF35="Muy Baja",AH35="Mayor"),AND(AF35="Baja",AH35="Mayor"),AND(AF35="Media",AH35="Mayor"),AND(AF35="Alta",AH35="Moderado"),AND(AF35="Alta",AH35="Mayor"),AND(AF35="Muy Alta",AH35="Leve"),AND(AF35="Muy Alta",AH35="Menor"),AND(AF35="Muy Alta",AH35="Moderado"),AND(AF35="Muy Alta",AH35="Mayor")),"Alto",IF(OR(AND(AF35="Muy Baja",AH35="Catastrófico"),AND(AF35="Baja",AH35="Catastrófico"),AND(AF35="Media",AH35="Catastrófico"),AND(AF35="Alta",AH35="Catastrófico"),AND(AF35="Muy Alta",AH35="Catastrófico")),"Extremo","")))),"")</f>
        <v/>
      </c>
      <c r="AK35" s="189"/>
      <c r="AL35" s="180"/>
      <c r="AM35" s="190"/>
      <c r="AN35" s="190"/>
      <c r="AO35" s="191"/>
      <c r="AP35" s="329"/>
      <c r="AQ35" s="329"/>
      <c r="AR35" s="329"/>
    </row>
    <row r="36" spans="1:44" ht="37.5" customHeight="1" x14ac:dyDescent="0.2">
      <c r="A36" s="342"/>
      <c r="B36" s="340"/>
      <c r="C36" s="340"/>
      <c r="D36" s="340"/>
      <c r="E36" s="340"/>
      <c r="F36" s="340"/>
      <c r="G36" s="323"/>
      <c r="H36" s="323"/>
      <c r="I36" s="323"/>
      <c r="J36" s="323"/>
      <c r="K36" s="323"/>
      <c r="L36" s="323"/>
      <c r="M36" s="323"/>
      <c r="N36" s="329"/>
      <c r="O36" s="326"/>
      <c r="P36" s="325"/>
      <c r="Q36" s="315"/>
      <c r="R36" s="325">
        <f>IF(NOT(ISERROR(MATCH(Q36,_xlfn.ANCHORARRAY(E47),0))),P49&amp;"Por favor no seleccionar los criterios de impacto",Q36)</f>
        <v>0</v>
      </c>
      <c r="S36" s="326"/>
      <c r="T36" s="325"/>
      <c r="U36" s="324"/>
      <c r="V36" s="208">
        <v>6</v>
      </c>
      <c r="W36" s="181"/>
      <c r="X36" s="183" t="str">
        <f t="shared" si="32"/>
        <v/>
      </c>
      <c r="Y36" s="184"/>
      <c r="Z36" s="184"/>
      <c r="AA36" s="185" t="str">
        <f t="shared" si="27"/>
        <v/>
      </c>
      <c r="AB36" s="184"/>
      <c r="AC36" s="184"/>
      <c r="AD36" s="184"/>
      <c r="AE36" s="186" t="str">
        <f t="shared" si="33"/>
        <v/>
      </c>
      <c r="AF36" s="187" t="str">
        <f t="shared" si="2"/>
        <v/>
      </c>
      <c r="AG36" s="185" t="str">
        <f t="shared" si="28"/>
        <v/>
      </c>
      <c r="AH36" s="187" t="str">
        <f t="shared" si="4"/>
        <v/>
      </c>
      <c r="AI36" s="185" t="str">
        <f t="shared" si="13"/>
        <v/>
      </c>
      <c r="AJ36" s="188" t="str">
        <f t="shared" si="34"/>
        <v/>
      </c>
      <c r="AK36" s="189"/>
      <c r="AL36" s="180"/>
      <c r="AM36" s="190"/>
      <c r="AN36" s="190"/>
      <c r="AO36" s="191"/>
      <c r="AP36" s="329"/>
      <c r="AQ36" s="329"/>
      <c r="AR36" s="329"/>
    </row>
    <row r="37" spans="1:44" ht="37.5" customHeight="1" x14ac:dyDescent="0.2">
      <c r="A37" s="342">
        <v>5</v>
      </c>
      <c r="B37" s="340"/>
      <c r="C37" s="340"/>
      <c r="D37" s="340"/>
      <c r="E37" s="340"/>
      <c r="F37" s="340"/>
      <c r="G37" s="321"/>
      <c r="H37" s="321"/>
      <c r="I37" s="321"/>
      <c r="J37" s="321"/>
      <c r="K37" s="321"/>
      <c r="L37" s="321"/>
      <c r="M37" s="321"/>
      <c r="N37" s="329"/>
      <c r="O37" s="326" t="str">
        <f>IF(N37&lt;=0,"",IF(N37&lt;=2,"Muy Baja",IF(N37&lt;=24,"Baja",IF(N37&lt;=500,"Media",IF(N37&lt;=5000,"Alta","Muy Alta")))))</f>
        <v/>
      </c>
      <c r="P37" s="325" t="str">
        <f>IF(O37="","",IF(O37="Muy Baja",0.2,IF(O37="Baja",0.4,IF(O37="Media",0.6,IF(O37="Alta",0.8,IF(O37="Muy Alta",1,))))))</f>
        <v/>
      </c>
      <c r="Q37" s="315"/>
      <c r="R37" s="325">
        <f>IF(NOT(ISERROR(MATCH(Q37,'Tabla Impacto'!$B$222:$B$224,0))),'Tabla Impacto'!$F$224&amp;"Por favor no seleccionar los criterios de impacto(Afectación Económica o presupuestal y Pérdida Reputacional)",Q37)</f>
        <v>0</v>
      </c>
      <c r="S37" s="326" t="str">
        <f>IF(OR(R37='Tabla Impacto'!$C$12,R37='Tabla Impacto'!$D$12),"Leve",IF(OR(R37='Tabla Impacto'!$C$13,R37='Tabla Impacto'!$D$13),"Menor",IF(OR(R37='Tabla Impacto'!$C$14,R37='Tabla Impacto'!$D$14),"Moderado",IF(OR(R37='Tabla Impacto'!$C$15,R37='Tabla Impacto'!$D$15),"Mayor",IF(OR(R37='Tabla Impacto'!$C$16,R37='Tabla Impacto'!$D$16),"Catastrófico","")))))</f>
        <v/>
      </c>
      <c r="T37" s="325" t="str">
        <f>IF(S37="","",IF(S37="Leve",0.2,IF(S37="Menor",0.4,IF(S37="Moderado",0.6,IF(S37="Mayor",0.8,IF(S37="Catastrófico",1,))))))</f>
        <v/>
      </c>
      <c r="U37" s="324"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208">
        <v>1</v>
      </c>
      <c r="W37" s="181"/>
      <c r="X37" s="183" t="str">
        <f>IF(OR(Y37="Preventivo",Y37="Detectivo"),"Probabilidad",IF(Y37="Correctivo","Impacto",""))</f>
        <v/>
      </c>
      <c r="Y37" s="184"/>
      <c r="Z37" s="184"/>
      <c r="AA37" s="185" t="str">
        <f>IF(AND(Y37="Preventivo",Z37="Automático"),"50%",IF(AND(Y37="Preventivo",Z37="Manual"),"40%",IF(AND(Y37="Detectivo",Z37="Automático"),"40%",IF(AND(Y37="Detectivo",Z37="Manual"),"30%",IF(AND(Y37="Correctivo",Z37="Automático"),"35%",IF(AND(Y37="Correctivo",Z37="Manual"),"25%",""))))))</f>
        <v/>
      </c>
      <c r="AB37" s="184"/>
      <c r="AC37" s="184"/>
      <c r="AD37" s="184"/>
      <c r="AE37" s="186" t="str">
        <f>IFERROR(IF(X37="Probabilidad",(P37-(+P37*AA37)),IF(X37="Impacto",P37,"")),"")</f>
        <v/>
      </c>
      <c r="AF37" s="187" t="str">
        <f>IFERROR(IF(AE37="","",IF(AE37&lt;=0.2,"Muy Baja",IF(AE37&lt;=0.4,"Baja",IF(AE37&lt;=0.6,"Media",IF(AE37&lt;=0.8,"Alta","Muy Alta"))))),"")</f>
        <v/>
      </c>
      <c r="AG37" s="185" t="str">
        <f>+AE37</f>
        <v/>
      </c>
      <c r="AH37" s="187" t="str">
        <f>IFERROR(IF(AI37="","",IF(AI37&lt;=0.2,"Leve",IF(AI37&lt;=0.4,"Menor",IF(AI37&lt;=0.6,"Moderado",IF(AI37&lt;=0.8,"Mayor","Catastrófico"))))),"")</f>
        <v/>
      </c>
      <c r="AI37" s="185" t="str">
        <f t="shared" ref="AI37" si="35">IFERROR(IF(X37="Impacto",(T37-(+T37*AA37)),IF(X37="Probabilidad",T37,"")),"")</f>
        <v/>
      </c>
      <c r="AJ37" s="188" t="str">
        <f>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
      </c>
      <c r="AK37" s="189"/>
      <c r="AL37" s="180"/>
      <c r="AM37" s="190"/>
      <c r="AN37" s="190"/>
      <c r="AO37" s="191"/>
      <c r="AP37" s="329"/>
      <c r="AQ37" s="329"/>
      <c r="AR37" s="329"/>
    </row>
    <row r="38" spans="1:44" ht="37.5" customHeight="1" x14ac:dyDescent="0.2">
      <c r="A38" s="342"/>
      <c r="B38" s="340"/>
      <c r="C38" s="340"/>
      <c r="D38" s="340"/>
      <c r="E38" s="340"/>
      <c r="F38" s="340"/>
      <c r="G38" s="322"/>
      <c r="H38" s="322"/>
      <c r="I38" s="322"/>
      <c r="J38" s="322"/>
      <c r="K38" s="322"/>
      <c r="L38" s="322"/>
      <c r="M38" s="322"/>
      <c r="N38" s="329"/>
      <c r="O38" s="326"/>
      <c r="P38" s="325"/>
      <c r="Q38" s="315"/>
      <c r="R38" s="325">
        <f>IF(NOT(ISERROR(MATCH(Q38,_xlfn.ANCHORARRAY(E49),0))),P51&amp;"Por favor no seleccionar los criterios de impacto",Q38)</f>
        <v>0</v>
      </c>
      <c r="S38" s="326"/>
      <c r="T38" s="325"/>
      <c r="U38" s="324"/>
      <c r="V38" s="208">
        <v>2</v>
      </c>
      <c r="W38" s="181"/>
      <c r="X38" s="183" t="str">
        <f>IF(OR(Y38="Preventivo",Y38="Detectivo"),"Probabilidad",IF(Y38="Correctivo","Impacto",""))</f>
        <v/>
      </c>
      <c r="Y38" s="184"/>
      <c r="Z38" s="184"/>
      <c r="AA38" s="185" t="str">
        <f t="shared" ref="AA38:AA42" si="36">IF(AND(Y38="Preventivo",Z38="Automático"),"50%",IF(AND(Y38="Preventivo",Z38="Manual"),"40%",IF(AND(Y38="Detectivo",Z38="Automático"),"40%",IF(AND(Y38="Detectivo",Z38="Manual"),"30%",IF(AND(Y38="Correctivo",Z38="Automático"),"35%",IF(AND(Y38="Correctivo",Z38="Manual"),"25%",""))))))</f>
        <v/>
      </c>
      <c r="AB38" s="184"/>
      <c r="AC38" s="184"/>
      <c r="AD38" s="184"/>
      <c r="AE38" s="186" t="str">
        <f>IFERROR(IF(AND(X37="Probabilidad",X38="Probabilidad"),(AG37-(+AG37*AA38)),IF(X38="Probabilidad",(P37-(+P37*AA38)),IF(X38="Impacto",AG37,""))),"")</f>
        <v/>
      </c>
      <c r="AF38" s="187" t="str">
        <f t="shared" si="2"/>
        <v/>
      </c>
      <c r="AG38" s="185" t="str">
        <f t="shared" ref="AG38:AG42" si="37">+AE38</f>
        <v/>
      </c>
      <c r="AH38" s="187" t="str">
        <f t="shared" si="4"/>
        <v/>
      </c>
      <c r="AI38" s="185" t="str">
        <f t="shared" ref="AI38" si="38">IFERROR(IF(AND(X37="Impacto",X38="Impacto"),(AI37-(+AI37*AA38)),IF(X38="Impacto",($T$13-(+$T$13*AA38)),IF(X38="Probabilidad",AI37,""))),"")</f>
        <v/>
      </c>
      <c r="AJ38" s="188" t="str">
        <f t="shared" ref="AJ38:AJ39" si="39">IFERROR(IF(OR(AND(AF38="Muy Baja",AH38="Leve"),AND(AF38="Muy Baja",AH38="Menor"),AND(AF38="Baja",AH38="Leve")),"Bajo",IF(OR(AND(AF38="Muy baja",AH38="Moderado"),AND(AF38="Baja",AH38="Menor"),AND(AF38="Baja",AH38="Moderado"),AND(AF38="Media",AH38="Leve"),AND(AF38="Media",AH38="Menor"),AND(AF38="Media",AH38="Moderado"),AND(AF38="Alta",AH38="Leve"),AND(AF38="Alta",AH38="Menor")),"Moderado",IF(OR(AND(AF38="Muy Baja",AH38="Mayor"),AND(AF38="Baja",AH38="Mayor"),AND(AF38="Media",AH38="Mayor"),AND(AF38="Alta",AH38="Moderado"),AND(AF38="Alta",AH38="Mayor"),AND(AF38="Muy Alta",AH38="Leve"),AND(AF38="Muy Alta",AH38="Menor"),AND(AF38="Muy Alta",AH38="Moderado"),AND(AF38="Muy Alta",AH38="Mayor")),"Alto",IF(OR(AND(AF38="Muy Baja",AH38="Catastrófico"),AND(AF38="Baja",AH38="Catastrófico"),AND(AF38="Media",AH38="Catastrófico"),AND(AF38="Alta",AH38="Catastrófico"),AND(AF38="Muy Alta",AH38="Catastrófico")),"Extremo","")))),"")</f>
        <v/>
      </c>
      <c r="AK38" s="189"/>
      <c r="AL38" s="180"/>
      <c r="AM38" s="190"/>
      <c r="AN38" s="190"/>
      <c r="AO38" s="191"/>
      <c r="AP38" s="329"/>
      <c r="AQ38" s="329"/>
      <c r="AR38" s="329"/>
    </row>
    <row r="39" spans="1:44" ht="37.5" customHeight="1" x14ac:dyDescent="0.2">
      <c r="A39" s="342"/>
      <c r="B39" s="340"/>
      <c r="C39" s="340"/>
      <c r="D39" s="340"/>
      <c r="E39" s="340"/>
      <c r="F39" s="340"/>
      <c r="G39" s="322"/>
      <c r="H39" s="322"/>
      <c r="I39" s="322"/>
      <c r="J39" s="322"/>
      <c r="K39" s="322"/>
      <c r="L39" s="322"/>
      <c r="M39" s="322"/>
      <c r="N39" s="329"/>
      <c r="O39" s="326"/>
      <c r="P39" s="325"/>
      <c r="Q39" s="315"/>
      <c r="R39" s="325">
        <f>IF(NOT(ISERROR(MATCH(Q39,_xlfn.ANCHORARRAY(E50),0))),P52&amp;"Por favor no seleccionar los criterios de impacto",Q39)</f>
        <v>0</v>
      </c>
      <c r="S39" s="326"/>
      <c r="T39" s="325"/>
      <c r="U39" s="324"/>
      <c r="V39" s="208">
        <v>3</v>
      </c>
      <c r="W39" s="182"/>
      <c r="X39" s="183" t="str">
        <f>IF(OR(Y39="Preventivo",Y39="Detectivo"),"Probabilidad",IF(Y39="Correctivo","Impacto",""))</f>
        <v/>
      </c>
      <c r="Y39" s="184"/>
      <c r="Z39" s="184"/>
      <c r="AA39" s="185" t="str">
        <f t="shared" si="36"/>
        <v/>
      </c>
      <c r="AB39" s="184"/>
      <c r="AC39" s="184"/>
      <c r="AD39" s="184"/>
      <c r="AE39" s="186" t="str">
        <f>IFERROR(IF(AND(X38="Probabilidad",X39="Probabilidad"),(AG38-(+AG38*AA39)),IF(AND(X38="Impacto",X39="Probabilidad"),(AG37-(+AG37*AA39)),IF(X39="Impacto",AG38,""))),"")</f>
        <v/>
      </c>
      <c r="AF39" s="187" t="str">
        <f t="shared" si="2"/>
        <v/>
      </c>
      <c r="AG39" s="185" t="str">
        <f t="shared" si="37"/>
        <v/>
      </c>
      <c r="AH39" s="187" t="str">
        <f t="shared" si="4"/>
        <v/>
      </c>
      <c r="AI39" s="185" t="str">
        <f t="shared" ref="AI39" si="40">IFERROR(IF(AND(X38="Impacto",X39="Impacto"),(AI38-(+AI38*AA39)),IF(AND(X38="Probabilidad",X39="Impacto"),(AI37-(+AI37*AA39)),IF(X39="Probabilidad",AI38,""))),"")</f>
        <v/>
      </c>
      <c r="AJ39" s="188" t="str">
        <f t="shared" si="39"/>
        <v/>
      </c>
      <c r="AK39" s="189"/>
      <c r="AL39" s="180"/>
      <c r="AM39" s="190"/>
      <c r="AN39" s="190"/>
      <c r="AO39" s="191"/>
      <c r="AP39" s="329"/>
      <c r="AQ39" s="329"/>
      <c r="AR39" s="329"/>
    </row>
    <row r="40" spans="1:44" ht="37.5" customHeight="1" x14ac:dyDescent="0.2">
      <c r="A40" s="342"/>
      <c r="B40" s="340"/>
      <c r="C40" s="340"/>
      <c r="D40" s="340"/>
      <c r="E40" s="340"/>
      <c r="F40" s="340"/>
      <c r="G40" s="322"/>
      <c r="H40" s="322"/>
      <c r="I40" s="322"/>
      <c r="J40" s="322"/>
      <c r="K40" s="322"/>
      <c r="L40" s="322"/>
      <c r="M40" s="322"/>
      <c r="N40" s="329"/>
      <c r="O40" s="326"/>
      <c r="P40" s="325"/>
      <c r="Q40" s="315"/>
      <c r="R40" s="325">
        <f>IF(NOT(ISERROR(MATCH(Q40,_xlfn.ANCHORARRAY(E51),0))),P53&amp;"Por favor no seleccionar los criterios de impacto",Q40)</f>
        <v>0</v>
      </c>
      <c r="S40" s="326"/>
      <c r="T40" s="325"/>
      <c r="U40" s="324"/>
      <c r="V40" s="208">
        <v>4</v>
      </c>
      <c r="W40" s="181"/>
      <c r="X40" s="183" t="str">
        <f t="shared" ref="X40:X42" si="41">IF(OR(Y40="Preventivo",Y40="Detectivo"),"Probabilidad",IF(Y40="Correctivo","Impacto",""))</f>
        <v/>
      </c>
      <c r="Y40" s="184"/>
      <c r="Z40" s="184"/>
      <c r="AA40" s="185" t="str">
        <f t="shared" si="36"/>
        <v/>
      </c>
      <c r="AB40" s="184"/>
      <c r="AC40" s="184"/>
      <c r="AD40" s="184"/>
      <c r="AE40" s="186" t="str">
        <f t="shared" ref="AE40:AE42" si="42">IFERROR(IF(AND(X39="Probabilidad",X40="Probabilidad"),(AG39-(+AG39*AA40)),IF(AND(X39="Impacto",X40="Probabilidad"),(AG38-(+AG38*AA40)),IF(X40="Impacto",AG39,""))),"")</f>
        <v/>
      </c>
      <c r="AF40" s="187" t="str">
        <f t="shared" si="2"/>
        <v/>
      </c>
      <c r="AG40" s="185" t="str">
        <f t="shared" si="37"/>
        <v/>
      </c>
      <c r="AH40" s="187" t="str">
        <f t="shared" si="4"/>
        <v/>
      </c>
      <c r="AI40" s="185" t="str">
        <f t="shared" si="13"/>
        <v/>
      </c>
      <c r="AJ40" s="188" t="str">
        <f>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89"/>
      <c r="AL40" s="180"/>
      <c r="AM40" s="190"/>
      <c r="AN40" s="190"/>
      <c r="AO40" s="191"/>
      <c r="AP40" s="329"/>
      <c r="AQ40" s="329"/>
      <c r="AR40" s="329"/>
    </row>
    <row r="41" spans="1:44" ht="37.5" customHeight="1" x14ac:dyDescent="0.2">
      <c r="A41" s="342"/>
      <c r="B41" s="340"/>
      <c r="C41" s="340"/>
      <c r="D41" s="340"/>
      <c r="E41" s="340"/>
      <c r="F41" s="340"/>
      <c r="G41" s="322"/>
      <c r="H41" s="322"/>
      <c r="I41" s="322"/>
      <c r="J41" s="322"/>
      <c r="K41" s="322"/>
      <c r="L41" s="322"/>
      <c r="M41" s="322"/>
      <c r="N41" s="329"/>
      <c r="O41" s="326"/>
      <c r="P41" s="325"/>
      <c r="Q41" s="315"/>
      <c r="R41" s="325">
        <f>IF(NOT(ISERROR(MATCH(Q41,_xlfn.ANCHORARRAY(E52),0))),P54&amp;"Por favor no seleccionar los criterios de impacto",Q41)</f>
        <v>0</v>
      </c>
      <c r="S41" s="326"/>
      <c r="T41" s="325"/>
      <c r="U41" s="324"/>
      <c r="V41" s="208">
        <v>5</v>
      </c>
      <c r="W41" s="181"/>
      <c r="X41" s="183" t="str">
        <f t="shared" si="41"/>
        <v/>
      </c>
      <c r="Y41" s="184"/>
      <c r="Z41" s="184"/>
      <c r="AA41" s="185" t="str">
        <f t="shared" si="36"/>
        <v/>
      </c>
      <c r="AB41" s="184"/>
      <c r="AC41" s="184"/>
      <c r="AD41" s="184"/>
      <c r="AE41" s="186" t="str">
        <f t="shared" si="42"/>
        <v/>
      </c>
      <c r="AF41" s="187" t="str">
        <f t="shared" si="2"/>
        <v/>
      </c>
      <c r="AG41" s="185" t="str">
        <f t="shared" si="37"/>
        <v/>
      </c>
      <c r="AH41" s="187" t="str">
        <f t="shared" si="4"/>
        <v/>
      </c>
      <c r="AI41" s="185" t="str">
        <f t="shared" si="13"/>
        <v/>
      </c>
      <c r="AJ41" s="188" t="str">
        <f t="shared" ref="AJ41:AJ42" si="43">IFERROR(IF(OR(AND(AF41="Muy Baja",AH41="Leve"),AND(AF41="Muy Baja",AH41="Menor"),AND(AF41="Baja",AH41="Leve")),"Bajo",IF(OR(AND(AF41="Muy baja",AH41="Moderado"),AND(AF41="Baja",AH41="Menor"),AND(AF41="Baja",AH41="Moderado"),AND(AF41="Media",AH41="Leve"),AND(AF41="Media",AH41="Menor"),AND(AF41="Media",AH41="Moderado"),AND(AF41="Alta",AH41="Leve"),AND(AF41="Alta",AH41="Menor")),"Moderado",IF(OR(AND(AF41="Muy Baja",AH41="Mayor"),AND(AF41="Baja",AH41="Mayor"),AND(AF41="Media",AH41="Mayor"),AND(AF41="Alta",AH41="Moderado"),AND(AF41="Alta",AH41="Mayor"),AND(AF41="Muy Alta",AH41="Leve"),AND(AF41="Muy Alta",AH41="Menor"),AND(AF41="Muy Alta",AH41="Moderado"),AND(AF41="Muy Alta",AH41="Mayor")),"Alto",IF(OR(AND(AF41="Muy Baja",AH41="Catastrófico"),AND(AF41="Baja",AH41="Catastrófico"),AND(AF41="Media",AH41="Catastrófico"),AND(AF41="Alta",AH41="Catastrófico"),AND(AF41="Muy Alta",AH41="Catastrófico")),"Extremo","")))),"")</f>
        <v/>
      </c>
      <c r="AK41" s="189"/>
      <c r="AL41" s="180"/>
      <c r="AM41" s="190"/>
      <c r="AN41" s="190"/>
      <c r="AO41" s="191"/>
      <c r="AP41" s="329"/>
      <c r="AQ41" s="329"/>
      <c r="AR41" s="329"/>
    </row>
    <row r="42" spans="1:44" ht="37.5" customHeight="1" x14ac:dyDescent="0.2">
      <c r="A42" s="342"/>
      <c r="B42" s="340"/>
      <c r="C42" s="340"/>
      <c r="D42" s="340"/>
      <c r="E42" s="340"/>
      <c r="F42" s="340"/>
      <c r="G42" s="323"/>
      <c r="H42" s="323"/>
      <c r="I42" s="323"/>
      <c r="J42" s="323"/>
      <c r="K42" s="323"/>
      <c r="L42" s="323"/>
      <c r="M42" s="323"/>
      <c r="N42" s="329"/>
      <c r="O42" s="326"/>
      <c r="P42" s="325"/>
      <c r="Q42" s="315"/>
      <c r="R42" s="325">
        <f>IF(NOT(ISERROR(MATCH(Q42,_xlfn.ANCHORARRAY(E53),0))),P55&amp;"Por favor no seleccionar los criterios de impacto",Q42)</f>
        <v>0</v>
      </c>
      <c r="S42" s="326"/>
      <c r="T42" s="325"/>
      <c r="U42" s="324"/>
      <c r="V42" s="208">
        <v>6</v>
      </c>
      <c r="W42" s="181"/>
      <c r="X42" s="183" t="str">
        <f t="shared" si="41"/>
        <v/>
      </c>
      <c r="Y42" s="184"/>
      <c r="Z42" s="184"/>
      <c r="AA42" s="185" t="str">
        <f t="shared" si="36"/>
        <v/>
      </c>
      <c r="AB42" s="184"/>
      <c r="AC42" s="184"/>
      <c r="AD42" s="184"/>
      <c r="AE42" s="186" t="str">
        <f t="shared" si="42"/>
        <v/>
      </c>
      <c r="AF42" s="187" t="str">
        <f t="shared" si="2"/>
        <v/>
      </c>
      <c r="AG42" s="185" t="str">
        <f t="shared" si="37"/>
        <v/>
      </c>
      <c r="AH42" s="187" t="str">
        <f t="shared" si="4"/>
        <v/>
      </c>
      <c r="AI42" s="185" t="str">
        <f t="shared" si="13"/>
        <v/>
      </c>
      <c r="AJ42" s="188" t="str">
        <f t="shared" si="43"/>
        <v/>
      </c>
      <c r="AK42" s="189"/>
      <c r="AL42" s="180"/>
      <c r="AM42" s="190"/>
      <c r="AN42" s="190"/>
      <c r="AO42" s="191"/>
      <c r="AP42" s="329"/>
      <c r="AQ42" s="329"/>
      <c r="AR42" s="329"/>
    </row>
    <row r="43" spans="1:44" ht="37.5" customHeight="1" x14ac:dyDescent="0.2">
      <c r="A43" s="342">
        <v>6</v>
      </c>
      <c r="B43" s="340"/>
      <c r="C43" s="340"/>
      <c r="D43" s="340"/>
      <c r="E43" s="321"/>
      <c r="F43" s="340"/>
      <c r="G43" s="321"/>
      <c r="H43" s="321"/>
      <c r="I43" s="321"/>
      <c r="J43" s="321"/>
      <c r="K43" s="321"/>
      <c r="L43" s="321"/>
      <c r="M43" s="321"/>
      <c r="N43" s="329"/>
      <c r="O43" s="326" t="str">
        <f>IF(N43&lt;=0,"",IF(N43&lt;=2,"Muy Baja",IF(N43&lt;=24,"Baja",IF(N43&lt;=500,"Media",IF(N43&lt;=5000,"Alta","Muy Alta")))))</f>
        <v/>
      </c>
      <c r="P43" s="325" t="str">
        <f>IF(O43="","",IF(O43="Muy Baja",0.2,IF(O43="Baja",0.4,IF(O43="Media",0.6,IF(O43="Alta",0.8,IF(O43="Muy Alta",1,))))))</f>
        <v/>
      </c>
      <c r="Q43" s="315"/>
      <c r="R43" s="325">
        <f>IF(NOT(ISERROR(MATCH(Q43,'Tabla Impacto'!$B$222:$B$224,0))),'Tabla Impacto'!$F$224&amp;"Por favor no seleccionar los criterios de impacto(Afectación Económica o presupuestal y Pérdida Reputacional)",Q43)</f>
        <v>0</v>
      </c>
      <c r="S43" s="326" t="str">
        <f>IF(OR(R43='Tabla Impacto'!$C$12,R43='Tabla Impacto'!$D$12),"Leve",IF(OR(R43='Tabla Impacto'!$C$13,R43='Tabla Impacto'!$D$13),"Menor",IF(OR(R43='Tabla Impacto'!$C$14,R43='Tabla Impacto'!$D$14),"Moderado",IF(OR(R43='Tabla Impacto'!$C$15,R43='Tabla Impacto'!$D$15),"Mayor",IF(OR(R43='Tabla Impacto'!$C$16,R43='Tabla Impacto'!$D$16),"Catastrófico","")))))</f>
        <v/>
      </c>
      <c r="T43" s="325" t="str">
        <f>IF(S43="","",IF(S43="Leve",0.2,IF(S43="Menor",0.4,IF(S43="Moderado",0.6,IF(S43="Mayor",0.8,IF(S43="Catastrófico",1,))))))</f>
        <v/>
      </c>
      <c r="U43" s="324"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208">
        <v>1</v>
      </c>
      <c r="W43" s="181"/>
      <c r="X43" s="183" t="str">
        <f>IF(OR(Y43="Preventivo",Y43="Detectivo"),"Probabilidad",IF(Y43="Correctivo","Impacto",""))</f>
        <v/>
      </c>
      <c r="Y43" s="184"/>
      <c r="Z43" s="184"/>
      <c r="AA43" s="185" t="str">
        <f>IF(AND(Y43="Preventivo",Z43="Automático"),"50%",IF(AND(Y43="Preventivo",Z43="Manual"),"40%",IF(AND(Y43="Detectivo",Z43="Automático"),"40%",IF(AND(Y43="Detectivo",Z43="Manual"),"30%",IF(AND(Y43="Correctivo",Z43="Automático"),"35%",IF(AND(Y43="Correctivo",Z43="Manual"),"25%",""))))))</f>
        <v/>
      </c>
      <c r="AB43" s="184"/>
      <c r="AC43" s="184"/>
      <c r="AD43" s="184"/>
      <c r="AE43" s="186" t="str">
        <f>IFERROR(IF(X43="Probabilidad",(P43-(+P43*AA43)),IF(X43="Impacto",P43,"")),"")</f>
        <v/>
      </c>
      <c r="AF43" s="187" t="str">
        <f>IFERROR(IF(AE43="","",IF(AE43&lt;=0.2,"Muy Baja",IF(AE43&lt;=0.4,"Baja",IF(AE43&lt;=0.6,"Media",IF(AE43&lt;=0.8,"Alta","Muy Alta"))))),"")</f>
        <v/>
      </c>
      <c r="AG43" s="185" t="str">
        <f>+AE43</f>
        <v/>
      </c>
      <c r="AH43" s="187" t="str">
        <f>IFERROR(IF(AI43="","",IF(AI43&lt;=0.2,"Leve",IF(AI43&lt;=0.4,"Menor",IF(AI43&lt;=0.6,"Moderado",IF(AI43&lt;=0.8,"Mayor","Catastrófico"))))),"")</f>
        <v/>
      </c>
      <c r="AI43" s="185" t="str">
        <f t="shared" ref="AI43" si="44">IFERROR(IF(X43="Impacto",(T43-(+T43*AA43)),IF(X43="Probabilidad",T43,"")),"")</f>
        <v/>
      </c>
      <c r="AJ43" s="188" t="str">
        <f>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
      </c>
      <c r="AK43" s="184"/>
      <c r="AL43" s="180"/>
      <c r="AM43" s="190"/>
      <c r="AN43" s="190"/>
      <c r="AO43" s="191"/>
      <c r="AP43" s="329"/>
      <c r="AQ43" s="329"/>
      <c r="AR43" s="329"/>
    </row>
    <row r="44" spans="1:44" ht="37.5" customHeight="1" x14ac:dyDescent="0.2">
      <c r="A44" s="342"/>
      <c r="B44" s="340"/>
      <c r="C44" s="340"/>
      <c r="D44" s="340"/>
      <c r="E44" s="322"/>
      <c r="F44" s="340"/>
      <c r="G44" s="322"/>
      <c r="H44" s="322"/>
      <c r="I44" s="322"/>
      <c r="J44" s="322"/>
      <c r="K44" s="322"/>
      <c r="L44" s="322"/>
      <c r="M44" s="322"/>
      <c r="N44" s="329"/>
      <c r="O44" s="326"/>
      <c r="P44" s="325"/>
      <c r="Q44" s="315"/>
      <c r="R44" s="325">
        <f>IF(NOT(ISERROR(MATCH(Q44,_xlfn.ANCHORARRAY(E55),0))),P57&amp;"Por favor no seleccionar los criterios de impacto",Q44)</f>
        <v>0</v>
      </c>
      <c r="S44" s="326"/>
      <c r="T44" s="325"/>
      <c r="U44" s="324"/>
      <c r="V44" s="208">
        <v>2</v>
      </c>
      <c r="W44" s="181"/>
      <c r="X44" s="183" t="str">
        <f>IF(OR(Y44="Preventivo",Y44="Detectivo"),"Probabilidad",IF(Y44="Correctivo","Impacto",""))</f>
        <v/>
      </c>
      <c r="Y44" s="184"/>
      <c r="Z44" s="184"/>
      <c r="AA44" s="185" t="str">
        <f t="shared" ref="AA44:AA48" si="45">IF(AND(Y44="Preventivo",Z44="Automático"),"50%",IF(AND(Y44="Preventivo",Z44="Manual"),"40%",IF(AND(Y44="Detectivo",Z44="Automático"),"40%",IF(AND(Y44="Detectivo",Z44="Manual"),"30%",IF(AND(Y44="Correctivo",Z44="Automático"),"35%",IF(AND(Y44="Correctivo",Z44="Manual"),"25%",""))))))</f>
        <v/>
      </c>
      <c r="AB44" s="184"/>
      <c r="AC44" s="184"/>
      <c r="AD44" s="184"/>
      <c r="AE44" s="186" t="str">
        <f>IFERROR(IF(AND(X43="Probabilidad",X44="Probabilidad"),(AG43-(+AG43*AA44)),IF(X44="Probabilidad",(P43-(+P43*AA44)),IF(X44="Impacto",AG43,""))),"")</f>
        <v/>
      </c>
      <c r="AF44" s="187" t="str">
        <f t="shared" si="2"/>
        <v/>
      </c>
      <c r="AG44" s="185" t="str">
        <f t="shared" ref="AG44:AG48" si="46">+AE44</f>
        <v/>
      </c>
      <c r="AH44" s="187" t="str">
        <f t="shared" si="4"/>
        <v/>
      </c>
      <c r="AI44" s="185" t="str">
        <f t="shared" ref="AI44" si="47">IFERROR(IF(AND(X43="Impacto",X44="Impacto"),(AI43-(+AI43*AA44)),IF(X44="Impacto",($T$13-(+$T$13*AA44)),IF(X44="Probabilidad",AI43,""))),"")</f>
        <v/>
      </c>
      <c r="AJ44" s="188" t="str">
        <f t="shared" ref="AJ44:AJ45" si="48">IFERROR(IF(OR(AND(AF44="Muy Baja",AH44="Leve"),AND(AF44="Muy Baja",AH44="Menor"),AND(AF44="Baja",AH44="Leve")),"Bajo",IF(OR(AND(AF44="Muy baja",AH44="Moderado"),AND(AF44="Baja",AH44="Menor"),AND(AF44="Baja",AH44="Moderado"),AND(AF44="Media",AH44="Leve"),AND(AF44="Media",AH44="Menor"),AND(AF44="Media",AH44="Moderado"),AND(AF44="Alta",AH44="Leve"),AND(AF44="Alta",AH44="Menor")),"Moderado",IF(OR(AND(AF44="Muy Baja",AH44="Mayor"),AND(AF44="Baja",AH44="Mayor"),AND(AF44="Media",AH44="Mayor"),AND(AF44="Alta",AH44="Moderado"),AND(AF44="Alta",AH44="Mayor"),AND(AF44="Muy Alta",AH44="Leve"),AND(AF44="Muy Alta",AH44="Menor"),AND(AF44="Muy Alta",AH44="Moderado"),AND(AF44="Muy Alta",AH44="Mayor")),"Alto",IF(OR(AND(AF44="Muy Baja",AH44="Catastrófico"),AND(AF44="Baja",AH44="Catastrófico"),AND(AF44="Media",AH44="Catastrófico"),AND(AF44="Alta",AH44="Catastrófico"),AND(AF44="Muy Alta",AH44="Catastrófico")),"Extremo","")))),"")</f>
        <v/>
      </c>
      <c r="AK44" s="189"/>
      <c r="AL44" s="180"/>
      <c r="AM44" s="190"/>
      <c r="AN44" s="190"/>
      <c r="AO44" s="191"/>
      <c r="AP44" s="329"/>
      <c r="AQ44" s="329"/>
      <c r="AR44" s="329"/>
    </row>
    <row r="45" spans="1:44" ht="37.5" customHeight="1" x14ac:dyDescent="0.2">
      <c r="A45" s="342"/>
      <c r="B45" s="340"/>
      <c r="C45" s="340"/>
      <c r="D45" s="340"/>
      <c r="E45" s="322"/>
      <c r="F45" s="340"/>
      <c r="G45" s="322"/>
      <c r="H45" s="322"/>
      <c r="I45" s="322"/>
      <c r="J45" s="322"/>
      <c r="K45" s="322"/>
      <c r="L45" s="322"/>
      <c r="M45" s="322"/>
      <c r="N45" s="329"/>
      <c r="O45" s="326"/>
      <c r="P45" s="325"/>
      <c r="Q45" s="315"/>
      <c r="R45" s="325">
        <f>IF(NOT(ISERROR(MATCH(Q45,_xlfn.ANCHORARRAY(E56),0))),P58&amp;"Por favor no seleccionar los criterios de impacto",Q45)</f>
        <v>0</v>
      </c>
      <c r="S45" s="326"/>
      <c r="T45" s="325"/>
      <c r="U45" s="324"/>
      <c r="V45" s="208">
        <v>3</v>
      </c>
      <c r="W45" s="182"/>
      <c r="X45" s="183" t="str">
        <f>IF(OR(Y45="Preventivo",Y45="Detectivo"),"Probabilidad",IF(Y45="Correctivo","Impacto",""))</f>
        <v/>
      </c>
      <c r="Y45" s="184"/>
      <c r="Z45" s="184"/>
      <c r="AA45" s="185" t="str">
        <f t="shared" si="45"/>
        <v/>
      </c>
      <c r="AB45" s="184"/>
      <c r="AC45" s="184"/>
      <c r="AD45" s="184"/>
      <c r="AE45" s="186" t="str">
        <f>IFERROR(IF(AND(X44="Probabilidad",X45="Probabilidad"),(AG44-(+AG44*AA45)),IF(AND(X44="Impacto",X45="Probabilidad"),(AG43-(+AG43*AA45)),IF(X45="Impacto",AG44,""))),"")</f>
        <v/>
      </c>
      <c r="AF45" s="187" t="str">
        <f t="shared" si="2"/>
        <v/>
      </c>
      <c r="AG45" s="185" t="str">
        <f t="shared" si="46"/>
        <v/>
      </c>
      <c r="AH45" s="187" t="str">
        <f t="shared" si="4"/>
        <v/>
      </c>
      <c r="AI45" s="185" t="str">
        <f t="shared" ref="AI45" si="49">IFERROR(IF(AND(X44="Impacto",X45="Impacto"),(AI44-(+AI44*AA45)),IF(AND(X44="Probabilidad",X45="Impacto"),(AI43-(+AI43*AA45)),IF(X45="Probabilidad",AI44,""))),"")</f>
        <v/>
      </c>
      <c r="AJ45" s="188" t="str">
        <f t="shared" si="48"/>
        <v/>
      </c>
      <c r="AK45" s="189"/>
      <c r="AL45" s="180"/>
      <c r="AM45" s="190"/>
      <c r="AN45" s="190"/>
      <c r="AO45" s="191"/>
      <c r="AP45" s="329"/>
      <c r="AQ45" s="329"/>
      <c r="AR45" s="329"/>
    </row>
    <row r="46" spans="1:44" ht="37.5" customHeight="1" x14ac:dyDescent="0.2">
      <c r="A46" s="342"/>
      <c r="B46" s="340"/>
      <c r="C46" s="340"/>
      <c r="D46" s="340"/>
      <c r="E46" s="322"/>
      <c r="F46" s="340"/>
      <c r="G46" s="322"/>
      <c r="H46" s="322"/>
      <c r="I46" s="322"/>
      <c r="J46" s="322"/>
      <c r="K46" s="322"/>
      <c r="L46" s="322"/>
      <c r="M46" s="322"/>
      <c r="N46" s="329"/>
      <c r="O46" s="326"/>
      <c r="P46" s="325"/>
      <c r="Q46" s="315"/>
      <c r="R46" s="325">
        <f>IF(NOT(ISERROR(MATCH(Q46,_xlfn.ANCHORARRAY(E57),0))),P59&amp;"Por favor no seleccionar los criterios de impacto",Q46)</f>
        <v>0</v>
      </c>
      <c r="S46" s="326"/>
      <c r="T46" s="325"/>
      <c r="U46" s="324"/>
      <c r="V46" s="208">
        <v>4</v>
      </c>
      <c r="W46" s="181"/>
      <c r="X46" s="183" t="str">
        <f t="shared" ref="X46:X48" si="50">IF(OR(Y46="Preventivo",Y46="Detectivo"),"Probabilidad",IF(Y46="Correctivo","Impacto",""))</f>
        <v/>
      </c>
      <c r="Y46" s="184"/>
      <c r="Z46" s="184"/>
      <c r="AA46" s="185" t="str">
        <f t="shared" si="45"/>
        <v/>
      </c>
      <c r="AB46" s="184"/>
      <c r="AC46" s="184"/>
      <c r="AD46" s="184"/>
      <c r="AE46" s="186" t="str">
        <f t="shared" ref="AE46:AE48" si="51">IFERROR(IF(AND(X45="Probabilidad",X46="Probabilidad"),(AG45-(+AG45*AA46)),IF(AND(X45="Impacto",X46="Probabilidad"),(AG44-(+AG44*AA46)),IF(X46="Impacto",AG45,""))),"")</f>
        <v/>
      </c>
      <c r="AF46" s="187" t="str">
        <f t="shared" si="2"/>
        <v/>
      </c>
      <c r="AG46" s="185" t="str">
        <f t="shared" si="46"/>
        <v/>
      </c>
      <c r="AH46" s="187" t="str">
        <f t="shared" si="4"/>
        <v/>
      </c>
      <c r="AI46" s="185" t="str">
        <f t="shared" si="13"/>
        <v/>
      </c>
      <c r="AJ46" s="188" t="str">
        <f>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
      </c>
      <c r="AK46" s="189"/>
      <c r="AL46" s="180"/>
      <c r="AM46" s="190"/>
      <c r="AN46" s="190"/>
      <c r="AO46" s="191"/>
      <c r="AP46" s="329"/>
      <c r="AQ46" s="329"/>
      <c r="AR46" s="329"/>
    </row>
    <row r="47" spans="1:44" ht="37.5" customHeight="1" x14ac:dyDescent="0.2">
      <c r="A47" s="342"/>
      <c r="B47" s="340"/>
      <c r="C47" s="340"/>
      <c r="D47" s="340"/>
      <c r="E47" s="322"/>
      <c r="F47" s="340"/>
      <c r="G47" s="322"/>
      <c r="H47" s="322"/>
      <c r="I47" s="322"/>
      <c r="J47" s="322"/>
      <c r="K47" s="322"/>
      <c r="L47" s="322"/>
      <c r="M47" s="322"/>
      <c r="N47" s="329"/>
      <c r="O47" s="326"/>
      <c r="P47" s="325"/>
      <c r="Q47" s="315"/>
      <c r="R47" s="325">
        <f>IF(NOT(ISERROR(MATCH(Q47,_xlfn.ANCHORARRAY(E58),0))),P60&amp;"Por favor no seleccionar los criterios de impacto",Q47)</f>
        <v>0</v>
      </c>
      <c r="S47" s="326"/>
      <c r="T47" s="325"/>
      <c r="U47" s="324"/>
      <c r="V47" s="208">
        <v>5</v>
      </c>
      <c r="W47" s="181"/>
      <c r="X47" s="183" t="str">
        <f t="shared" si="50"/>
        <v/>
      </c>
      <c r="Y47" s="184"/>
      <c r="Z47" s="184"/>
      <c r="AA47" s="185" t="str">
        <f t="shared" si="45"/>
        <v/>
      </c>
      <c r="AB47" s="184"/>
      <c r="AC47" s="184"/>
      <c r="AD47" s="184"/>
      <c r="AE47" s="186" t="str">
        <f t="shared" si="51"/>
        <v/>
      </c>
      <c r="AF47" s="187" t="str">
        <f t="shared" si="2"/>
        <v/>
      </c>
      <c r="AG47" s="185" t="str">
        <f t="shared" si="46"/>
        <v/>
      </c>
      <c r="AH47" s="187" t="str">
        <f t="shared" si="4"/>
        <v/>
      </c>
      <c r="AI47" s="185" t="str">
        <f t="shared" si="13"/>
        <v/>
      </c>
      <c r="AJ47" s="188" t="str">
        <f t="shared" ref="AJ47" si="52">IFERROR(IF(OR(AND(AF47="Muy Baja",AH47="Leve"),AND(AF47="Muy Baja",AH47="Menor"),AND(AF47="Baja",AH47="Leve")),"Bajo",IF(OR(AND(AF47="Muy baja",AH47="Moderado"),AND(AF47="Baja",AH47="Menor"),AND(AF47="Baja",AH47="Moderado"),AND(AF47="Media",AH47="Leve"),AND(AF47="Media",AH47="Menor"),AND(AF47="Media",AH47="Moderado"),AND(AF47="Alta",AH47="Leve"),AND(AF47="Alta",AH47="Menor")),"Moderado",IF(OR(AND(AF47="Muy Baja",AH47="Mayor"),AND(AF47="Baja",AH47="Mayor"),AND(AF47="Media",AH47="Mayor"),AND(AF47="Alta",AH47="Moderado"),AND(AF47="Alta",AH47="Mayor"),AND(AF47="Muy Alta",AH47="Leve"),AND(AF47="Muy Alta",AH47="Menor"),AND(AF47="Muy Alta",AH47="Moderado"),AND(AF47="Muy Alta",AH47="Mayor")),"Alto",IF(OR(AND(AF47="Muy Baja",AH47="Catastrófico"),AND(AF47="Baja",AH47="Catastrófico"),AND(AF47="Media",AH47="Catastrófico"),AND(AF47="Alta",AH47="Catastrófico"),AND(AF47="Muy Alta",AH47="Catastrófico")),"Extremo","")))),"")</f>
        <v/>
      </c>
      <c r="AK47" s="189"/>
      <c r="AL47" s="180"/>
      <c r="AM47" s="190"/>
      <c r="AN47" s="190"/>
      <c r="AO47" s="191"/>
      <c r="AP47" s="329"/>
      <c r="AQ47" s="329"/>
      <c r="AR47" s="329"/>
    </row>
    <row r="48" spans="1:44" ht="37.5" customHeight="1" x14ac:dyDescent="0.2">
      <c r="A48" s="342"/>
      <c r="B48" s="340"/>
      <c r="C48" s="340"/>
      <c r="D48" s="340"/>
      <c r="E48" s="323"/>
      <c r="F48" s="340"/>
      <c r="G48" s="323"/>
      <c r="H48" s="323"/>
      <c r="I48" s="323"/>
      <c r="J48" s="323"/>
      <c r="K48" s="323"/>
      <c r="L48" s="323"/>
      <c r="M48" s="323"/>
      <c r="N48" s="329"/>
      <c r="O48" s="326"/>
      <c r="P48" s="325"/>
      <c r="Q48" s="315"/>
      <c r="R48" s="325">
        <f>IF(NOT(ISERROR(MATCH(Q48,_xlfn.ANCHORARRAY(E59),0))),P61&amp;"Por favor no seleccionar los criterios de impacto",Q48)</f>
        <v>0</v>
      </c>
      <c r="S48" s="326"/>
      <c r="T48" s="325"/>
      <c r="U48" s="324"/>
      <c r="V48" s="208">
        <v>6</v>
      </c>
      <c r="W48" s="181"/>
      <c r="X48" s="183" t="str">
        <f t="shared" si="50"/>
        <v/>
      </c>
      <c r="Y48" s="184"/>
      <c r="Z48" s="184"/>
      <c r="AA48" s="185" t="str">
        <f t="shared" si="45"/>
        <v/>
      </c>
      <c r="AB48" s="184"/>
      <c r="AC48" s="184"/>
      <c r="AD48" s="184"/>
      <c r="AE48" s="186" t="str">
        <f t="shared" si="51"/>
        <v/>
      </c>
      <c r="AF48" s="187" t="str">
        <f t="shared" si="2"/>
        <v/>
      </c>
      <c r="AG48" s="185" t="str">
        <f t="shared" si="46"/>
        <v/>
      </c>
      <c r="AH48" s="187" t="str">
        <f>IFERROR(IF(AI48="","",IF(AI48&lt;=0.2,"Leve",IF(AI48&lt;=0.4,"Menor",IF(AI48&lt;=0.6,"Moderado",IF(AI48&lt;=0.8,"Mayor","Catastrófico"))))),"")</f>
        <v/>
      </c>
      <c r="AI48" s="185" t="str">
        <f t="shared" si="13"/>
        <v/>
      </c>
      <c r="AJ48" s="188" t="str">
        <f>IFERROR(IF(OR(AND(AF48="Muy Baja",AH48="Leve"),AND(AF48="Muy Baja",AH48="Menor"),AND(AF48="Baja",AH48="Leve")),"Bajo",IF(OR(AND(AF48="Muy baja",AH48="Moderado"),AND(AF48="Baja",AH48="Menor"),AND(AF48="Baja",AH48="Moderado"),AND(AF48="Media",AH48="Leve"),AND(AF48="Media",AH48="Menor"),AND(AF48="Media",AH48="Moderado"),AND(AF48="Alta",AH48="Leve"),AND(AF48="Alta",AH48="Menor")),"Moderado",IF(OR(AND(AF48="Muy Baja",AH48="Mayor"),AND(AF48="Baja",AH48="Mayor"),AND(AF48="Media",AH48="Mayor"),AND(AF48="Alta",AH48="Moderado"),AND(AF48="Alta",AH48="Mayor"),AND(AF48="Muy Alta",AH48="Leve"),AND(AF48="Muy Alta",AH48="Menor"),AND(AF48="Muy Alta",AH48="Moderado"),AND(AF48="Muy Alta",AH48="Mayor")),"Alto",IF(OR(AND(AF48="Muy Baja",AH48="Catastrófico"),AND(AF48="Baja",AH48="Catastrófico"),AND(AF48="Media",AH48="Catastrófico"),AND(AF48="Alta",AH48="Catastrófico"),AND(AF48="Muy Alta",AH48="Catastrófico")),"Extremo","")))),"")</f>
        <v/>
      </c>
      <c r="AK48" s="189"/>
      <c r="AL48" s="180"/>
      <c r="AM48" s="190"/>
      <c r="AN48" s="190"/>
      <c r="AO48" s="191"/>
      <c r="AP48" s="329"/>
      <c r="AQ48" s="329"/>
      <c r="AR48" s="329"/>
    </row>
    <row r="49" spans="1:44" ht="37.5" customHeight="1" x14ac:dyDescent="0.2">
      <c r="A49" s="342">
        <v>7</v>
      </c>
      <c r="B49" s="340"/>
      <c r="C49" s="340"/>
      <c r="D49" s="348"/>
      <c r="E49" s="340"/>
      <c r="F49" s="340"/>
      <c r="G49" s="321"/>
      <c r="H49" s="321"/>
      <c r="I49" s="321"/>
      <c r="J49" s="321"/>
      <c r="K49" s="321"/>
      <c r="L49" s="321"/>
      <c r="M49" s="321"/>
      <c r="N49" s="329"/>
      <c r="O49" s="326" t="str">
        <f>IF(N49&lt;=0,"",IF(N49&lt;=2,"Muy Baja",IF(N49&lt;=24,"Baja",IF(N49&lt;=500,"Media",IF(N49&lt;=5000,"Alta","Muy Alta")))))</f>
        <v/>
      </c>
      <c r="P49" s="325" t="str">
        <f>IF(O49="","",IF(O49="Muy Baja",0.2,IF(O49="Baja",0.4,IF(O49="Media",0.6,IF(O49="Alta",0.8,IF(O49="Muy Alta",1,))))))</f>
        <v/>
      </c>
      <c r="Q49" s="315"/>
      <c r="R49" s="325">
        <f>IF(NOT(ISERROR(MATCH(Q49,'Tabla Impacto'!$B$222:$B$224,0))),'Tabla Impacto'!$F$224&amp;"Por favor no seleccionar los criterios de impacto(Afectación Económica o presupuestal y Pérdida Reputacional)",Q49)</f>
        <v>0</v>
      </c>
      <c r="S49" s="326" t="str">
        <f>IF(OR(R49='Tabla Impacto'!$C$12,R49='Tabla Impacto'!$D$12),"Leve",IF(OR(R49='Tabla Impacto'!$C$13,R49='Tabla Impacto'!$D$13),"Menor",IF(OR(R49='Tabla Impacto'!$C$14,R49='Tabla Impacto'!$D$14),"Moderado",IF(OR(R49='Tabla Impacto'!$C$15,R49='Tabla Impacto'!$D$15),"Mayor",IF(OR(R49='Tabla Impacto'!$C$16,R49='Tabla Impacto'!$D$16),"Catastrófico","")))))</f>
        <v/>
      </c>
      <c r="T49" s="325" t="str">
        <f>IF(S49="","",IF(S49="Leve",0.2,IF(S49="Menor",0.4,IF(S49="Moderado",0.6,IF(S49="Mayor",0.8,IF(S49="Catastrófico",1,))))))</f>
        <v/>
      </c>
      <c r="U49" s="324"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208">
        <v>1</v>
      </c>
      <c r="W49" s="193"/>
      <c r="X49" s="183" t="str">
        <f>IF(OR(Y49="Preventivo",Y49="Detectivo"),"Probabilidad",IF(Y49="Correctivo","Impacto",""))</f>
        <v/>
      </c>
      <c r="Y49" s="184"/>
      <c r="Z49" s="184"/>
      <c r="AA49" s="185" t="str">
        <f>IF(AND(Y49="Preventivo",Z49="Automático"),"50%",IF(AND(Y49="Preventivo",Z49="Manual"),"40%",IF(AND(Y49="Detectivo",Z49="Automático"),"40%",IF(AND(Y49="Detectivo",Z49="Manual"),"30%",IF(AND(Y49="Correctivo",Z49="Automático"),"35%",IF(AND(Y49="Correctivo",Z49="Manual"),"25%",""))))))</f>
        <v/>
      </c>
      <c r="AB49" s="184"/>
      <c r="AC49" s="184"/>
      <c r="AD49" s="184"/>
      <c r="AE49" s="186" t="str">
        <f>IFERROR(IF(X49="Probabilidad",(P49-(+P49*AA49)),IF(X49="Impacto",P49,"")),"")</f>
        <v/>
      </c>
      <c r="AF49" s="187" t="str">
        <f>IFERROR(IF(AE49="","",IF(AE49&lt;=0.2,"Muy Baja",IF(AE49&lt;=0.4,"Baja",IF(AE49&lt;=0.6,"Media",IF(AE49&lt;=0.8,"Alta","Muy Alta"))))),"")</f>
        <v/>
      </c>
      <c r="AG49" s="185" t="str">
        <f>+AE49</f>
        <v/>
      </c>
      <c r="AH49" s="187" t="str">
        <f>IFERROR(IF(AI49="","",IF(AI49&lt;=0.2,"Leve",IF(AI49&lt;=0.4,"Menor",IF(AI49&lt;=0.6,"Moderado",IF(AI49&lt;=0.8,"Mayor","Catastrófico"))))),"")</f>
        <v/>
      </c>
      <c r="AI49" s="185" t="str">
        <f t="shared" ref="AI49" si="53">IFERROR(IF(X49="Impacto",(T49-(+T49*AA49)),IF(X49="Probabilidad",T49,"")),"")</f>
        <v/>
      </c>
      <c r="AJ49" s="188" t="str">
        <f>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
      </c>
      <c r="AK49" s="189"/>
      <c r="AL49" s="180"/>
      <c r="AM49" s="190"/>
      <c r="AN49" s="190"/>
      <c r="AO49" s="191"/>
      <c r="AP49" s="329"/>
      <c r="AQ49" s="329"/>
      <c r="AR49" s="329"/>
    </row>
    <row r="50" spans="1:44" ht="37.5" customHeight="1" x14ac:dyDescent="0.2">
      <c r="A50" s="342"/>
      <c r="B50" s="340"/>
      <c r="C50" s="340"/>
      <c r="D50" s="348"/>
      <c r="E50" s="340"/>
      <c r="F50" s="340"/>
      <c r="G50" s="322"/>
      <c r="H50" s="322"/>
      <c r="I50" s="322"/>
      <c r="J50" s="322"/>
      <c r="K50" s="322"/>
      <c r="L50" s="322"/>
      <c r="M50" s="322"/>
      <c r="N50" s="329"/>
      <c r="O50" s="326"/>
      <c r="P50" s="325"/>
      <c r="Q50" s="315"/>
      <c r="R50" s="325">
        <f>IF(NOT(ISERROR(MATCH(Q50,_xlfn.ANCHORARRAY(E61),0))),P63&amp;"Por favor no seleccionar los criterios de impacto",Q50)</f>
        <v>0</v>
      </c>
      <c r="S50" s="326"/>
      <c r="T50" s="325"/>
      <c r="U50" s="324"/>
      <c r="V50" s="208">
        <v>2</v>
      </c>
      <c r="W50" s="181"/>
      <c r="X50" s="183" t="str">
        <f>IF(OR(Y50="Preventivo",Y50="Detectivo"),"Probabilidad",IF(Y50="Correctivo","Impacto",""))</f>
        <v/>
      </c>
      <c r="Y50" s="184"/>
      <c r="Z50" s="184"/>
      <c r="AA50" s="185" t="str">
        <f t="shared" ref="AA50:AA54" si="54">IF(AND(Y50="Preventivo",Z50="Automático"),"50%",IF(AND(Y50="Preventivo",Z50="Manual"),"40%",IF(AND(Y50="Detectivo",Z50="Automático"),"40%",IF(AND(Y50="Detectivo",Z50="Manual"),"30%",IF(AND(Y50="Correctivo",Z50="Automático"),"35%",IF(AND(Y50="Correctivo",Z50="Manual"),"25%",""))))))</f>
        <v/>
      </c>
      <c r="AB50" s="184"/>
      <c r="AC50" s="184"/>
      <c r="AD50" s="184"/>
      <c r="AE50" s="186" t="str">
        <f>IFERROR(IF(AND(X49="Probabilidad",X50="Probabilidad"),(AG49-(+AG49*AA50)),IF(X50="Probabilidad",(P49-(+P49*AA50)),IF(X50="Impacto",AG49,""))),"")</f>
        <v/>
      </c>
      <c r="AF50" s="187" t="str">
        <f t="shared" si="2"/>
        <v/>
      </c>
      <c r="AG50" s="185" t="str">
        <f t="shared" ref="AG50:AG54" si="55">+AE50</f>
        <v/>
      </c>
      <c r="AH50" s="187" t="str">
        <f t="shared" si="4"/>
        <v/>
      </c>
      <c r="AI50" s="185" t="str">
        <f t="shared" ref="AI50" si="56">IFERROR(IF(AND(X49="Impacto",X50="Impacto"),(AI49-(+AI49*AA50)),IF(X50="Impacto",($T$13-(+$T$13*AA50)),IF(X50="Probabilidad",AI49,""))),"")</f>
        <v/>
      </c>
      <c r="AJ50" s="188" t="str">
        <f t="shared" ref="AJ50:AJ51" si="57">IFERROR(IF(OR(AND(AF50="Muy Baja",AH50="Leve"),AND(AF50="Muy Baja",AH50="Menor"),AND(AF50="Baja",AH50="Leve")),"Bajo",IF(OR(AND(AF50="Muy baja",AH50="Moderado"),AND(AF50="Baja",AH50="Menor"),AND(AF50="Baja",AH50="Moderado"),AND(AF50="Media",AH50="Leve"),AND(AF50="Media",AH50="Menor"),AND(AF50="Media",AH50="Moderado"),AND(AF50="Alta",AH50="Leve"),AND(AF50="Alta",AH50="Menor")),"Moderado",IF(OR(AND(AF50="Muy Baja",AH50="Mayor"),AND(AF50="Baja",AH50="Mayor"),AND(AF50="Media",AH50="Mayor"),AND(AF50="Alta",AH50="Moderado"),AND(AF50="Alta",AH50="Mayor"),AND(AF50="Muy Alta",AH50="Leve"),AND(AF50="Muy Alta",AH50="Menor"),AND(AF50="Muy Alta",AH50="Moderado"),AND(AF50="Muy Alta",AH50="Mayor")),"Alto",IF(OR(AND(AF50="Muy Baja",AH50="Catastrófico"),AND(AF50="Baja",AH50="Catastrófico"),AND(AF50="Media",AH50="Catastrófico"),AND(AF50="Alta",AH50="Catastrófico"),AND(AF50="Muy Alta",AH50="Catastrófico")),"Extremo","")))),"")</f>
        <v/>
      </c>
      <c r="AK50" s="189"/>
      <c r="AL50" s="180"/>
      <c r="AM50" s="190"/>
      <c r="AN50" s="190"/>
      <c r="AO50" s="191"/>
      <c r="AP50" s="329"/>
      <c r="AQ50" s="329"/>
      <c r="AR50" s="329"/>
    </row>
    <row r="51" spans="1:44" ht="37.5" customHeight="1" x14ac:dyDescent="0.2">
      <c r="A51" s="342"/>
      <c r="B51" s="340"/>
      <c r="C51" s="340"/>
      <c r="D51" s="348"/>
      <c r="E51" s="340"/>
      <c r="F51" s="340"/>
      <c r="G51" s="322"/>
      <c r="H51" s="322"/>
      <c r="I51" s="322"/>
      <c r="J51" s="322"/>
      <c r="K51" s="322"/>
      <c r="L51" s="322"/>
      <c r="M51" s="322"/>
      <c r="N51" s="329"/>
      <c r="O51" s="326"/>
      <c r="P51" s="325"/>
      <c r="Q51" s="315"/>
      <c r="R51" s="325">
        <f>IF(NOT(ISERROR(MATCH(Q51,_xlfn.ANCHORARRAY(E62),0))),P64&amp;"Por favor no seleccionar los criterios de impacto",Q51)</f>
        <v>0</v>
      </c>
      <c r="S51" s="326"/>
      <c r="T51" s="325"/>
      <c r="U51" s="324"/>
      <c r="V51" s="208">
        <v>3</v>
      </c>
      <c r="W51" s="182"/>
      <c r="X51" s="183" t="str">
        <f>IF(OR(Y51="Preventivo",Y51="Detectivo"),"Probabilidad",IF(Y51="Correctivo","Impacto",""))</f>
        <v/>
      </c>
      <c r="Y51" s="184"/>
      <c r="Z51" s="184"/>
      <c r="AA51" s="185" t="str">
        <f t="shared" si="54"/>
        <v/>
      </c>
      <c r="AB51" s="184"/>
      <c r="AC51" s="184"/>
      <c r="AD51" s="184"/>
      <c r="AE51" s="186" t="str">
        <f>IFERROR(IF(AND(X50="Probabilidad",X51="Probabilidad"),(AG50-(+AG50*AA51)),IF(AND(X50="Impacto",X51="Probabilidad"),(AG49-(+AG49*AA51)),IF(X51="Impacto",AG50,""))),"")</f>
        <v/>
      </c>
      <c r="AF51" s="187" t="str">
        <f t="shared" si="2"/>
        <v/>
      </c>
      <c r="AG51" s="185" t="str">
        <f t="shared" si="55"/>
        <v/>
      </c>
      <c r="AH51" s="187" t="str">
        <f t="shared" si="4"/>
        <v/>
      </c>
      <c r="AI51" s="185" t="str">
        <f t="shared" ref="AI51" si="58">IFERROR(IF(AND(X50="Impacto",X51="Impacto"),(AI50-(+AI50*AA51)),IF(AND(X50="Probabilidad",X51="Impacto"),(AI49-(+AI49*AA51)),IF(X51="Probabilidad",AI50,""))),"")</f>
        <v/>
      </c>
      <c r="AJ51" s="188" t="str">
        <f t="shared" si="57"/>
        <v/>
      </c>
      <c r="AK51" s="189"/>
      <c r="AL51" s="180"/>
      <c r="AM51" s="190"/>
      <c r="AN51" s="190"/>
      <c r="AO51" s="191"/>
      <c r="AP51" s="329"/>
      <c r="AQ51" s="329"/>
      <c r="AR51" s="329"/>
    </row>
    <row r="52" spans="1:44" ht="37.5" customHeight="1" x14ac:dyDescent="0.2">
      <c r="A52" s="342"/>
      <c r="B52" s="340"/>
      <c r="C52" s="340"/>
      <c r="D52" s="348"/>
      <c r="E52" s="340"/>
      <c r="F52" s="340"/>
      <c r="G52" s="322"/>
      <c r="H52" s="322"/>
      <c r="I52" s="322"/>
      <c r="J52" s="322"/>
      <c r="K52" s="322"/>
      <c r="L52" s="322"/>
      <c r="M52" s="322"/>
      <c r="N52" s="329"/>
      <c r="O52" s="326"/>
      <c r="P52" s="325"/>
      <c r="Q52" s="315"/>
      <c r="R52" s="325">
        <f>IF(NOT(ISERROR(MATCH(Q52,_xlfn.ANCHORARRAY(E63),0))),P65&amp;"Por favor no seleccionar los criterios de impacto",Q52)</f>
        <v>0</v>
      </c>
      <c r="S52" s="326"/>
      <c r="T52" s="325"/>
      <c r="U52" s="324"/>
      <c r="V52" s="208">
        <v>4</v>
      </c>
      <c r="W52" s="181"/>
      <c r="X52" s="183" t="str">
        <f t="shared" ref="X52:X54" si="59">IF(OR(Y52="Preventivo",Y52="Detectivo"),"Probabilidad",IF(Y52="Correctivo","Impacto",""))</f>
        <v/>
      </c>
      <c r="Y52" s="184"/>
      <c r="Z52" s="184"/>
      <c r="AA52" s="185" t="str">
        <f t="shared" si="54"/>
        <v/>
      </c>
      <c r="AB52" s="184"/>
      <c r="AC52" s="184"/>
      <c r="AD52" s="184"/>
      <c r="AE52" s="186" t="str">
        <f t="shared" ref="AE52:AE54" si="60">IFERROR(IF(AND(X51="Probabilidad",X52="Probabilidad"),(AG51-(+AG51*AA52)),IF(AND(X51="Impacto",X52="Probabilidad"),(AG50-(+AG50*AA52)),IF(X52="Impacto",AG51,""))),"")</f>
        <v/>
      </c>
      <c r="AF52" s="187" t="str">
        <f t="shared" si="2"/>
        <v/>
      </c>
      <c r="AG52" s="185" t="str">
        <f t="shared" si="55"/>
        <v/>
      </c>
      <c r="AH52" s="187" t="str">
        <f t="shared" si="4"/>
        <v/>
      </c>
      <c r="AI52" s="185" t="str">
        <f t="shared" si="13"/>
        <v/>
      </c>
      <c r="AJ52" s="188" t="str">
        <f>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
      </c>
      <c r="AK52" s="189"/>
      <c r="AL52" s="180"/>
      <c r="AM52" s="190"/>
      <c r="AN52" s="190"/>
      <c r="AO52" s="191"/>
      <c r="AP52" s="329"/>
      <c r="AQ52" s="329"/>
      <c r="AR52" s="329"/>
    </row>
    <row r="53" spans="1:44" ht="37.5" customHeight="1" x14ac:dyDescent="0.2">
      <c r="A53" s="342"/>
      <c r="B53" s="340"/>
      <c r="C53" s="340"/>
      <c r="D53" s="348"/>
      <c r="E53" s="340"/>
      <c r="F53" s="340"/>
      <c r="G53" s="322"/>
      <c r="H53" s="322"/>
      <c r="I53" s="322"/>
      <c r="J53" s="322"/>
      <c r="K53" s="322"/>
      <c r="L53" s="322"/>
      <c r="M53" s="322"/>
      <c r="N53" s="329"/>
      <c r="O53" s="326"/>
      <c r="P53" s="325"/>
      <c r="Q53" s="315"/>
      <c r="R53" s="325">
        <f>IF(NOT(ISERROR(MATCH(Q53,_xlfn.ANCHORARRAY(E64),0))),P66&amp;"Por favor no seleccionar los criterios de impacto",Q53)</f>
        <v>0</v>
      </c>
      <c r="S53" s="326"/>
      <c r="T53" s="325"/>
      <c r="U53" s="324"/>
      <c r="V53" s="208">
        <v>5</v>
      </c>
      <c r="W53" s="181"/>
      <c r="X53" s="183" t="str">
        <f t="shared" si="59"/>
        <v/>
      </c>
      <c r="Y53" s="184"/>
      <c r="Z53" s="184"/>
      <c r="AA53" s="185" t="str">
        <f t="shared" si="54"/>
        <v/>
      </c>
      <c r="AB53" s="184"/>
      <c r="AC53" s="184"/>
      <c r="AD53" s="184"/>
      <c r="AE53" s="186" t="str">
        <f t="shared" si="60"/>
        <v/>
      </c>
      <c r="AF53" s="187" t="str">
        <f t="shared" si="2"/>
        <v/>
      </c>
      <c r="AG53" s="185" t="str">
        <f t="shared" si="55"/>
        <v/>
      </c>
      <c r="AH53" s="187" t="str">
        <f t="shared" si="4"/>
        <v/>
      </c>
      <c r="AI53" s="185" t="str">
        <f t="shared" si="13"/>
        <v/>
      </c>
      <c r="AJ53" s="188" t="str">
        <f t="shared" ref="AJ53:AJ54" si="61">IFERROR(IF(OR(AND(AF53="Muy Baja",AH53="Leve"),AND(AF53="Muy Baja",AH53="Menor"),AND(AF53="Baja",AH53="Leve")),"Bajo",IF(OR(AND(AF53="Muy baja",AH53="Moderado"),AND(AF53="Baja",AH53="Menor"),AND(AF53="Baja",AH53="Moderado"),AND(AF53="Media",AH53="Leve"),AND(AF53="Media",AH53="Menor"),AND(AF53="Media",AH53="Moderado"),AND(AF53="Alta",AH53="Leve"),AND(AF53="Alta",AH53="Menor")),"Moderado",IF(OR(AND(AF53="Muy Baja",AH53="Mayor"),AND(AF53="Baja",AH53="Mayor"),AND(AF53="Media",AH53="Mayor"),AND(AF53="Alta",AH53="Moderado"),AND(AF53="Alta",AH53="Mayor"),AND(AF53="Muy Alta",AH53="Leve"),AND(AF53="Muy Alta",AH53="Menor"),AND(AF53="Muy Alta",AH53="Moderado"),AND(AF53="Muy Alta",AH53="Mayor")),"Alto",IF(OR(AND(AF53="Muy Baja",AH53="Catastrófico"),AND(AF53="Baja",AH53="Catastrófico"),AND(AF53="Media",AH53="Catastrófico"),AND(AF53="Alta",AH53="Catastrófico"),AND(AF53="Muy Alta",AH53="Catastrófico")),"Extremo","")))),"")</f>
        <v/>
      </c>
      <c r="AK53" s="189"/>
      <c r="AL53" s="180"/>
      <c r="AM53" s="190"/>
      <c r="AN53" s="190"/>
      <c r="AO53" s="191"/>
      <c r="AP53" s="329"/>
      <c r="AQ53" s="329"/>
      <c r="AR53" s="329"/>
    </row>
    <row r="54" spans="1:44" ht="37.5" customHeight="1" x14ac:dyDescent="0.2">
      <c r="A54" s="342"/>
      <c r="B54" s="340"/>
      <c r="C54" s="340"/>
      <c r="D54" s="348"/>
      <c r="E54" s="340"/>
      <c r="F54" s="340"/>
      <c r="G54" s="323"/>
      <c r="H54" s="323"/>
      <c r="I54" s="323"/>
      <c r="J54" s="323"/>
      <c r="K54" s="323"/>
      <c r="L54" s="323"/>
      <c r="M54" s="323"/>
      <c r="N54" s="329"/>
      <c r="O54" s="326"/>
      <c r="P54" s="325"/>
      <c r="Q54" s="315"/>
      <c r="R54" s="325">
        <f>IF(NOT(ISERROR(MATCH(Q54,_xlfn.ANCHORARRAY(E65),0))),P67&amp;"Por favor no seleccionar los criterios de impacto",Q54)</f>
        <v>0</v>
      </c>
      <c r="S54" s="326"/>
      <c r="T54" s="325"/>
      <c r="U54" s="324"/>
      <c r="V54" s="208">
        <v>6</v>
      </c>
      <c r="W54" s="181"/>
      <c r="X54" s="183" t="str">
        <f t="shared" si="59"/>
        <v/>
      </c>
      <c r="Y54" s="184"/>
      <c r="Z54" s="184"/>
      <c r="AA54" s="185" t="str">
        <f t="shared" si="54"/>
        <v/>
      </c>
      <c r="AB54" s="184"/>
      <c r="AC54" s="184"/>
      <c r="AD54" s="184"/>
      <c r="AE54" s="186" t="str">
        <f t="shared" si="60"/>
        <v/>
      </c>
      <c r="AF54" s="187" t="str">
        <f t="shared" si="2"/>
        <v/>
      </c>
      <c r="AG54" s="185" t="str">
        <f t="shared" si="55"/>
        <v/>
      </c>
      <c r="AH54" s="187" t="str">
        <f t="shared" si="4"/>
        <v/>
      </c>
      <c r="AI54" s="185" t="str">
        <f t="shared" si="13"/>
        <v/>
      </c>
      <c r="AJ54" s="188" t="str">
        <f t="shared" si="61"/>
        <v/>
      </c>
      <c r="AK54" s="189"/>
      <c r="AL54" s="180"/>
      <c r="AM54" s="190"/>
      <c r="AN54" s="190"/>
      <c r="AO54" s="191"/>
      <c r="AP54" s="329"/>
      <c r="AQ54" s="329"/>
      <c r="AR54" s="329"/>
    </row>
    <row r="55" spans="1:44" ht="37.5" customHeight="1" x14ac:dyDescent="0.2">
      <c r="A55" s="342">
        <v>8</v>
      </c>
      <c r="B55" s="340"/>
      <c r="C55" s="340"/>
      <c r="D55" s="340"/>
      <c r="E55" s="340"/>
      <c r="F55" s="340"/>
      <c r="G55" s="321"/>
      <c r="H55" s="321"/>
      <c r="I55" s="321"/>
      <c r="J55" s="321"/>
      <c r="K55" s="321"/>
      <c r="L55" s="321"/>
      <c r="M55" s="321"/>
      <c r="N55" s="329"/>
      <c r="O55" s="326" t="str">
        <f>IF(N55&lt;=0,"",IF(N55&lt;=2,"Muy Baja",IF(N55&lt;=24,"Baja",IF(N55&lt;=500,"Media",IF(N55&lt;=5000,"Alta","Muy Alta")))))</f>
        <v/>
      </c>
      <c r="P55" s="325" t="str">
        <f>IF(O55="","",IF(O55="Muy Baja",0.2,IF(O55="Baja",0.4,IF(O55="Media",0.6,IF(O55="Alta",0.8,IF(O55="Muy Alta",1,))))))</f>
        <v/>
      </c>
      <c r="Q55" s="315"/>
      <c r="R55" s="325">
        <f>IF(NOT(ISERROR(MATCH(Q55,'Tabla Impacto'!$B$222:$B$224,0))),'Tabla Impacto'!$F$224&amp;"Por favor no seleccionar los criterios de impacto(Afectación Económica o presupuestal y Pérdida Reputacional)",Q55)</f>
        <v>0</v>
      </c>
      <c r="S55" s="326" t="str">
        <f>IF(OR(R55='Tabla Impacto'!$C$12,R55='Tabla Impacto'!$D$12),"Leve",IF(OR(R55='Tabla Impacto'!$C$13,R55='Tabla Impacto'!$D$13),"Menor",IF(OR(R55='Tabla Impacto'!$C$14,R55='Tabla Impacto'!$D$14),"Moderado",IF(OR(R55='Tabla Impacto'!$C$15,R55='Tabla Impacto'!$D$15),"Mayor",IF(OR(R55='Tabla Impacto'!$C$16,R55='Tabla Impacto'!$D$16),"Catastrófico","")))))</f>
        <v/>
      </c>
      <c r="T55" s="325" t="str">
        <f>IF(S55="","",IF(S55="Leve",0.2,IF(S55="Menor",0.4,IF(S55="Moderado",0.6,IF(S55="Mayor",0.8,IF(S55="Catastrófico",1,))))))</f>
        <v/>
      </c>
      <c r="U55" s="324"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208">
        <v>1</v>
      </c>
      <c r="W55" s="181"/>
      <c r="X55" s="183" t="str">
        <f>IF(OR(Y55="Preventivo",Y55="Detectivo"),"Probabilidad",IF(Y55="Correctivo","Impacto",""))</f>
        <v/>
      </c>
      <c r="Y55" s="184"/>
      <c r="Z55" s="184"/>
      <c r="AA55" s="185" t="str">
        <f>IF(AND(Y55="Preventivo",Z55="Automático"),"50%",IF(AND(Y55="Preventivo",Z55="Manual"),"40%",IF(AND(Y55="Detectivo",Z55="Automático"),"40%",IF(AND(Y55="Detectivo",Z55="Manual"),"30%",IF(AND(Y55="Correctivo",Z55="Automático"),"35%",IF(AND(Y55="Correctivo",Z55="Manual"),"25%",""))))))</f>
        <v/>
      </c>
      <c r="AB55" s="184"/>
      <c r="AC55" s="184"/>
      <c r="AD55" s="184"/>
      <c r="AE55" s="186" t="str">
        <f>IFERROR(IF(X55="Probabilidad",(P55-(+P55*AA55)),IF(X55="Impacto",P55,"")),"")</f>
        <v/>
      </c>
      <c r="AF55" s="187" t="str">
        <f>IFERROR(IF(AE55="","",IF(AE55&lt;=0.2,"Muy Baja",IF(AE55&lt;=0.4,"Baja",IF(AE55&lt;=0.6,"Media",IF(AE55&lt;=0.8,"Alta","Muy Alta"))))),"")</f>
        <v/>
      </c>
      <c r="AG55" s="185" t="str">
        <f>+AE55</f>
        <v/>
      </c>
      <c r="AH55" s="187" t="str">
        <f>IFERROR(IF(AI55="","",IF(AI55&lt;=0.2,"Leve",IF(AI55&lt;=0.4,"Menor",IF(AI55&lt;=0.6,"Moderado",IF(AI55&lt;=0.8,"Mayor","Catastrófico"))))),"")</f>
        <v/>
      </c>
      <c r="AI55" s="185" t="str">
        <f t="shared" ref="AI55" si="62">IFERROR(IF(X55="Impacto",(T55-(+T55*AA55)),IF(X55="Probabilidad",T55,"")),"")</f>
        <v/>
      </c>
      <c r="AJ55" s="188" t="str">
        <f>IFERROR(IF(OR(AND(AF55="Muy Baja",AH55="Leve"),AND(AF55="Muy Baja",AH55="Menor"),AND(AF55="Baja",AH55="Leve")),"Bajo",IF(OR(AND(AF55="Muy baja",AH55="Moderado"),AND(AF55="Baja",AH55="Menor"),AND(AF55="Baja",AH55="Moderado"),AND(AF55="Media",AH55="Leve"),AND(AF55="Media",AH55="Menor"),AND(AF55="Media",AH55="Moderado"),AND(AF55="Alta",AH55="Leve"),AND(AF55="Alta",AH55="Menor")),"Moderado",IF(OR(AND(AF55="Muy Baja",AH55="Mayor"),AND(AF55="Baja",AH55="Mayor"),AND(AF55="Media",AH55="Mayor"),AND(AF55="Alta",AH55="Moderado"),AND(AF55="Alta",AH55="Mayor"),AND(AF55="Muy Alta",AH55="Leve"),AND(AF55="Muy Alta",AH55="Menor"),AND(AF55="Muy Alta",AH55="Moderado"),AND(AF55="Muy Alta",AH55="Mayor")),"Alto",IF(OR(AND(AF55="Muy Baja",AH55="Catastrófico"),AND(AF55="Baja",AH55="Catastrófico"),AND(AF55="Media",AH55="Catastrófico"),AND(AF55="Alta",AH55="Catastrófico"),AND(AF55="Muy Alta",AH55="Catastrófico")),"Extremo","")))),"")</f>
        <v/>
      </c>
      <c r="AK55" s="189"/>
      <c r="AL55" s="180"/>
      <c r="AM55" s="190"/>
      <c r="AN55" s="190"/>
      <c r="AO55" s="191"/>
      <c r="AP55" s="329"/>
      <c r="AQ55" s="329"/>
      <c r="AR55" s="329"/>
    </row>
    <row r="56" spans="1:44" ht="37.5" customHeight="1" x14ac:dyDescent="0.2">
      <c r="A56" s="342"/>
      <c r="B56" s="340"/>
      <c r="C56" s="340"/>
      <c r="D56" s="340"/>
      <c r="E56" s="340"/>
      <c r="F56" s="340"/>
      <c r="G56" s="322"/>
      <c r="H56" s="322"/>
      <c r="I56" s="322"/>
      <c r="J56" s="322"/>
      <c r="K56" s="322"/>
      <c r="L56" s="322"/>
      <c r="M56" s="322"/>
      <c r="N56" s="329"/>
      <c r="O56" s="326"/>
      <c r="P56" s="325"/>
      <c r="Q56" s="315"/>
      <c r="R56" s="325">
        <f>IF(NOT(ISERROR(MATCH(Q56,_xlfn.ANCHORARRAY(E67),0))),P69&amp;"Por favor no seleccionar los criterios de impacto",Q56)</f>
        <v>0</v>
      </c>
      <c r="S56" s="326"/>
      <c r="T56" s="325"/>
      <c r="U56" s="324"/>
      <c r="V56" s="208">
        <v>2</v>
      </c>
      <c r="W56" s="181"/>
      <c r="X56" s="183" t="str">
        <f>IF(OR(Y56="Preventivo",Y56="Detectivo"),"Probabilidad",IF(Y56="Correctivo","Impacto",""))</f>
        <v/>
      </c>
      <c r="Y56" s="184"/>
      <c r="Z56" s="184"/>
      <c r="AA56" s="185" t="str">
        <f t="shared" ref="AA56:AA60" si="63">IF(AND(Y56="Preventivo",Z56="Automático"),"50%",IF(AND(Y56="Preventivo",Z56="Manual"),"40%",IF(AND(Y56="Detectivo",Z56="Automático"),"40%",IF(AND(Y56="Detectivo",Z56="Manual"),"30%",IF(AND(Y56="Correctivo",Z56="Automático"),"35%",IF(AND(Y56="Correctivo",Z56="Manual"),"25%",""))))))</f>
        <v/>
      </c>
      <c r="AB56" s="184"/>
      <c r="AC56" s="184"/>
      <c r="AD56" s="184"/>
      <c r="AE56" s="186" t="str">
        <f>IFERROR(IF(AND(X55="Probabilidad",X56="Probabilidad"),(AG55-(+AG55*AA56)),IF(X56="Probabilidad",(P55-(+P55*AA56)),IF(X56="Impacto",AG55,""))),"")</f>
        <v/>
      </c>
      <c r="AF56" s="187" t="str">
        <f t="shared" si="2"/>
        <v/>
      </c>
      <c r="AG56" s="185" t="str">
        <f t="shared" ref="AG56:AG60" si="64">+AE56</f>
        <v/>
      </c>
      <c r="AH56" s="187" t="str">
        <f t="shared" si="4"/>
        <v/>
      </c>
      <c r="AI56" s="185" t="str">
        <f t="shared" ref="AI56" si="65">IFERROR(IF(AND(X55="Impacto",X56="Impacto"),(AI55-(+AI55*AA56)),IF(X56="Impacto",($T$13-(+$T$13*AA56)),IF(X56="Probabilidad",AI55,""))),"")</f>
        <v/>
      </c>
      <c r="AJ56" s="188" t="str">
        <f t="shared" ref="AJ56:AJ57" si="66">IFERROR(IF(OR(AND(AF56="Muy Baja",AH56="Leve"),AND(AF56="Muy Baja",AH56="Menor"),AND(AF56="Baja",AH56="Leve")),"Bajo",IF(OR(AND(AF56="Muy baja",AH56="Moderado"),AND(AF56="Baja",AH56="Menor"),AND(AF56="Baja",AH56="Moderado"),AND(AF56="Media",AH56="Leve"),AND(AF56="Media",AH56="Menor"),AND(AF56="Media",AH56="Moderado"),AND(AF56="Alta",AH56="Leve"),AND(AF56="Alta",AH56="Menor")),"Moderado",IF(OR(AND(AF56="Muy Baja",AH56="Mayor"),AND(AF56="Baja",AH56="Mayor"),AND(AF56="Media",AH56="Mayor"),AND(AF56="Alta",AH56="Moderado"),AND(AF56="Alta",AH56="Mayor"),AND(AF56="Muy Alta",AH56="Leve"),AND(AF56="Muy Alta",AH56="Menor"),AND(AF56="Muy Alta",AH56="Moderado"),AND(AF56="Muy Alta",AH56="Mayor")),"Alto",IF(OR(AND(AF56="Muy Baja",AH56="Catastrófico"),AND(AF56="Baja",AH56="Catastrófico"),AND(AF56="Media",AH56="Catastrófico"),AND(AF56="Alta",AH56="Catastrófico"),AND(AF56="Muy Alta",AH56="Catastrófico")),"Extremo","")))),"")</f>
        <v/>
      </c>
      <c r="AK56" s="189"/>
      <c r="AL56" s="180"/>
      <c r="AM56" s="190"/>
      <c r="AN56" s="190"/>
      <c r="AO56" s="191"/>
      <c r="AP56" s="329"/>
      <c r="AQ56" s="329"/>
      <c r="AR56" s="329"/>
    </row>
    <row r="57" spans="1:44" ht="37.5" customHeight="1" x14ac:dyDescent="0.2">
      <c r="A57" s="342"/>
      <c r="B57" s="340"/>
      <c r="C57" s="340"/>
      <c r="D57" s="340"/>
      <c r="E57" s="340"/>
      <c r="F57" s="340"/>
      <c r="G57" s="322"/>
      <c r="H57" s="322"/>
      <c r="I57" s="322"/>
      <c r="J57" s="322"/>
      <c r="K57" s="322"/>
      <c r="L57" s="322"/>
      <c r="M57" s="322"/>
      <c r="N57" s="329"/>
      <c r="O57" s="326"/>
      <c r="P57" s="325"/>
      <c r="Q57" s="315"/>
      <c r="R57" s="325">
        <f>IF(NOT(ISERROR(MATCH(Q57,_xlfn.ANCHORARRAY(E68),0))),P70&amp;"Por favor no seleccionar los criterios de impacto",Q57)</f>
        <v>0</v>
      </c>
      <c r="S57" s="326"/>
      <c r="T57" s="325"/>
      <c r="U57" s="324"/>
      <c r="V57" s="208">
        <v>3</v>
      </c>
      <c r="W57" s="182"/>
      <c r="X57" s="183" t="str">
        <f>IF(OR(Y57="Preventivo",Y57="Detectivo"),"Probabilidad",IF(Y57="Correctivo","Impacto",""))</f>
        <v/>
      </c>
      <c r="Y57" s="184"/>
      <c r="Z57" s="184"/>
      <c r="AA57" s="185" t="str">
        <f t="shared" si="63"/>
        <v/>
      </c>
      <c r="AB57" s="184"/>
      <c r="AC57" s="184"/>
      <c r="AD57" s="184"/>
      <c r="AE57" s="186" t="str">
        <f>IFERROR(IF(AND(X56="Probabilidad",X57="Probabilidad"),(AG56-(+AG56*AA57)),IF(AND(X56="Impacto",X57="Probabilidad"),(AG55-(+AG55*AA57)),IF(X57="Impacto",AG56,""))),"")</f>
        <v/>
      </c>
      <c r="AF57" s="187" t="str">
        <f t="shared" si="2"/>
        <v/>
      </c>
      <c r="AG57" s="185" t="str">
        <f t="shared" si="64"/>
        <v/>
      </c>
      <c r="AH57" s="187" t="str">
        <f t="shared" si="4"/>
        <v/>
      </c>
      <c r="AI57" s="185" t="str">
        <f t="shared" ref="AI57" si="67">IFERROR(IF(AND(X56="Impacto",X57="Impacto"),(AI56-(+AI56*AA57)),IF(AND(X56="Probabilidad",X57="Impacto"),(AI55-(+AI55*AA57)),IF(X57="Probabilidad",AI56,""))),"")</f>
        <v/>
      </c>
      <c r="AJ57" s="188" t="str">
        <f t="shared" si="66"/>
        <v/>
      </c>
      <c r="AK57" s="189"/>
      <c r="AL57" s="180"/>
      <c r="AM57" s="190"/>
      <c r="AN57" s="190"/>
      <c r="AO57" s="191"/>
      <c r="AP57" s="329"/>
      <c r="AQ57" s="329"/>
      <c r="AR57" s="329"/>
    </row>
    <row r="58" spans="1:44" ht="37.5" customHeight="1" x14ac:dyDescent="0.2">
      <c r="A58" s="342"/>
      <c r="B58" s="340"/>
      <c r="C58" s="340"/>
      <c r="D58" s="340"/>
      <c r="E58" s="340"/>
      <c r="F58" s="340"/>
      <c r="G58" s="322"/>
      <c r="H58" s="322"/>
      <c r="I58" s="322"/>
      <c r="J58" s="322"/>
      <c r="K58" s="322"/>
      <c r="L58" s="322"/>
      <c r="M58" s="322"/>
      <c r="N58" s="329"/>
      <c r="O58" s="326"/>
      <c r="P58" s="325"/>
      <c r="Q58" s="315"/>
      <c r="R58" s="325">
        <f>IF(NOT(ISERROR(MATCH(Q58,_xlfn.ANCHORARRAY(E69),0))),P71&amp;"Por favor no seleccionar los criterios de impacto",Q58)</f>
        <v>0</v>
      </c>
      <c r="S58" s="326"/>
      <c r="T58" s="325"/>
      <c r="U58" s="324"/>
      <c r="V58" s="208">
        <v>4</v>
      </c>
      <c r="W58" s="181"/>
      <c r="X58" s="183" t="str">
        <f t="shared" ref="X58:X60" si="68">IF(OR(Y58="Preventivo",Y58="Detectivo"),"Probabilidad",IF(Y58="Correctivo","Impacto",""))</f>
        <v/>
      </c>
      <c r="Y58" s="184"/>
      <c r="Z58" s="184"/>
      <c r="AA58" s="185" t="str">
        <f t="shared" si="63"/>
        <v/>
      </c>
      <c r="AB58" s="184"/>
      <c r="AC58" s="184"/>
      <c r="AD58" s="184"/>
      <c r="AE58" s="186" t="str">
        <f t="shared" ref="AE58:AE60" si="69">IFERROR(IF(AND(X57="Probabilidad",X58="Probabilidad"),(AG57-(+AG57*AA58)),IF(AND(X57="Impacto",X58="Probabilidad"),(AG56-(+AG56*AA58)),IF(X58="Impacto",AG57,""))),"")</f>
        <v/>
      </c>
      <c r="AF58" s="187" t="str">
        <f t="shared" si="2"/>
        <v/>
      </c>
      <c r="AG58" s="185" t="str">
        <f t="shared" si="64"/>
        <v/>
      </c>
      <c r="AH58" s="187" t="str">
        <f t="shared" si="4"/>
        <v/>
      </c>
      <c r="AI58" s="185" t="str">
        <f t="shared" si="13"/>
        <v/>
      </c>
      <c r="AJ58" s="188" t="str">
        <f>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
      </c>
      <c r="AK58" s="189"/>
      <c r="AL58" s="180"/>
      <c r="AM58" s="190"/>
      <c r="AN58" s="190"/>
      <c r="AO58" s="191"/>
      <c r="AP58" s="329"/>
      <c r="AQ58" s="329"/>
      <c r="AR58" s="329"/>
    </row>
    <row r="59" spans="1:44" ht="37.5" customHeight="1" x14ac:dyDescent="0.2">
      <c r="A59" s="342"/>
      <c r="B59" s="340"/>
      <c r="C59" s="340"/>
      <c r="D59" s="340"/>
      <c r="E59" s="340"/>
      <c r="F59" s="340"/>
      <c r="G59" s="322"/>
      <c r="H59" s="322"/>
      <c r="I59" s="322"/>
      <c r="J59" s="322"/>
      <c r="K59" s="322"/>
      <c r="L59" s="322"/>
      <c r="M59" s="322"/>
      <c r="N59" s="329"/>
      <c r="O59" s="326"/>
      <c r="P59" s="325"/>
      <c r="Q59" s="315"/>
      <c r="R59" s="325">
        <f>IF(NOT(ISERROR(MATCH(Q59,_xlfn.ANCHORARRAY(E70),0))),P72&amp;"Por favor no seleccionar los criterios de impacto",Q59)</f>
        <v>0</v>
      </c>
      <c r="S59" s="326"/>
      <c r="T59" s="325"/>
      <c r="U59" s="324"/>
      <c r="V59" s="208">
        <v>5</v>
      </c>
      <c r="W59" s="181"/>
      <c r="X59" s="183" t="str">
        <f t="shared" si="68"/>
        <v/>
      </c>
      <c r="Y59" s="184"/>
      <c r="Z59" s="184"/>
      <c r="AA59" s="185" t="str">
        <f t="shared" si="63"/>
        <v/>
      </c>
      <c r="AB59" s="184"/>
      <c r="AC59" s="184"/>
      <c r="AD59" s="184"/>
      <c r="AE59" s="186" t="str">
        <f t="shared" si="69"/>
        <v/>
      </c>
      <c r="AF59" s="187" t="str">
        <f t="shared" si="2"/>
        <v/>
      </c>
      <c r="AG59" s="185" t="str">
        <f t="shared" si="64"/>
        <v/>
      </c>
      <c r="AH59" s="187" t="str">
        <f t="shared" si="4"/>
        <v/>
      </c>
      <c r="AI59" s="185" t="str">
        <f t="shared" si="13"/>
        <v/>
      </c>
      <c r="AJ59" s="188" t="str">
        <f t="shared" ref="AJ59:AJ60" si="70">IFERROR(IF(OR(AND(AF59="Muy Baja",AH59="Leve"),AND(AF59="Muy Baja",AH59="Menor"),AND(AF59="Baja",AH59="Leve")),"Bajo",IF(OR(AND(AF59="Muy baja",AH59="Moderado"),AND(AF59="Baja",AH59="Menor"),AND(AF59="Baja",AH59="Moderado"),AND(AF59="Media",AH59="Leve"),AND(AF59="Media",AH59="Menor"),AND(AF59="Media",AH59="Moderado"),AND(AF59="Alta",AH59="Leve"),AND(AF59="Alta",AH59="Menor")),"Moderado",IF(OR(AND(AF59="Muy Baja",AH59="Mayor"),AND(AF59="Baja",AH59="Mayor"),AND(AF59="Media",AH59="Mayor"),AND(AF59="Alta",AH59="Moderado"),AND(AF59="Alta",AH59="Mayor"),AND(AF59="Muy Alta",AH59="Leve"),AND(AF59="Muy Alta",AH59="Menor"),AND(AF59="Muy Alta",AH59="Moderado"),AND(AF59="Muy Alta",AH59="Mayor")),"Alto",IF(OR(AND(AF59="Muy Baja",AH59="Catastrófico"),AND(AF59="Baja",AH59="Catastrófico"),AND(AF59="Media",AH59="Catastrófico"),AND(AF59="Alta",AH59="Catastrófico"),AND(AF59="Muy Alta",AH59="Catastrófico")),"Extremo","")))),"")</f>
        <v/>
      </c>
      <c r="AK59" s="189"/>
      <c r="AL59" s="180"/>
      <c r="AM59" s="190"/>
      <c r="AN59" s="190"/>
      <c r="AO59" s="191"/>
      <c r="AP59" s="329"/>
      <c r="AQ59" s="329"/>
      <c r="AR59" s="329"/>
    </row>
    <row r="60" spans="1:44" ht="37.5" customHeight="1" x14ac:dyDescent="0.2">
      <c r="A60" s="342"/>
      <c r="B60" s="340"/>
      <c r="C60" s="340"/>
      <c r="D60" s="340"/>
      <c r="E60" s="340"/>
      <c r="F60" s="340"/>
      <c r="G60" s="323"/>
      <c r="H60" s="323"/>
      <c r="I60" s="323"/>
      <c r="J60" s="323"/>
      <c r="K60" s="323"/>
      <c r="L60" s="323"/>
      <c r="M60" s="323"/>
      <c r="N60" s="329"/>
      <c r="O60" s="326"/>
      <c r="P60" s="325"/>
      <c r="Q60" s="315"/>
      <c r="R60" s="325">
        <f>IF(NOT(ISERROR(MATCH(Q60,_xlfn.ANCHORARRAY(E71),0))),Q73&amp;"Por favor no seleccionar los criterios de impacto",Q60)</f>
        <v>0</v>
      </c>
      <c r="S60" s="326"/>
      <c r="T60" s="325"/>
      <c r="U60" s="324"/>
      <c r="V60" s="208">
        <v>6</v>
      </c>
      <c r="W60" s="181"/>
      <c r="X60" s="183" t="str">
        <f t="shared" si="68"/>
        <v/>
      </c>
      <c r="Y60" s="184"/>
      <c r="Z60" s="184"/>
      <c r="AA60" s="185" t="str">
        <f t="shared" si="63"/>
        <v/>
      </c>
      <c r="AB60" s="184"/>
      <c r="AC60" s="184"/>
      <c r="AD60" s="184"/>
      <c r="AE60" s="186" t="str">
        <f t="shared" si="69"/>
        <v/>
      </c>
      <c r="AF60" s="187" t="str">
        <f t="shared" si="2"/>
        <v/>
      </c>
      <c r="AG60" s="185" t="str">
        <f t="shared" si="64"/>
        <v/>
      </c>
      <c r="AH60" s="187" t="str">
        <f t="shared" si="4"/>
        <v/>
      </c>
      <c r="AI60" s="185" t="str">
        <f t="shared" si="13"/>
        <v/>
      </c>
      <c r="AJ60" s="188" t="str">
        <f t="shared" si="70"/>
        <v/>
      </c>
      <c r="AK60" s="189"/>
      <c r="AL60" s="180"/>
      <c r="AM60" s="190"/>
      <c r="AN60" s="190"/>
      <c r="AO60" s="191"/>
      <c r="AP60" s="329"/>
      <c r="AQ60" s="329"/>
      <c r="AR60" s="329"/>
    </row>
    <row r="61" spans="1:44" ht="37.5" customHeight="1" x14ac:dyDescent="0.2">
      <c r="A61" s="342">
        <v>9</v>
      </c>
      <c r="B61" s="340"/>
      <c r="C61" s="340"/>
      <c r="D61" s="340"/>
      <c r="E61" s="340"/>
      <c r="F61" s="340"/>
      <c r="G61" s="321"/>
      <c r="H61" s="321"/>
      <c r="I61" s="215"/>
      <c r="J61" s="215"/>
      <c r="K61" s="215"/>
      <c r="L61" s="321"/>
      <c r="M61" s="321"/>
      <c r="N61" s="329"/>
      <c r="O61" s="326" t="str">
        <f>IF(N61&lt;=0,"",IF(N61&lt;=2,"Muy Baja",IF(N61&lt;=24,"Baja",IF(N61&lt;=500,"Media",IF(N61&lt;=5000,"Alta","Muy Alta")))))</f>
        <v/>
      </c>
      <c r="P61" s="325" t="str">
        <f>IF(O61="","",IF(O61="Muy Baja",0.2,IF(O61="Baja",0.4,IF(O61="Media",0.6,IF(O61="Alta",0.8,IF(O61="Muy Alta",1,))))))</f>
        <v/>
      </c>
      <c r="Q61" s="315"/>
      <c r="R61" s="325">
        <f>IF(NOT(ISERROR(MATCH(Q61,'Tabla Impacto'!$B$222:$B$224,0))),'Tabla Impacto'!$F$224&amp;"Por favor no seleccionar los criterios de impacto(Afectación Económica o presupuestal y Pérdida Reputacional)",Q61)</f>
        <v>0</v>
      </c>
      <c r="S61" s="326" t="str">
        <f>IF(OR(R61='Tabla Impacto'!$C$12,R61='Tabla Impacto'!$D$12),"Leve",IF(OR(R61='Tabla Impacto'!$C$13,R61='Tabla Impacto'!$D$13),"Menor",IF(OR(R61='Tabla Impacto'!$C$14,R61='Tabla Impacto'!$D$14),"Moderado",IF(OR(R61='Tabla Impacto'!$C$15,R61='Tabla Impacto'!$D$15),"Mayor",IF(OR(R61='Tabla Impacto'!$C$16,R61='Tabla Impacto'!$D$16),"Catastrófico","")))))</f>
        <v/>
      </c>
      <c r="T61" s="325" t="str">
        <f>IF(S61="","",IF(S61="Leve",0.2,IF(S61="Menor",0.4,IF(S61="Moderado",0.6,IF(S61="Mayor",0.8,IF(S61="Catastrófico",1,))))))</f>
        <v/>
      </c>
      <c r="U61" s="324"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208">
        <v>1</v>
      </c>
      <c r="W61" s="181"/>
      <c r="X61" s="183" t="str">
        <f>IF(OR(Y61="Preventivo",Y61="Detectivo"),"Probabilidad",IF(Y61="Correctivo","Impacto",""))</f>
        <v/>
      </c>
      <c r="Y61" s="184"/>
      <c r="Z61" s="184"/>
      <c r="AA61" s="185" t="str">
        <f>IF(AND(Y61="Preventivo",Z61="Automático"),"50%",IF(AND(Y61="Preventivo",Z61="Manual"),"40%",IF(AND(Y61="Detectivo",Z61="Automático"),"40%",IF(AND(Y61="Detectivo",Z61="Manual"),"30%",IF(AND(Y61="Correctivo",Z61="Automático"),"35%",IF(AND(Y61="Correctivo",Z61="Manual"),"25%",""))))))</f>
        <v/>
      </c>
      <c r="AB61" s="184"/>
      <c r="AC61" s="184"/>
      <c r="AD61" s="184"/>
      <c r="AE61" s="186" t="str">
        <f>IFERROR(IF(X61="Probabilidad",(P61-(+P61*AA61)),IF(X61="Impacto",P61,"")),"")</f>
        <v/>
      </c>
      <c r="AF61" s="187" t="str">
        <f>IFERROR(IF(AE61="","",IF(AE61&lt;=0.2,"Muy Baja",IF(AE61&lt;=0.4,"Baja",IF(AE61&lt;=0.6,"Media",IF(AE61&lt;=0.8,"Alta","Muy Alta"))))),"")</f>
        <v/>
      </c>
      <c r="AG61" s="185" t="str">
        <f>+AE61</f>
        <v/>
      </c>
      <c r="AH61" s="187" t="str">
        <f>IFERROR(IF(AI61="","",IF(AI61&lt;=0.2,"Leve",IF(AI61&lt;=0.4,"Menor",IF(AI61&lt;=0.6,"Moderado",IF(AI61&lt;=0.8,"Mayor","Catastrófico"))))),"")</f>
        <v/>
      </c>
      <c r="AI61" s="185" t="str">
        <f t="shared" ref="AI61" si="71">IFERROR(IF(X61="Impacto",(T61-(+T61*AA61)),IF(X61="Probabilidad",T61,"")),"")</f>
        <v/>
      </c>
      <c r="AJ61" s="188" t="str">
        <f>IFERROR(IF(OR(AND(AF61="Muy Baja",AH61="Leve"),AND(AF61="Muy Baja",AH61="Menor"),AND(AF61="Baja",AH61="Leve")),"Bajo",IF(OR(AND(AF61="Muy baja",AH61="Moderado"),AND(AF61="Baja",AH61="Menor"),AND(AF61="Baja",AH61="Moderado"),AND(AF61="Media",AH61="Leve"),AND(AF61="Media",AH61="Menor"),AND(AF61="Media",AH61="Moderado"),AND(AF61="Alta",AH61="Leve"),AND(AF61="Alta",AH61="Menor")),"Moderado",IF(OR(AND(AF61="Muy Baja",AH61="Mayor"),AND(AF61="Baja",AH61="Mayor"),AND(AF61="Media",AH61="Mayor"),AND(AF61="Alta",AH61="Moderado"),AND(AF61="Alta",AH61="Mayor"),AND(AF61="Muy Alta",AH61="Leve"),AND(AF61="Muy Alta",AH61="Menor"),AND(AF61="Muy Alta",AH61="Moderado"),AND(AF61="Muy Alta",AH61="Mayor")),"Alto",IF(OR(AND(AF61="Muy Baja",AH61="Catastrófico"),AND(AF61="Baja",AH61="Catastrófico"),AND(AF61="Media",AH61="Catastrófico"),AND(AF61="Alta",AH61="Catastrófico"),AND(AF61="Muy Alta",AH61="Catastrófico")),"Extremo","")))),"")</f>
        <v/>
      </c>
      <c r="AK61" s="189"/>
      <c r="AL61" s="180"/>
      <c r="AM61" s="190"/>
      <c r="AN61" s="190"/>
      <c r="AO61" s="191"/>
      <c r="AP61" s="329"/>
      <c r="AQ61" s="329"/>
      <c r="AR61" s="329"/>
    </row>
    <row r="62" spans="1:44" ht="37.5" customHeight="1" x14ac:dyDescent="0.2">
      <c r="A62" s="342"/>
      <c r="B62" s="340"/>
      <c r="C62" s="340"/>
      <c r="D62" s="340"/>
      <c r="E62" s="340"/>
      <c r="F62" s="340"/>
      <c r="G62" s="322"/>
      <c r="H62" s="322"/>
      <c r="I62" s="216"/>
      <c r="J62" s="216"/>
      <c r="K62" s="216"/>
      <c r="L62" s="322"/>
      <c r="M62" s="322"/>
      <c r="N62" s="329"/>
      <c r="O62" s="326"/>
      <c r="P62" s="325"/>
      <c r="Q62" s="315"/>
      <c r="R62" s="325">
        <f>IF(NOT(ISERROR(MATCH(Q62,_xlfn.ANCHORARRAY(F73),0))),Q75&amp;"Por favor no seleccionar los criterios de impacto",Q62)</f>
        <v>0</v>
      </c>
      <c r="S62" s="326"/>
      <c r="T62" s="325"/>
      <c r="U62" s="324"/>
      <c r="V62" s="208">
        <v>2</v>
      </c>
      <c r="W62" s="181"/>
      <c r="X62" s="183" t="str">
        <f>IF(OR(Y62="Preventivo",Y62="Detectivo"),"Probabilidad",IF(Y62="Correctivo","Impacto",""))</f>
        <v/>
      </c>
      <c r="Y62" s="184"/>
      <c r="Z62" s="184"/>
      <c r="AA62" s="185" t="str">
        <f t="shared" ref="AA62:AA66" si="72">IF(AND(Y62="Preventivo",Z62="Automático"),"50%",IF(AND(Y62="Preventivo",Z62="Manual"),"40%",IF(AND(Y62="Detectivo",Z62="Automático"),"40%",IF(AND(Y62="Detectivo",Z62="Manual"),"30%",IF(AND(Y62="Correctivo",Z62="Automático"),"35%",IF(AND(Y62="Correctivo",Z62="Manual"),"25%",""))))))</f>
        <v/>
      </c>
      <c r="AB62" s="184"/>
      <c r="AC62" s="184"/>
      <c r="AD62" s="184"/>
      <c r="AE62" s="186" t="str">
        <f>IFERROR(IF(AND(X61="Probabilidad",X62="Probabilidad"),(AG61-(+AG61*AA62)),IF(X62="Probabilidad",(P61-(+P61*AA62)),IF(X62="Impacto",AG61,""))),"")</f>
        <v/>
      </c>
      <c r="AF62" s="187" t="str">
        <f t="shared" si="2"/>
        <v/>
      </c>
      <c r="AG62" s="185" t="str">
        <f t="shared" ref="AG62:AG66" si="73">+AE62</f>
        <v/>
      </c>
      <c r="AH62" s="187" t="str">
        <f t="shared" si="4"/>
        <v/>
      </c>
      <c r="AI62" s="185" t="str">
        <f t="shared" ref="AI62" si="74">IFERROR(IF(AND(X61="Impacto",X62="Impacto"),(AI61-(+AI61*AA62)),IF(X62="Impacto",($T$13-(+$T$13*AA62)),IF(X62="Probabilidad",AI61,""))),"")</f>
        <v/>
      </c>
      <c r="AJ62" s="188" t="str">
        <f t="shared" ref="AJ62:AJ63" si="75">IFERROR(IF(OR(AND(AF62="Muy Baja",AH62="Leve"),AND(AF62="Muy Baja",AH62="Menor"),AND(AF62="Baja",AH62="Leve")),"Bajo",IF(OR(AND(AF62="Muy baja",AH62="Moderado"),AND(AF62="Baja",AH62="Menor"),AND(AF62="Baja",AH62="Moderado"),AND(AF62="Media",AH62="Leve"),AND(AF62="Media",AH62="Menor"),AND(AF62="Media",AH62="Moderado"),AND(AF62="Alta",AH62="Leve"),AND(AF62="Alta",AH62="Menor")),"Moderado",IF(OR(AND(AF62="Muy Baja",AH62="Mayor"),AND(AF62="Baja",AH62="Mayor"),AND(AF62="Media",AH62="Mayor"),AND(AF62="Alta",AH62="Moderado"),AND(AF62="Alta",AH62="Mayor"),AND(AF62="Muy Alta",AH62="Leve"),AND(AF62="Muy Alta",AH62="Menor"),AND(AF62="Muy Alta",AH62="Moderado"),AND(AF62="Muy Alta",AH62="Mayor")),"Alto",IF(OR(AND(AF62="Muy Baja",AH62="Catastrófico"),AND(AF62="Baja",AH62="Catastrófico"),AND(AF62="Media",AH62="Catastrófico"),AND(AF62="Alta",AH62="Catastrófico"),AND(AF62="Muy Alta",AH62="Catastrófico")),"Extremo","")))),"")</f>
        <v/>
      </c>
      <c r="AK62" s="189"/>
      <c r="AL62" s="180"/>
      <c r="AM62" s="190"/>
      <c r="AN62" s="190"/>
      <c r="AO62" s="191"/>
      <c r="AP62" s="329"/>
      <c r="AQ62" s="329"/>
      <c r="AR62" s="329"/>
    </row>
    <row r="63" spans="1:44" ht="37.5" customHeight="1" x14ac:dyDescent="0.2">
      <c r="A63" s="342"/>
      <c r="B63" s="340"/>
      <c r="C63" s="340"/>
      <c r="D63" s="340"/>
      <c r="E63" s="340"/>
      <c r="F63" s="340"/>
      <c r="G63" s="322"/>
      <c r="H63" s="322"/>
      <c r="I63" s="216"/>
      <c r="J63" s="216"/>
      <c r="K63" s="216"/>
      <c r="L63" s="322"/>
      <c r="M63" s="322"/>
      <c r="N63" s="329"/>
      <c r="O63" s="326"/>
      <c r="P63" s="325"/>
      <c r="Q63" s="315"/>
      <c r="R63" s="325">
        <f>IF(NOT(ISERROR(MATCH(Q63,_xlfn.ANCHORARRAY(F74),0))),Q76&amp;"Por favor no seleccionar los criterios de impacto",Q63)</f>
        <v>0</v>
      </c>
      <c r="S63" s="326"/>
      <c r="T63" s="325"/>
      <c r="U63" s="324"/>
      <c r="V63" s="208">
        <v>3</v>
      </c>
      <c r="W63" s="181"/>
      <c r="X63" s="183" t="str">
        <f>IF(OR(Y63="Preventivo",Y63="Detectivo"),"Probabilidad",IF(Y63="Correctivo","Impacto",""))</f>
        <v/>
      </c>
      <c r="Y63" s="184"/>
      <c r="Z63" s="184"/>
      <c r="AA63" s="185" t="str">
        <f t="shared" si="72"/>
        <v/>
      </c>
      <c r="AB63" s="184"/>
      <c r="AC63" s="184"/>
      <c r="AD63" s="184"/>
      <c r="AE63" s="186" t="str">
        <f>IFERROR(IF(AND(X62="Probabilidad",X63="Probabilidad"),(AG62-(+AG62*AA63)),IF(AND(X62="Impacto",X63="Probabilidad"),(AG61-(+AG61*AA63)),IF(X63="Impacto",AG62,""))),"")</f>
        <v/>
      </c>
      <c r="AF63" s="187" t="str">
        <f t="shared" si="2"/>
        <v/>
      </c>
      <c r="AG63" s="185" t="str">
        <f t="shared" si="73"/>
        <v/>
      </c>
      <c r="AH63" s="187" t="str">
        <f t="shared" si="4"/>
        <v/>
      </c>
      <c r="AI63" s="185" t="str">
        <f t="shared" ref="AI63" si="76">IFERROR(IF(AND(X62="Impacto",X63="Impacto"),(AI62-(+AI62*AA63)),IF(AND(X62="Probabilidad",X63="Impacto"),(AI61-(+AI61*AA63)),IF(X63="Probabilidad",AI62,""))),"")</f>
        <v/>
      </c>
      <c r="AJ63" s="188" t="str">
        <f t="shared" si="75"/>
        <v/>
      </c>
      <c r="AK63" s="189"/>
      <c r="AL63" s="180"/>
      <c r="AM63" s="190"/>
      <c r="AN63" s="190"/>
      <c r="AO63" s="191"/>
      <c r="AP63" s="329"/>
      <c r="AQ63" s="329"/>
      <c r="AR63" s="329"/>
    </row>
    <row r="64" spans="1:44" ht="37.5" customHeight="1" x14ac:dyDescent="0.2">
      <c r="A64" s="342"/>
      <c r="B64" s="340"/>
      <c r="C64" s="340"/>
      <c r="D64" s="340"/>
      <c r="E64" s="340"/>
      <c r="F64" s="340"/>
      <c r="G64" s="322"/>
      <c r="H64" s="322"/>
      <c r="I64" s="216"/>
      <c r="J64" s="216"/>
      <c r="K64" s="216"/>
      <c r="L64" s="322"/>
      <c r="M64" s="322"/>
      <c r="N64" s="329"/>
      <c r="O64" s="326"/>
      <c r="P64" s="325"/>
      <c r="Q64" s="315"/>
      <c r="R64" s="325">
        <f>IF(NOT(ISERROR(MATCH(Q64,_xlfn.ANCHORARRAY(F75),0))),Q77&amp;"Por favor no seleccionar los criterios de impacto",Q64)</f>
        <v>0</v>
      </c>
      <c r="S64" s="326"/>
      <c r="T64" s="325"/>
      <c r="U64" s="324"/>
      <c r="V64" s="208">
        <v>4</v>
      </c>
      <c r="W64" s="181"/>
      <c r="X64" s="183" t="str">
        <f t="shared" ref="X64:X66" si="77">IF(OR(Y64="Preventivo",Y64="Detectivo"),"Probabilidad",IF(Y64="Correctivo","Impacto",""))</f>
        <v/>
      </c>
      <c r="Y64" s="184"/>
      <c r="Z64" s="184"/>
      <c r="AA64" s="185" t="str">
        <f t="shared" si="72"/>
        <v/>
      </c>
      <c r="AB64" s="184"/>
      <c r="AC64" s="184"/>
      <c r="AD64" s="184"/>
      <c r="AE64" s="186" t="str">
        <f t="shared" ref="AE64:AE66" si="78">IFERROR(IF(AND(X63="Probabilidad",X64="Probabilidad"),(AG63-(+AG63*AA64)),IF(AND(X63="Impacto",X64="Probabilidad"),(AG62-(+AG62*AA64)),IF(X64="Impacto",AG63,""))),"")</f>
        <v/>
      </c>
      <c r="AF64" s="187" t="str">
        <f t="shared" si="2"/>
        <v/>
      </c>
      <c r="AG64" s="185" t="str">
        <f t="shared" si="73"/>
        <v/>
      </c>
      <c r="AH64" s="187" t="str">
        <f t="shared" si="4"/>
        <v/>
      </c>
      <c r="AI64" s="185" t="str">
        <f t="shared" si="13"/>
        <v/>
      </c>
      <c r="AJ64" s="188" t="str">
        <f>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
      </c>
      <c r="AK64" s="189"/>
      <c r="AL64" s="180"/>
      <c r="AM64" s="190"/>
      <c r="AN64" s="190"/>
      <c r="AO64" s="191"/>
      <c r="AP64" s="329"/>
      <c r="AQ64" s="329"/>
      <c r="AR64" s="329"/>
    </row>
    <row r="65" spans="1:44" ht="37.5" customHeight="1" x14ac:dyDescent="0.2">
      <c r="A65" s="342"/>
      <c r="B65" s="340"/>
      <c r="C65" s="340"/>
      <c r="D65" s="340"/>
      <c r="E65" s="340"/>
      <c r="F65" s="340"/>
      <c r="G65" s="322"/>
      <c r="H65" s="322"/>
      <c r="I65" s="216"/>
      <c r="J65" s="216"/>
      <c r="K65" s="216"/>
      <c r="L65" s="322"/>
      <c r="M65" s="322"/>
      <c r="N65" s="329"/>
      <c r="O65" s="326"/>
      <c r="P65" s="325"/>
      <c r="Q65" s="315"/>
      <c r="R65" s="325">
        <f>IF(NOT(ISERROR(MATCH(Q65,_xlfn.ANCHORARRAY(F76),0))),Q78&amp;"Por favor no seleccionar los criterios de impacto",Q65)</f>
        <v>0</v>
      </c>
      <c r="S65" s="326"/>
      <c r="T65" s="325"/>
      <c r="U65" s="324"/>
      <c r="V65" s="208">
        <v>5</v>
      </c>
      <c r="W65" s="181"/>
      <c r="X65" s="183" t="str">
        <f t="shared" si="77"/>
        <v/>
      </c>
      <c r="Y65" s="184"/>
      <c r="Z65" s="184"/>
      <c r="AA65" s="185" t="str">
        <f t="shared" si="72"/>
        <v/>
      </c>
      <c r="AB65" s="184"/>
      <c r="AC65" s="184"/>
      <c r="AD65" s="184"/>
      <c r="AE65" s="186" t="str">
        <f t="shared" si="78"/>
        <v/>
      </c>
      <c r="AF65" s="187" t="str">
        <f t="shared" si="2"/>
        <v/>
      </c>
      <c r="AG65" s="185" t="str">
        <f t="shared" si="73"/>
        <v/>
      </c>
      <c r="AH65" s="187" t="str">
        <f t="shared" si="4"/>
        <v/>
      </c>
      <c r="AI65" s="185" t="str">
        <f t="shared" si="13"/>
        <v/>
      </c>
      <c r="AJ65" s="188" t="str">
        <f t="shared" ref="AJ65:AJ66" si="79">IFERROR(IF(OR(AND(AF65="Muy Baja",AH65="Leve"),AND(AF65="Muy Baja",AH65="Menor"),AND(AF65="Baja",AH65="Leve")),"Bajo",IF(OR(AND(AF65="Muy baja",AH65="Moderado"),AND(AF65="Baja",AH65="Menor"),AND(AF65="Baja",AH65="Moderado"),AND(AF65="Media",AH65="Leve"),AND(AF65="Media",AH65="Menor"),AND(AF65="Media",AH65="Moderado"),AND(AF65="Alta",AH65="Leve"),AND(AF65="Alta",AH65="Menor")),"Moderado",IF(OR(AND(AF65="Muy Baja",AH65="Mayor"),AND(AF65="Baja",AH65="Mayor"),AND(AF65="Media",AH65="Mayor"),AND(AF65="Alta",AH65="Moderado"),AND(AF65="Alta",AH65="Mayor"),AND(AF65="Muy Alta",AH65="Leve"),AND(AF65="Muy Alta",AH65="Menor"),AND(AF65="Muy Alta",AH65="Moderado"),AND(AF65="Muy Alta",AH65="Mayor")),"Alto",IF(OR(AND(AF65="Muy Baja",AH65="Catastrófico"),AND(AF65="Baja",AH65="Catastrófico"),AND(AF65="Media",AH65="Catastrófico"),AND(AF65="Alta",AH65="Catastrófico"),AND(AF65="Muy Alta",AH65="Catastrófico")),"Extremo","")))),"")</f>
        <v/>
      </c>
      <c r="AK65" s="189"/>
      <c r="AL65" s="180"/>
      <c r="AM65" s="190"/>
      <c r="AN65" s="190"/>
      <c r="AO65" s="191"/>
      <c r="AP65" s="329"/>
      <c r="AQ65" s="329"/>
      <c r="AR65" s="329"/>
    </row>
    <row r="66" spans="1:44" ht="37.5" customHeight="1" x14ac:dyDescent="0.2">
      <c r="A66" s="342"/>
      <c r="B66" s="340"/>
      <c r="C66" s="340"/>
      <c r="D66" s="340"/>
      <c r="E66" s="340"/>
      <c r="F66" s="340"/>
      <c r="G66" s="323"/>
      <c r="H66" s="323"/>
      <c r="I66" s="217"/>
      <c r="J66" s="217"/>
      <c r="K66" s="217"/>
      <c r="L66" s="323"/>
      <c r="M66" s="323"/>
      <c r="N66" s="329"/>
      <c r="O66" s="326"/>
      <c r="P66" s="325"/>
      <c r="Q66" s="315"/>
      <c r="R66" s="325">
        <f>IF(NOT(ISERROR(MATCH(Q66,_xlfn.ANCHORARRAY(F77),0))),Q79&amp;"Por favor no seleccionar los criterios de impacto",Q66)</f>
        <v>0</v>
      </c>
      <c r="S66" s="326"/>
      <c r="T66" s="325"/>
      <c r="U66" s="324"/>
      <c r="V66" s="208">
        <v>6</v>
      </c>
      <c r="W66" s="181"/>
      <c r="X66" s="183" t="str">
        <f t="shared" si="77"/>
        <v/>
      </c>
      <c r="Y66" s="184"/>
      <c r="Z66" s="184"/>
      <c r="AA66" s="185" t="str">
        <f t="shared" si="72"/>
        <v/>
      </c>
      <c r="AB66" s="184"/>
      <c r="AC66" s="184"/>
      <c r="AD66" s="184"/>
      <c r="AE66" s="186" t="str">
        <f t="shared" si="78"/>
        <v/>
      </c>
      <c r="AF66" s="187" t="str">
        <f t="shared" si="2"/>
        <v/>
      </c>
      <c r="AG66" s="185" t="str">
        <f t="shared" si="73"/>
        <v/>
      </c>
      <c r="AH66" s="187" t="str">
        <f t="shared" si="4"/>
        <v/>
      </c>
      <c r="AI66" s="185" t="str">
        <f t="shared" si="13"/>
        <v/>
      </c>
      <c r="AJ66" s="188" t="str">
        <f t="shared" si="79"/>
        <v/>
      </c>
      <c r="AK66" s="189"/>
      <c r="AL66" s="180"/>
      <c r="AM66" s="190"/>
      <c r="AN66" s="190"/>
      <c r="AO66" s="191"/>
      <c r="AP66" s="329"/>
      <c r="AQ66" s="329"/>
      <c r="AR66" s="329"/>
    </row>
    <row r="67" spans="1:44" ht="37.5" customHeight="1" x14ac:dyDescent="0.2">
      <c r="A67" s="342">
        <v>10</v>
      </c>
      <c r="B67" s="340"/>
      <c r="C67" s="340"/>
      <c r="D67" s="340"/>
      <c r="E67" s="340"/>
      <c r="F67" s="340"/>
      <c r="G67" s="321"/>
      <c r="H67" s="321"/>
      <c r="I67" s="215"/>
      <c r="J67" s="215"/>
      <c r="K67" s="215"/>
      <c r="L67" s="321"/>
      <c r="M67" s="321"/>
      <c r="N67" s="329"/>
      <c r="O67" s="326" t="str">
        <f>IF(N67&lt;=0,"",IF(N67&lt;=2,"Muy Baja",IF(N67&lt;=24,"Baja",IF(N67&lt;=500,"Media",IF(N67&lt;=5000,"Alta","Muy Alta")))))</f>
        <v/>
      </c>
      <c r="P67" s="325" t="str">
        <f>IF(O67="","",IF(O67="Muy Baja",0.2,IF(O67="Baja",0.4,IF(O67="Media",0.6,IF(O67="Alta",0.8,IF(O67="Muy Alta",1,))))))</f>
        <v/>
      </c>
      <c r="Q67" s="315"/>
      <c r="R67" s="325">
        <f>IF(NOT(ISERROR(MATCH(Q67,'Tabla Impacto'!$B$222:$B$224,0))),'Tabla Impacto'!$F$224&amp;"Por favor no seleccionar los criterios de impacto(Afectación Económica o presupuestal y Pérdida Reputacional)",Q67)</f>
        <v>0</v>
      </c>
      <c r="S67" s="326" t="str">
        <f>IF(OR(R67='Tabla Impacto'!$C$12,R67='Tabla Impacto'!$D$12),"Leve",IF(OR(R67='Tabla Impacto'!$C$13,R67='Tabla Impacto'!$D$13),"Menor",IF(OR(R67='Tabla Impacto'!$C$14,R67='Tabla Impacto'!$D$14),"Moderado",IF(OR(R67='Tabla Impacto'!$C$15,R67='Tabla Impacto'!$D$15),"Mayor",IF(OR(R67='Tabla Impacto'!$C$16,R67='Tabla Impacto'!$D$16),"Catastrófico","")))))</f>
        <v/>
      </c>
      <c r="T67" s="325" t="str">
        <f>IF(S67="","",IF(S67="Leve",0.2,IF(S67="Menor",0.4,IF(S67="Moderado",0.6,IF(S67="Mayor",0.8,IF(S67="Catastrófico",1,))))))</f>
        <v/>
      </c>
      <c r="U67" s="324"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208">
        <v>1</v>
      </c>
      <c r="W67" s="181"/>
      <c r="X67" s="183" t="str">
        <f>IF(OR(Y67="Preventivo",Y67="Detectivo"),"Probabilidad",IF(Y67="Correctivo","Impacto",""))</f>
        <v/>
      </c>
      <c r="Y67" s="184"/>
      <c r="Z67" s="184"/>
      <c r="AA67" s="185" t="str">
        <f>IF(AND(Y67="Preventivo",Z67="Automático"),"50%",IF(AND(Y67="Preventivo",Z67="Manual"),"40%",IF(AND(Y67="Detectivo",Z67="Automático"),"40%",IF(AND(Y67="Detectivo",Z67="Manual"),"30%",IF(AND(Y67="Correctivo",Z67="Automático"),"35%",IF(AND(Y67="Correctivo",Z67="Manual"),"25%",""))))))</f>
        <v/>
      </c>
      <c r="AB67" s="184"/>
      <c r="AC67" s="184"/>
      <c r="AD67" s="184"/>
      <c r="AE67" s="186" t="str">
        <f>IFERROR(IF(X67="Probabilidad",(P67-(+P67*AA67)),IF(X67="Impacto",P67,"")),"")</f>
        <v/>
      </c>
      <c r="AF67" s="187" t="str">
        <f>IFERROR(IF(AE67="","",IF(AE67&lt;=0.2,"Muy Baja",IF(AE67&lt;=0.4,"Baja",IF(AE67&lt;=0.6,"Media",IF(AE67&lt;=0.8,"Alta","Muy Alta"))))),"")</f>
        <v/>
      </c>
      <c r="AG67" s="185" t="str">
        <f>+AE67</f>
        <v/>
      </c>
      <c r="AH67" s="187" t="str">
        <f>IFERROR(IF(AI67="","",IF(AI67&lt;=0.2,"Leve",IF(AI67&lt;=0.4,"Menor",IF(AI67&lt;=0.6,"Moderado",IF(AI67&lt;=0.8,"Mayor","Catastrófico"))))),"")</f>
        <v/>
      </c>
      <c r="AI67" s="185" t="str">
        <f t="shared" ref="AI67" si="80">IFERROR(IF(X67="Impacto",(T67-(+T67*AA67)),IF(X67="Probabilidad",T67,"")),"")</f>
        <v/>
      </c>
      <c r="AJ67" s="188" t="str">
        <f>IFERROR(IF(OR(AND(AF67="Muy Baja",AH67="Leve"),AND(AF67="Muy Baja",AH67="Menor"),AND(AF67="Baja",AH67="Leve")),"Bajo",IF(OR(AND(AF67="Muy baja",AH67="Moderado"),AND(AF67="Baja",AH67="Menor"),AND(AF67="Baja",AH67="Moderado"),AND(AF67="Media",AH67="Leve"),AND(AF67="Media",AH67="Menor"),AND(AF67="Media",AH67="Moderado"),AND(AF67="Alta",AH67="Leve"),AND(AF67="Alta",AH67="Menor")),"Moderado",IF(OR(AND(AF67="Muy Baja",AH67="Mayor"),AND(AF67="Baja",AH67="Mayor"),AND(AF67="Media",AH67="Mayor"),AND(AF67="Alta",AH67="Moderado"),AND(AF67="Alta",AH67="Mayor"),AND(AF67="Muy Alta",AH67="Leve"),AND(AF67="Muy Alta",AH67="Menor"),AND(AF67="Muy Alta",AH67="Moderado"),AND(AF67="Muy Alta",AH67="Mayor")),"Alto",IF(OR(AND(AF67="Muy Baja",AH67="Catastrófico"),AND(AF67="Baja",AH67="Catastrófico"),AND(AF67="Media",AH67="Catastrófico"),AND(AF67="Alta",AH67="Catastrófico"),AND(AF67="Muy Alta",AH67="Catastrófico")),"Extremo","")))),"")</f>
        <v/>
      </c>
      <c r="AK67" s="189"/>
      <c r="AL67" s="180"/>
      <c r="AM67" s="190"/>
      <c r="AN67" s="190"/>
      <c r="AO67" s="191"/>
      <c r="AP67" s="329"/>
      <c r="AQ67" s="329"/>
      <c r="AR67" s="329"/>
    </row>
    <row r="68" spans="1:44" ht="37.5" customHeight="1" x14ac:dyDescent="0.2">
      <c r="A68" s="342"/>
      <c r="B68" s="340"/>
      <c r="C68" s="340"/>
      <c r="D68" s="340"/>
      <c r="E68" s="340"/>
      <c r="F68" s="340"/>
      <c r="G68" s="322"/>
      <c r="H68" s="322"/>
      <c r="I68" s="216"/>
      <c r="J68" s="216"/>
      <c r="K68" s="216"/>
      <c r="L68" s="322"/>
      <c r="M68" s="322"/>
      <c r="N68" s="329"/>
      <c r="O68" s="326"/>
      <c r="P68" s="325"/>
      <c r="Q68" s="315"/>
      <c r="R68" s="325">
        <f>IF(NOT(ISERROR(MATCH(Q68,_xlfn.ANCHORARRAY(F79),0))),Q81&amp;"Por favor no seleccionar los criterios de impacto",Q68)</f>
        <v>0</v>
      </c>
      <c r="S68" s="326"/>
      <c r="T68" s="325"/>
      <c r="U68" s="324"/>
      <c r="V68" s="208">
        <v>2</v>
      </c>
      <c r="W68" s="181"/>
      <c r="X68" s="183" t="str">
        <f>IF(OR(Y68="Preventivo",Y68="Detectivo"),"Probabilidad",IF(Y68="Correctivo","Impacto",""))</f>
        <v/>
      </c>
      <c r="Y68" s="184"/>
      <c r="Z68" s="184"/>
      <c r="AA68" s="185" t="str">
        <f t="shared" ref="AA68:AA72" si="81">IF(AND(Y68="Preventivo",Z68="Automático"),"50%",IF(AND(Y68="Preventivo",Z68="Manual"),"40%",IF(AND(Y68="Detectivo",Z68="Automático"),"40%",IF(AND(Y68="Detectivo",Z68="Manual"),"30%",IF(AND(Y68="Correctivo",Z68="Automático"),"35%",IF(AND(Y68="Correctivo",Z68="Manual"),"25%",""))))))</f>
        <v/>
      </c>
      <c r="AB68" s="184"/>
      <c r="AC68" s="184"/>
      <c r="AD68" s="184"/>
      <c r="AE68" s="186" t="str">
        <f>IFERROR(IF(AND(X67="Probabilidad",X68="Probabilidad"),(AG67-(+AG67*AA68)),IF(X68="Probabilidad",(P67-(+P67*AA68)),IF(X68="Impacto",AG67,""))),"")</f>
        <v/>
      </c>
      <c r="AF68" s="187" t="str">
        <f t="shared" si="2"/>
        <v/>
      </c>
      <c r="AG68" s="185" t="str">
        <f t="shared" ref="AG68:AG72" si="82">+AE68</f>
        <v/>
      </c>
      <c r="AH68" s="187" t="str">
        <f t="shared" si="4"/>
        <v/>
      </c>
      <c r="AI68" s="185" t="str">
        <f t="shared" ref="AI68" si="83">IFERROR(IF(AND(X67="Impacto",X68="Impacto"),(AI67-(+AI67*AA68)),IF(X68="Impacto",($T$13-(+$T$13*AA68)),IF(X68="Probabilidad",AI67,""))),"")</f>
        <v/>
      </c>
      <c r="AJ68" s="188" t="str">
        <f t="shared" ref="AJ68:AJ69" si="84">IFERROR(IF(OR(AND(AF68="Muy Baja",AH68="Leve"),AND(AF68="Muy Baja",AH68="Menor"),AND(AF68="Baja",AH68="Leve")),"Bajo",IF(OR(AND(AF68="Muy baja",AH68="Moderado"),AND(AF68="Baja",AH68="Menor"),AND(AF68="Baja",AH68="Moderado"),AND(AF68="Media",AH68="Leve"),AND(AF68="Media",AH68="Menor"),AND(AF68="Media",AH68="Moderado"),AND(AF68="Alta",AH68="Leve"),AND(AF68="Alta",AH68="Menor")),"Moderado",IF(OR(AND(AF68="Muy Baja",AH68="Mayor"),AND(AF68="Baja",AH68="Mayor"),AND(AF68="Media",AH68="Mayor"),AND(AF68="Alta",AH68="Moderado"),AND(AF68="Alta",AH68="Mayor"),AND(AF68="Muy Alta",AH68="Leve"),AND(AF68="Muy Alta",AH68="Menor"),AND(AF68="Muy Alta",AH68="Moderado"),AND(AF68="Muy Alta",AH68="Mayor")),"Alto",IF(OR(AND(AF68="Muy Baja",AH68="Catastrófico"),AND(AF68="Baja",AH68="Catastrófico"),AND(AF68="Media",AH68="Catastrófico"),AND(AF68="Alta",AH68="Catastrófico"),AND(AF68="Muy Alta",AH68="Catastrófico")),"Extremo","")))),"")</f>
        <v/>
      </c>
      <c r="AK68" s="189"/>
      <c r="AL68" s="180"/>
      <c r="AM68" s="190"/>
      <c r="AN68" s="190"/>
      <c r="AO68" s="191"/>
      <c r="AP68" s="329"/>
      <c r="AQ68" s="329"/>
      <c r="AR68" s="329"/>
    </row>
    <row r="69" spans="1:44" ht="37.5" customHeight="1" x14ac:dyDescent="0.2">
      <c r="A69" s="342"/>
      <c r="B69" s="340"/>
      <c r="C69" s="340"/>
      <c r="D69" s="340"/>
      <c r="E69" s="340"/>
      <c r="F69" s="340"/>
      <c r="G69" s="322"/>
      <c r="H69" s="322"/>
      <c r="I69" s="216"/>
      <c r="J69" s="216"/>
      <c r="K69" s="216"/>
      <c r="L69" s="322"/>
      <c r="M69" s="322"/>
      <c r="N69" s="329"/>
      <c r="O69" s="326"/>
      <c r="P69" s="325"/>
      <c r="Q69" s="315"/>
      <c r="R69" s="325">
        <f>IF(NOT(ISERROR(MATCH(Q69,_xlfn.ANCHORARRAY(F80),0))),Q82&amp;"Por favor no seleccionar los criterios de impacto",Q69)</f>
        <v>0</v>
      </c>
      <c r="S69" s="326"/>
      <c r="T69" s="325"/>
      <c r="U69" s="324"/>
      <c r="V69" s="208">
        <v>3</v>
      </c>
      <c r="W69" s="181"/>
      <c r="X69" s="183" t="str">
        <f>IF(OR(Y69="Preventivo",Y69="Detectivo"),"Probabilidad",IF(Y69="Correctivo","Impacto",""))</f>
        <v/>
      </c>
      <c r="Y69" s="184"/>
      <c r="Z69" s="184"/>
      <c r="AA69" s="185" t="str">
        <f t="shared" si="81"/>
        <v/>
      </c>
      <c r="AB69" s="184"/>
      <c r="AC69" s="184"/>
      <c r="AD69" s="184"/>
      <c r="AE69" s="186" t="str">
        <f>IFERROR(IF(AND(X68="Probabilidad",X69="Probabilidad"),(AG68-(+AG68*AA69)),IF(AND(X68="Impacto",X69="Probabilidad"),(AG67-(+AG67*AA69)),IF(X69="Impacto",AG68,""))),"")</f>
        <v/>
      </c>
      <c r="AF69" s="187" t="str">
        <f t="shared" si="2"/>
        <v/>
      </c>
      <c r="AG69" s="185" t="str">
        <f t="shared" si="82"/>
        <v/>
      </c>
      <c r="AH69" s="187" t="str">
        <f t="shared" si="4"/>
        <v/>
      </c>
      <c r="AI69" s="185" t="str">
        <f t="shared" ref="AI69" si="85">IFERROR(IF(AND(X68="Impacto",X69="Impacto"),(AI68-(+AI68*AA69)),IF(AND(X68="Probabilidad",X69="Impacto"),(AI67-(+AI67*AA69)),IF(X69="Probabilidad",AI68,""))),"")</f>
        <v/>
      </c>
      <c r="AJ69" s="188" t="str">
        <f t="shared" si="84"/>
        <v/>
      </c>
      <c r="AK69" s="189"/>
      <c r="AL69" s="180"/>
      <c r="AM69" s="190"/>
      <c r="AN69" s="190"/>
      <c r="AO69" s="191"/>
      <c r="AP69" s="329"/>
      <c r="AQ69" s="329"/>
      <c r="AR69" s="329"/>
    </row>
    <row r="70" spans="1:44" ht="37.5" customHeight="1" x14ac:dyDescent="0.2">
      <c r="A70" s="342"/>
      <c r="B70" s="340"/>
      <c r="C70" s="340"/>
      <c r="D70" s="340"/>
      <c r="E70" s="340"/>
      <c r="F70" s="340"/>
      <c r="G70" s="322"/>
      <c r="H70" s="322"/>
      <c r="I70" s="216"/>
      <c r="J70" s="216"/>
      <c r="K70" s="216"/>
      <c r="L70" s="322"/>
      <c r="M70" s="322"/>
      <c r="N70" s="329"/>
      <c r="O70" s="326"/>
      <c r="P70" s="325"/>
      <c r="Q70" s="315"/>
      <c r="R70" s="325">
        <f>IF(NOT(ISERROR(MATCH(Q70,_xlfn.ANCHORARRAY(F81),0))),Q83&amp;"Por favor no seleccionar los criterios de impacto",Q70)</f>
        <v>0</v>
      </c>
      <c r="S70" s="326"/>
      <c r="T70" s="325"/>
      <c r="U70" s="324"/>
      <c r="V70" s="208">
        <v>4</v>
      </c>
      <c r="W70" s="181"/>
      <c r="X70" s="183" t="str">
        <f t="shared" ref="X70:X72" si="86">IF(OR(Y70="Preventivo",Y70="Detectivo"),"Probabilidad",IF(Y70="Correctivo","Impacto",""))</f>
        <v/>
      </c>
      <c r="Y70" s="184"/>
      <c r="Z70" s="184"/>
      <c r="AA70" s="185" t="str">
        <f t="shared" si="81"/>
        <v/>
      </c>
      <c r="AB70" s="184"/>
      <c r="AC70" s="184"/>
      <c r="AD70" s="184"/>
      <c r="AE70" s="186" t="str">
        <f t="shared" ref="AE70:AE72" si="87">IFERROR(IF(AND(X69="Probabilidad",X70="Probabilidad"),(AG69-(+AG69*AA70)),IF(AND(X69="Impacto",X70="Probabilidad"),(AG68-(+AG68*AA70)),IF(X70="Impacto",AG69,""))),"")</f>
        <v/>
      </c>
      <c r="AF70" s="187" t="str">
        <f t="shared" si="2"/>
        <v/>
      </c>
      <c r="AG70" s="185" t="str">
        <f t="shared" si="82"/>
        <v/>
      </c>
      <c r="AH70" s="187" t="str">
        <f t="shared" si="4"/>
        <v/>
      </c>
      <c r="AI70" s="185" t="str">
        <f t="shared" si="13"/>
        <v/>
      </c>
      <c r="AJ70" s="188" t="str">
        <f>IFERROR(IF(OR(AND(AF70="Muy Baja",AH70="Leve"),AND(AF70="Muy Baja",AH70="Menor"),AND(AF70="Baja",AH70="Leve")),"Bajo",IF(OR(AND(AF70="Muy baja",AH70="Moderado"),AND(AF70="Baja",AH70="Menor"),AND(AF70="Baja",AH70="Moderado"),AND(AF70="Media",AH70="Leve"),AND(AF70="Media",AH70="Menor"),AND(AF70="Media",AH70="Moderado"),AND(AF70="Alta",AH70="Leve"),AND(AF70="Alta",AH70="Menor")),"Moderado",IF(OR(AND(AF70="Muy Baja",AH70="Mayor"),AND(AF70="Baja",AH70="Mayor"),AND(AF70="Media",AH70="Mayor"),AND(AF70="Alta",AH70="Moderado"),AND(AF70="Alta",AH70="Mayor"),AND(AF70="Muy Alta",AH70="Leve"),AND(AF70="Muy Alta",AH70="Menor"),AND(AF70="Muy Alta",AH70="Moderado"),AND(AF70="Muy Alta",AH70="Mayor")),"Alto",IF(OR(AND(AF70="Muy Baja",AH70="Catastrófico"),AND(AF70="Baja",AH70="Catastrófico"),AND(AF70="Media",AH70="Catastrófico"),AND(AF70="Alta",AH70="Catastrófico"),AND(AF70="Muy Alta",AH70="Catastrófico")),"Extremo","")))),"")</f>
        <v/>
      </c>
      <c r="AK70" s="189"/>
      <c r="AL70" s="180"/>
      <c r="AM70" s="190"/>
      <c r="AN70" s="190"/>
      <c r="AO70" s="191"/>
      <c r="AP70" s="329"/>
      <c r="AQ70" s="329"/>
      <c r="AR70" s="329"/>
    </row>
    <row r="71" spans="1:44" ht="37.5" customHeight="1" x14ac:dyDescent="0.2">
      <c r="A71" s="342"/>
      <c r="B71" s="340"/>
      <c r="C71" s="340"/>
      <c r="D71" s="340"/>
      <c r="E71" s="340"/>
      <c r="F71" s="340"/>
      <c r="G71" s="322"/>
      <c r="H71" s="322"/>
      <c r="I71" s="216"/>
      <c r="J71" s="216"/>
      <c r="K71" s="216"/>
      <c r="L71" s="322"/>
      <c r="M71" s="322"/>
      <c r="N71" s="329"/>
      <c r="O71" s="326"/>
      <c r="P71" s="325"/>
      <c r="Q71" s="315"/>
      <c r="R71" s="325">
        <f>IF(NOT(ISERROR(MATCH(Q71,_xlfn.ANCHORARRAY(F82),0))),Q84&amp;"Por favor no seleccionar los criterios de impacto",Q71)</f>
        <v>0</v>
      </c>
      <c r="S71" s="326"/>
      <c r="T71" s="325"/>
      <c r="U71" s="324"/>
      <c r="V71" s="208">
        <v>5</v>
      </c>
      <c r="W71" s="181"/>
      <c r="X71" s="183" t="str">
        <f t="shared" si="86"/>
        <v/>
      </c>
      <c r="Y71" s="184"/>
      <c r="Z71" s="184"/>
      <c r="AA71" s="185" t="str">
        <f t="shared" si="81"/>
        <v/>
      </c>
      <c r="AB71" s="184"/>
      <c r="AC71" s="184"/>
      <c r="AD71" s="184"/>
      <c r="AE71" s="186" t="str">
        <f t="shared" si="87"/>
        <v/>
      </c>
      <c r="AF71" s="187" t="str">
        <f t="shared" si="2"/>
        <v/>
      </c>
      <c r="AG71" s="185" t="str">
        <f t="shared" si="82"/>
        <v/>
      </c>
      <c r="AH71" s="187" t="str">
        <f t="shared" si="4"/>
        <v/>
      </c>
      <c r="AI71" s="185" t="str">
        <f t="shared" si="13"/>
        <v/>
      </c>
      <c r="AJ71" s="188" t="str">
        <f t="shared" ref="AJ71:AJ72" si="88">IFERROR(IF(OR(AND(AF71="Muy Baja",AH71="Leve"),AND(AF71="Muy Baja",AH71="Menor"),AND(AF71="Baja",AH71="Leve")),"Bajo",IF(OR(AND(AF71="Muy baja",AH71="Moderado"),AND(AF71="Baja",AH71="Menor"),AND(AF71="Baja",AH71="Moderado"),AND(AF71="Media",AH71="Leve"),AND(AF71="Media",AH71="Menor"),AND(AF71="Media",AH71="Moderado"),AND(AF71="Alta",AH71="Leve"),AND(AF71="Alta",AH71="Menor")),"Moderado",IF(OR(AND(AF71="Muy Baja",AH71="Mayor"),AND(AF71="Baja",AH71="Mayor"),AND(AF71="Media",AH71="Mayor"),AND(AF71="Alta",AH71="Moderado"),AND(AF71="Alta",AH71="Mayor"),AND(AF71="Muy Alta",AH71="Leve"),AND(AF71="Muy Alta",AH71="Menor"),AND(AF71="Muy Alta",AH71="Moderado"),AND(AF71="Muy Alta",AH71="Mayor")),"Alto",IF(OR(AND(AF71="Muy Baja",AH71="Catastrófico"),AND(AF71="Baja",AH71="Catastrófico"),AND(AF71="Media",AH71="Catastrófico"),AND(AF71="Alta",AH71="Catastrófico"),AND(AF71="Muy Alta",AH71="Catastrófico")),"Extremo","")))),"")</f>
        <v/>
      </c>
      <c r="AK71" s="189"/>
      <c r="AL71" s="180"/>
      <c r="AM71" s="190"/>
      <c r="AN71" s="190"/>
      <c r="AO71" s="191"/>
      <c r="AP71" s="329"/>
      <c r="AQ71" s="329"/>
      <c r="AR71" s="329"/>
    </row>
    <row r="72" spans="1:44" ht="37.5" customHeight="1" x14ac:dyDescent="0.2">
      <c r="A72" s="342"/>
      <c r="B72" s="340"/>
      <c r="C72" s="340"/>
      <c r="D72" s="340"/>
      <c r="E72" s="340"/>
      <c r="F72" s="340"/>
      <c r="G72" s="323"/>
      <c r="H72" s="323"/>
      <c r="I72" s="217"/>
      <c r="J72" s="217"/>
      <c r="K72" s="217"/>
      <c r="L72" s="323"/>
      <c r="M72" s="323"/>
      <c r="N72" s="329"/>
      <c r="O72" s="326"/>
      <c r="P72" s="325"/>
      <c r="Q72" s="315"/>
      <c r="R72" s="325">
        <f>IF(NOT(ISERROR(MATCH(Q72,_xlfn.ANCHORARRAY(F83),0))),Q85&amp;"Por favor no seleccionar los criterios de impacto",Q72)</f>
        <v>0</v>
      </c>
      <c r="S72" s="326"/>
      <c r="T72" s="325"/>
      <c r="U72" s="324"/>
      <c r="V72" s="208">
        <v>6</v>
      </c>
      <c r="W72" s="181"/>
      <c r="X72" s="183" t="str">
        <f t="shared" si="86"/>
        <v/>
      </c>
      <c r="Y72" s="184"/>
      <c r="Z72" s="184"/>
      <c r="AA72" s="185" t="str">
        <f t="shared" si="81"/>
        <v/>
      </c>
      <c r="AB72" s="184"/>
      <c r="AC72" s="184"/>
      <c r="AD72" s="184"/>
      <c r="AE72" s="186" t="str">
        <f t="shared" si="87"/>
        <v/>
      </c>
      <c r="AF72" s="187" t="str">
        <f t="shared" si="2"/>
        <v/>
      </c>
      <c r="AG72" s="185" t="str">
        <f t="shared" si="82"/>
        <v/>
      </c>
      <c r="AH72" s="187" t="str">
        <f t="shared" si="4"/>
        <v/>
      </c>
      <c r="AI72" s="185" t="str">
        <f t="shared" si="13"/>
        <v/>
      </c>
      <c r="AJ72" s="188" t="str">
        <f t="shared" si="88"/>
        <v/>
      </c>
      <c r="AK72" s="189"/>
      <c r="AL72" s="180"/>
      <c r="AM72" s="190"/>
      <c r="AN72" s="190"/>
      <c r="AO72" s="191"/>
      <c r="AP72" s="329"/>
      <c r="AQ72" s="329"/>
      <c r="AR72" s="329"/>
    </row>
    <row r="73" spans="1:44" ht="49.5" customHeight="1" x14ac:dyDescent="0.2">
      <c r="A73" s="210"/>
      <c r="B73" s="349" t="s">
        <v>261</v>
      </c>
      <c r="C73" s="350"/>
      <c r="D73" s="350"/>
      <c r="E73" s="350"/>
      <c r="F73" s="350"/>
      <c r="G73" s="350"/>
      <c r="H73" s="350"/>
      <c r="I73" s="350"/>
      <c r="J73" s="350"/>
      <c r="K73" s="350"/>
      <c r="L73" s="350"/>
      <c r="M73" s="350"/>
      <c r="N73" s="350"/>
      <c r="O73" s="350"/>
      <c r="P73" s="350"/>
      <c r="Q73" s="350"/>
      <c r="R73" s="350"/>
      <c r="S73" s="350"/>
      <c r="T73" s="350"/>
      <c r="U73" s="350"/>
      <c r="V73" s="350"/>
      <c r="W73" s="350"/>
      <c r="X73" s="350"/>
      <c r="Y73" s="350"/>
      <c r="Z73" s="350"/>
      <c r="AA73" s="350"/>
      <c r="AB73" s="350"/>
      <c r="AC73" s="350"/>
      <c r="AD73" s="350"/>
      <c r="AE73" s="350"/>
      <c r="AF73" s="350"/>
      <c r="AG73" s="350"/>
      <c r="AH73" s="350"/>
      <c r="AI73" s="350"/>
      <c r="AJ73" s="350"/>
      <c r="AK73" s="350"/>
      <c r="AL73" s="350"/>
      <c r="AM73" s="350"/>
      <c r="AN73" s="350"/>
      <c r="AO73" s="350"/>
      <c r="AP73" s="350"/>
    </row>
    <row r="75" spans="1:44" ht="15.75" x14ac:dyDescent="0.2">
      <c r="A75" s="192"/>
      <c r="B75" s="200" t="s">
        <v>262</v>
      </c>
      <c r="C75" s="192"/>
      <c r="D75" s="192"/>
      <c r="E75" s="192"/>
      <c r="N75" s="192"/>
    </row>
  </sheetData>
  <dataConsolidate/>
  <mergeCells count="299">
    <mergeCell ref="A6:B6"/>
    <mergeCell ref="W6:Y6"/>
    <mergeCell ref="Z6:AR6"/>
    <mergeCell ref="A7:B7"/>
    <mergeCell ref="Z7:AR7"/>
    <mergeCell ref="A1:C4"/>
    <mergeCell ref="X1:AR2"/>
    <mergeCell ref="X3:AL3"/>
    <mergeCell ref="AM3:AR3"/>
    <mergeCell ref="X4:AR4"/>
    <mergeCell ref="D3:I3"/>
    <mergeCell ref="D1:T2"/>
    <mergeCell ref="J3:T3"/>
    <mergeCell ref="D4:T4"/>
    <mergeCell ref="C6:T6"/>
    <mergeCell ref="C7:T7"/>
    <mergeCell ref="A8:B8"/>
    <mergeCell ref="Z8:AR8"/>
    <mergeCell ref="A10:F10"/>
    <mergeCell ref="G10:K10"/>
    <mergeCell ref="P10:V10"/>
    <mergeCell ref="W10:AE10"/>
    <mergeCell ref="AF10:AJ10"/>
    <mergeCell ref="AK10:AO10"/>
    <mergeCell ref="AP10:AR10"/>
    <mergeCell ref="C8:T8"/>
    <mergeCell ref="A11:A12"/>
    <mergeCell ref="B11:B12"/>
    <mergeCell ref="C11:C12"/>
    <mergeCell ref="D11:D12"/>
    <mergeCell ref="E11:E12"/>
    <mergeCell ref="F11:F12"/>
    <mergeCell ref="G11:G12"/>
    <mergeCell ref="H11:H12"/>
    <mergeCell ref="I11:I12"/>
    <mergeCell ref="U13:U18"/>
    <mergeCell ref="AP13:AP18"/>
    <mergeCell ref="AQ13:AQ18"/>
    <mergeCell ref="AR11:AR12"/>
    <mergeCell ref="A13:A18"/>
    <mergeCell ref="B13:B18"/>
    <mergeCell ref="C13:C18"/>
    <mergeCell ref="D13:D18"/>
    <mergeCell ref="E13:E18"/>
    <mergeCell ref="F13:F18"/>
    <mergeCell ref="AI11:AI12"/>
    <mergeCell ref="AJ11:AJ12"/>
    <mergeCell ref="AK11:AK12"/>
    <mergeCell ref="AL11:AL12"/>
    <mergeCell ref="AM11:AM12"/>
    <mergeCell ref="AN11:AN12"/>
    <mergeCell ref="X11:X12"/>
    <mergeCell ref="Y11:AD11"/>
    <mergeCell ref="AE11:AE12"/>
    <mergeCell ref="AF11:AF12"/>
    <mergeCell ref="AG11:AG12"/>
    <mergeCell ref="AH11:AH12"/>
    <mergeCell ref="R11:R12"/>
    <mergeCell ref="S11:S12"/>
    <mergeCell ref="AO11:AO12"/>
    <mergeCell ref="AP11:AP12"/>
    <mergeCell ref="AQ11:AQ12"/>
    <mergeCell ref="W11:W12"/>
    <mergeCell ref="J11:J12"/>
    <mergeCell ref="K11:K12"/>
    <mergeCell ref="N11:N12"/>
    <mergeCell ref="O11:O12"/>
    <mergeCell ref="P11:P12"/>
    <mergeCell ref="Q11:Q12"/>
    <mergeCell ref="T11:T12"/>
    <mergeCell ref="U11:U12"/>
    <mergeCell ref="V11:V12"/>
    <mergeCell ref="AR13:AR18"/>
    <mergeCell ref="M13:M18"/>
    <mergeCell ref="N13:N18"/>
    <mergeCell ref="O13:O18"/>
    <mergeCell ref="P13:P18"/>
    <mergeCell ref="Q13:Q18"/>
    <mergeCell ref="R13:R18"/>
    <mergeCell ref="G19:G24"/>
    <mergeCell ref="H19:H24"/>
    <mergeCell ref="I19:I24"/>
    <mergeCell ref="J19:J24"/>
    <mergeCell ref="K19:K24"/>
    <mergeCell ref="L19:L24"/>
    <mergeCell ref="AP19:AP24"/>
    <mergeCell ref="AQ19:AQ24"/>
    <mergeCell ref="AR19:AR24"/>
    <mergeCell ref="G13:G18"/>
    <mergeCell ref="H13:H18"/>
    <mergeCell ref="I13:I18"/>
    <mergeCell ref="J13:J18"/>
    <mergeCell ref="K13:K18"/>
    <mergeCell ref="L13:L18"/>
    <mergeCell ref="S13:S18"/>
    <mergeCell ref="T13:T18"/>
    <mergeCell ref="A19:A24"/>
    <mergeCell ref="B19:B24"/>
    <mergeCell ref="C19:C24"/>
    <mergeCell ref="D19:D24"/>
    <mergeCell ref="E19:E24"/>
    <mergeCell ref="F19:F24"/>
    <mergeCell ref="S19:S24"/>
    <mergeCell ref="T19:T24"/>
    <mergeCell ref="U19:U24"/>
    <mergeCell ref="M19:M24"/>
    <mergeCell ref="N19:N24"/>
    <mergeCell ref="O19:O24"/>
    <mergeCell ref="P19:P24"/>
    <mergeCell ref="Q19:Q24"/>
    <mergeCell ref="R19:R24"/>
    <mergeCell ref="G25:G30"/>
    <mergeCell ref="H25:H30"/>
    <mergeCell ref="I25:I30"/>
    <mergeCell ref="J25:J30"/>
    <mergeCell ref="K25:K30"/>
    <mergeCell ref="L25:L30"/>
    <mergeCell ref="A25:A30"/>
    <mergeCell ref="B25:B30"/>
    <mergeCell ref="C25:C30"/>
    <mergeCell ref="D25:D30"/>
    <mergeCell ref="E25:E30"/>
    <mergeCell ref="F25:F30"/>
    <mergeCell ref="S25:S30"/>
    <mergeCell ref="T25:T30"/>
    <mergeCell ref="U25:U30"/>
    <mergeCell ref="AP25:AP30"/>
    <mergeCell ref="AQ25:AQ30"/>
    <mergeCell ref="AR25:AR30"/>
    <mergeCell ref="M25:M30"/>
    <mergeCell ref="N25:N30"/>
    <mergeCell ref="O25:O30"/>
    <mergeCell ref="P25:P30"/>
    <mergeCell ref="Q25:Q30"/>
    <mergeCell ref="R25:R30"/>
    <mergeCell ref="G31:G36"/>
    <mergeCell ref="H31:H36"/>
    <mergeCell ref="I31:I36"/>
    <mergeCell ref="J31:J36"/>
    <mergeCell ref="K31:K36"/>
    <mergeCell ref="L31:L36"/>
    <mergeCell ref="A31:A36"/>
    <mergeCell ref="B31:B36"/>
    <mergeCell ref="C31:C36"/>
    <mergeCell ref="D31:D36"/>
    <mergeCell ref="E31:E36"/>
    <mergeCell ref="F31:F36"/>
    <mergeCell ref="S31:S36"/>
    <mergeCell ref="T31:T36"/>
    <mergeCell ref="U31:U36"/>
    <mergeCell ref="AP31:AP36"/>
    <mergeCell ref="AQ31:AQ36"/>
    <mergeCell ref="AR31:AR36"/>
    <mergeCell ref="M31:M36"/>
    <mergeCell ref="N31:N36"/>
    <mergeCell ref="O31:O36"/>
    <mergeCell ref="P31:P36"/>
    <mergeCell ref="Q31:Q36"/>
    <mergeCell ref="R31:R36"/>
    <mergeCell ref="G37:G42"/>
    <mergeCell ref="H37:H42"/>
    <mergeCell ref="I37:I42"/>
    <mergeCell ref="J37:J42"/>
    <mergeCell ref="K37:K42"/>
    <mergeCell ref="L37:L42"/>
    <mergeCell ref="A37:A42"/>
    <mergeCell ref="B37:B42"/>
    <mergeCell ref="C37:C42"/>
    <mergeCell ref="D37:D42"/>
    <mergeCell ref="E37:E42"/>
    <mergeCell ref="F37:F42"/>
    <mergeCell ref="S37:S42"/>
    <mergeCell ref="T37:T42"/>
    <mergeCell ref="U37:U42"/>
    <mergeCell ref="AP37:AP42"/>
    <mergeCell ref="AQ37:AQ42"/>
    <mergeCell ref="AR37:AR42"/>
    <mergeCell ref="M37:M42"/>
    <mergeCell ref="N37:N42"/>
    <mergeCell ref="O37:O42"/>
    <mergeCell ref="P37:P42"/>
    <mergeCell ref="Q37:Q42"/>
    <mergeCell ref="R37:R42"/>
    <mergeCell ref="G43:G48"/>
    <mergeCell ref="H43:H48"/>
    <mergeCell ref="I43:I48"/>
    <mergeCell ref="J43:J48"/>
    <mergeCell ref="K43:K48"/>
    <mergeCell ref="L43:L48"/>
    <mergeCell ref="A43:A48"/>
    <mergeCell ref="B43:B48"/>
    <mergeCell ref="C43:C48"/>
    <mergeCell ref="D43:D48"/>
    <mergeCell ref="E43:E48"/>
    <mergeCell ref="F43:F48"/>
    <mergeCell ref="S43:S48"/>
    <mergeCell ref="T43:T48"/>
    <mergeCell ref="U43:U48"/>
    <mergeCell ref="AP43:AP48"/>
    <mergeCell ref="AQ43:AQ48"/>
    <mergeCell ref="AR43:AR48"/>
    <mergeCell ref="M43:M48"/>
    <mergeCell ref="N43:N48"/>
    <mergeCell ref="O43:O48"/>
    <mergeCell ref="P43:P48"/>
    <mergeCell ref="Q43:Q48"/>
    <mergeCell ref="R43:R48"/>
    <mergeCell ref="G49:G54"/>
    <mergeCell ref="H49:H54"/>
    <mergeCell ref="I49:I54"/>
    <mergeCell ref="J49:J54"/>
    <mergeCell ref="K49:K54"/>
    <mergeCell ref="L49:L54"/>
    <mergeCell ref="A49:A54"/>
    <mergeCell ref="B49:B54"/>
    <mergeCell ref="C49:C54"/>
    <mergeCell ref="D49:D54"/>
    <mergeCell ref="E49:E54"/>
    <mergeCell ref="F49:F54"/>
    <mergeCell ref="S49:S54"/>
    <mergeCell ref="T49:T54"/>
    <mergeCell ref="U49:U54"/>
    <mergeCell ref="AP49:AP54"/>
    <mergeCell ref="AQ49:AQ54"/>
    <mergeCell ref="AR49:AR54"/>
    <mergeCell ref="M49:M54"/>
    <mergeCell ref="N49:N54"/>
    <mergeCell ref="O49:O54"/>
    <mergeCell ref="P49:P54"/>
    <mergeCell ref="Q49:Q54"/>
    <mergeCell ref="R49:R54"/>
    <mergeCell ref="G55:G60"/>
    <mergeCell ref="H55:H60"/>
    <mergeCell ref="I55:I60"/>
    <mergeCell ref="J55:J60"/>
    <mergeCell ref="K55:K60"/>
    <mergeCell ref="L55:L60"/>
    <mergeCell ref="A55:A60"/>
    <mergeCell ref="B55:B60"/>
    <mergeCell ref="C55:C60"/>
    <mergeCell ref="D55:D60"/>
    <mergeCell ref="E55:E60"/>
    <mergeCell ref="F55:F60"/>
    <mergeCell ref="T55:T60"/>
    <mergeCell ref="U55:U60"/>
    <mergeCell ref="AP55:AP60"/>
    <mergeCell ref="AQ55:AQ60"/>
    <mergeCell ref="AR55:AR60"/>
    <mergeCell ref="M55:M60"/>
    <mergeCell ref="N55:N60"/>
    <mergeCell ref="O55:O60"/>
    <mergeCell ref="P55:P60"/>
    <mergeCell ref="Q55:Q60"/>
    <mergeCell ref="R55:R60"/>
    <mergeCell ref="A67:A72"/>
    <mergeCell ref="B67:B72"/>
    <mergeCell ref="C67:C72"/>
    <mergeCell ref="D67:D72"/>
    <mergeCell ref="E67:E72"/>
    <mergeCell ref="F67:F72"/>
    <mergeCell ref="G67:G72"/>
    <mergeCell ref="P61:P66"/>
    <mergeCell ref="Q61:Q66"/>
    <mergeCell ref="G61:G66"/>
    <mergeCell ref="H61:H66"/>
    <mergeCell ref="L61:L66"/>
    <mergeCell ref="M61:M66"/>
    <mergeCell ref="N61:N66"/>
    <mergeCell ref="O61:O66"/>
    <mergeCell ref="A61:A66"/>
    <mergeCell ref="B61:B66"/>
    <mergeCell ref="C61:C66"/>
    <mergeCell ref="D61:D66"/>
    <mergeCell ref="E61:E66"/>
    <mergeCell ref="F61:F66"/>
    <mergeCell ref="AQ67:AQ72"/>
    <mergeCell ref="AR67:AR72"/>
    <mergeCell ref="B73:AP73"/>
    <mergeCell ref="L10:M11"/>
    <mergeCell ref="Q67:Q72"/>
    <mergeCell ref="R67:R72"/>
    <mergeCell ref="S67:S72"/>
    <mergeCell ref="T67:T72"/>
    <mergeCell ref="U67:U72"/>
    <mergeCell ref="AP67:AP72"/>
    <mergeCell ref="H67:H72"/>
    <mergeCell ref="L67:L72"/>
    <mergeCell ref="M67:M72"/>
    <mergeCell ref="N67:N72"/>
    <mergeCell ref="O67:O72"/>
    <mergeCell ref="P67:P72"/>
    <mergeCell ref="AP61:AP66"/>
    <mergeCell ref="AQ61:AQ66"/>
    <mergeCell ref="AR61:AR66"/>
    <mergeCell ref="R61:R66"/>
    <mergeCell ref="S61:S66"/>
    <mergeCell ref="T61:T66"/>
    <mergeCell ref="U61:U66"/>
    <mergeCell ref="S55:S60"/>
  </mergeCells>
  <conditionalFormatting sqref="O13 O19">
    <cfRule type="cellIs" dxfId="469" priority="227" operator="equal">
      <formula>"Muy Alta"</formula>
    </cfRule>
    <cfRule type="cellIs" dxfId="468" priority="228" operator="equal">
      <formula>"Alta"</formula>
    </cfRule>
    <cfRule type="cellIs" dxfId="467" priority="229" operator="equal">
      <formula>"Media"</formula>
    </cfRule>
    <cfRule type="cellIs" dxfId="466" priority="230" operator="equal">
      <formula>"Baja"</formula>
    </cfRule>
    <cfRule type="cellIs" dxfId="465" priority="231" operator="equal">
      <formula>"Muy Baja"</formula>
    </cfRule>
  </conditionalFormatting>
  <conditionalFormatting sqref="S13 S19 S25 S31 S37 S43 S49 S55 S61 S67">
    <cfRule type="cellIs" dxfId="464" priority="222" operator="equal">
      <formula>"Catastrófico"</formula>
    </cfRule>
    <cfRule type="cellIs" dxfId="463" priority="223" operator="equal">
      <formula>"Mayor"</formula>
    </cfRule>
    <cfRule type="cellIs" dxfId="462" priority="224" operator="equal">
      <formula>"Moderado"</formula>
    </cfRule>
    <cfRule type="cellIs" dxfId="461" priority="225" operator="equal">
      <formula>"Menor"</formula>
    </cfRule>
    <cfRule type="cellIs" dxfId="460" priority="226" operator="equal">
      <formula>"Leve"</formula>
    </cfRule>
  </conditionalFormatting>
  <conditionalFormatting sqref="U13">
    <cfRule type="cellIs" dxfId="459" priority="218" operator="equal">
      <formula>"Extremo"</formula>
    </cfRule>
    <cfRule type="cellIs" dxfId="458" priority="219" operator="equal">
      <formula>"Alto"</formula>
    </cfRule>
    <cfRule type="cellIs" dxfId="457" priority="220" operator="equal">
      <formula>"Moderado"</formula>
    </cfRule>
    <cfRule type="cellIs" dxfId="456" priority="221" operator="equal">
      <formula>"Bajo"</formula>
    </cfRule>
  </conditionalFormatting>
  <conditionalFormatting sqref="AF13:AF18">
    <cfRule type="cellIs" dxfId="455" priority="213" operator="equal">
      <formula>"Muy Alta"</formula>
    </cfRule>
    <cfRule type="cellIs" dxfId="454" priority="214" operator="equal">
      <formula>"Alta"</formula>
    </cfRule>
    <cfRule type="cellIs" dxfId="453" priority="215" operator="equal">
      <formula>"Media"</formula>
    </cfRule>
    <cfRule type="cellIs" dxfId="452" priority="216" operator="equal">
      <formula>"Baja"</formula>
    </cfRule>
    <cfRule type="cellIs" dxfId="451" priority="217" operator="equal">
      <formula>"Muy Baja"</formula>
    </cfRule>
  </conditionalFormatting>
  <conditionalFormatting sqref="AH13:AH18">
    <cfRule type="cellIs" dxfId="450" priority="208" operator="equal">
      <formula>"Catastrófico"</formula>
    </cfRule>
    <cfRule type="cellIs" dxfId="449" priority="209" operator="equal">
      <formula>"Mayor"</formula>
    </cfRule>
    <cfRule type="cellIs" dxfId="448" priority="210" operator="equal">
      <formula>"Moderado"</formula>
    </cfRule>
    <cfRule type="cellIs" dxfId="447" priority="211" operator="equal">
      <formula>"Menor"</formula>
    </cfRule>
    <cfRule type="cellIs" dxfId="446" priority="212" operator="equal">
      <formula>"Leve"</formula>
    </cfRule>
  </conditionalFormatting>
  <conditionalFormatting sqref="AJ13:AJ18">
    <cfRule type="cellIs" dxfId="445" priority="204" operator="equal">
      <formula>"Extremo"</formula>
    </cfRule>
    <cfRule type="cellIs" dxfId="444" priority="205" operator="equal">
      <formula>"Alto"</formula>
    </cfRule>
    <cfRule type="cellIs" dxfId="443" priority="206" operator="equal">
      <formula>"Moderado"</formula>
    </cfRule>
    <cfRule type="cellIs" dxfId="442" priority="207" operator="equal">
      <formula>"Bajo"</formula>
    </cfRule>
  </conditionalFormatting>
  <conditionalFormatting sqref="O61">
    <cfRule type="cellIs" dxfId="441" priority="48" operator="equal">
      <formula>"Muy Alta"</formula>
    </cfRule>
    <cfRule type="cellIs" dxfId="440" priority="49" operator="equal">
      <formula>"Alta"</formula>
    </cfRule>
    <cfRule type="cellIs" dxfId="439" priority="50" operator="equal">
      <formula>"Media"</formula>
    </cfRule>
    <cfRule type="cellIs" dxfId="438" priority="51" operator="equal">
      <formula>"Baja"</formula>
    </cfRule>
    <cfRule type="cellIs" dxfId="437" priority="52" operator="equal">
      <formula>"Muy Baja"</formula>
    </cfRule>
  </conditionalFormatting>
  <conditionalFormatting sqref="U19">
    <cfRule type="cellIs" dxfId="436" priority="200" operator="equal">
      <formula>"Extremo"</formula>
    </cfRule>
    <cfRule type="cellIs" dxfId="435" priority="201" operator="equal">
      <formula>"Alto"</formula>
    </cfRule>
    <cfRule type="cellIs" dxfId="434" priority="202" operator="equal">
      <formula>"Moderado"</formula>
    </cfRule>
    <cfRule type="cellIs" dxfId="433" priority="203" operator="equal">
      <formula>"Bajo"</formula>
    </cfRule>
  </conditionalFormatting>
  <conditionalFormatting sqref="AF19:AF24">
    <cfRule type="cellIs" dxfId="432" priority="195" operator="equal">
      <formula>"Muy Alta"</formula>
    </cfRule>
    <cfRule type="cellIs" dxfId="431" priority="196" operator="equal">
      <formula>"Alta"</formula>
    </cfRule>
    <cfRule type="cellIs" dxfId="430" priority="197" operator="equal">
      <formula>"Media"</formula>
    </cfRule>
    <cfRule type="cellIs" dxfId="429" priority="198" operator="equal">
      <formula>"Baja"</formula>
    </cfRule>
    <cfRule type="cellIs" dxfId="428" priority="199" operator="equal">
      <formula>"Muy Baja"</formula>
    </cfRule>
  </conditionalFormatting>
  <conditionalFormatting sqref="AH19:AH24">
    <cfRule type="cellIs" dxfId="427" priority="190" operator="equal">
      <formula>"Catastrófico"</formula>
    </cfRule>
    <cfRule type="cellIs" dxfId="426" priority="191" operator="equal">
      <formula>"Mayor"</formula>
    </cfRule>
    <cfRule type="cellIs" dxfId="425" priority="192" operator="equal">
      <formula>"Moderado"</formula>
    </cfRule>
    <cfRule type="cellIs" dxfId="424" priority="193" operator="equal">
      <formula>"Menor"</formula>
    </cfRule>
    <cfRule type="cellIs" dxfId="423" priority="194" operator="equal">
      <formula>"Leve"</formula>
    </cfRule>
  </conditionalFormatting>
  <conditionalFormatting sqref="AJ19:AJ24">
    <cfRule type="cellIs" dxfId="422" priority="186" operator="equal">
      <formula>"Extremo"</formula>
    </cfRule>
    <cfRule type="cellIs" dxfId="421" priority="187" operator="equal">
      <formula>"Alto"</formula>
    </cfRule>
    <cfRule type="cellIs" dxfId="420" priority="188" operator="equal">
      <formula>"Moderado"</formula>
    </cfRule>
    <cfRule type="cellIs" dxfId="419" priority="189" operator="equal">
      <formula>"Bajo"</formula>
    </cfRule>
  </conditionalFormatting>
  <conditionalFormatting sqref="O25">
    <cfRule type="cellIs" dxfId="418" priority="181" operator="equal">
      <formula>"Muy Alta"</formula>
    </cfRule>
    <cfRule type="cellIs" dxfId="417" priority="182" operator="equal">
      <formula>"Alta"</formula>
    </cfRule>
    <cfRule type="cellIs" dxfId="416" priority="183" operator="equal">
      <formula>"Media"</formula>
    </cfRule>
    <cfRule type="cellIs" dxfId="415" priority="184" operator="equal">
      <formula>"Baja"</formula>
    </cfRule>
    <cfRule type="cellIs" dxfId="414" priority="185" operator="equal">
      <formula>"Muy Baja"</formula>
    </cfRule>
  </conditionalFormatting>
  <conditionalFormatting sqref="U25">
    <cfRule type="cellIs" dxfId="413" priority="177" operator="equal">
      <formula>"Extremo"</formula>
    </cfRule>
    <cfRule type="cellIs" dxfId="412" priority="178" operator="equal">
      <formula>"Alto"</formula>
    </cfRule>
    <cfRule type="cellIs" dxfId="411" priority="179" operator="equal">
      <formula>"Moderado"</formula>
    </cfRule>
    <cfRule type="cellIs" dxfId="410" priority="180" operator="equal">
      <formula>"Bajo"</formula>
    </cfRule>
  </conditionalFormatting>
  <conditionalFormatting sqref="AF25:AF30">
    <cfRule type="cellIs" dxfId="409" priority="172" operator="equal">
      <formula>"Muy Alta"</formula>
    </cfRule>
    <cfRule type="cellIs" dxfId="408" priority="173" operator="equal">
      <formula>"Alta"</formula>
    </cfRule>
    <cfRule type="cellIs" dxfId="407" priority="174" operator="equal">
      <formula>"Media"</formula>
    </cfRule>
    <cfRule type="cellIs" dxfId="406" priority="175" operator="equal">
      <formula>"Baja"</formula>
    </cfRule>
    <cfRule type="cellIs" dxfId="405" priority="176" operator="equal">
      <formula>"Muy Baja"</formula>
    </cfRule>
  </conditionalFormatting>
  <conditionalFormatting sqref="AH25:AH30">
    <cfRule type="cellIs" dxfId="404" priority="167" operator="equal">
      <formula>"Catastrófico"</formula>
    </cfRule>
    <cfRule type="cellIs" dxfId="403" priority="168" operator="equal">
      <formula>"Mayor"</formula>
    </cfRule>
    <cfRule type="cellIs" dxfId="402" priority="169" operator="equal">
      <formula>"Moderado"</formula>
    </cfRule>
    <cfRule type="cellIs" dxfId="401" priority="170" operator="equal">
      <formula>"Menor"</formula>
    </cfRule>
    <cfRule type="cellIs" dxfId="400" priority="171" operator="equal">
      <formula>"Leve"</formula>
    </cfRule>
  </conditionalFormatting>
  <conditionalFormatting sqref="AJ25:AJ30">
    <cfRule type="cellIs" dxfId="399" priority="163" operator="equal">
      <formula>"Extremo"</formula>
    </cfRule>
    <cfRule type="cellIs" dxfId="398" priority="164" operator="equal">
      <formula>"Alto"</formula>
    </cfRule>
    <cfRule type="cellIs" dxfId="397" priority="165" operator="equal">
      <formula>"Moderado"</formula>
    </cfRule>
    <cfRule type="cellIs" dxfId="396" priority="166" operator="equal">
      <formula>"Bajo"</formula>
    </cfRule>
  </conditionalFormatting>
  <conditionalFormatting sqref="O31">
    <cfRule type="cellIs" dxfId="395" priority="158" operator="equal">
      <formula>"Muy Alta"</formula>
    </cfRule>
    <cfRule type="cellIs" dxfId="394" priority="159" operator="equal">
      <formula>"Alta"</formula>
    </cfRule>
    <cfRule type="cellIs" dxfId="393" priority="160" operator="equal">
      <formula>"Media"</formula>
    </cfRule>
    <cfRule type="cellIs" dxfId="392" priority="161" operator="equal">
      <formula>"Baja"</formula>
    </cfRule>
    <cfRule type="cellIs" dxfId="391" priority="162" operator="equal">
      <formula>"Muy Baja"</formula>
    </cfRule>
  </conditionalFormatting>
  <conditionalFormatting sqref="U31">
    <cfRule type="cellIs" dxfId="390" priority="154" operator="equal">
      <formula>"Extremo"</formula>
    </cfRule>
    <cfRule type="cellIs" dxfId="389" priority="155" operator="equal">
      <formula>"Alto"</formula>
    </cfRule>
    <cfRule type="cellIs" dxfId="388" priority="156" operator="equal">
      <formula>"Moderado"</formula>
    </cfRule>
    <cfRule type="cellIs" dxfId="387" priority="157" operator="equal">
      <formula>"Bajo"</formula>
    </cfRule>
  </conditionalFormatting>
  <conditionalFormatting sqref="AF31:AF36">
    <cfRule type="cellIs" dxfId="386" priority="149" operator="equal">
      <formula>"Muy Alta"</formula>
    </cfRule>
    <cfRule type="cellIs" dxfId="385" priority="150" operator="equal">
      <formula>"Alta"</formula>
    </cfRule>
    <cfRule type="cellIs" dxfId="384" priority="151" operator="equal">
      <formula>"Media"</formula>
    </cfRule>
    <cfRule type="cellIs" dxfId="383" priority="152" operator="equal">
      <formula>"Baja"</formula>
    </cfRule>
    <cfRule type="cellIs" dxfId="382" priority="153" operator="equal">
      <formula>"Muy Baja"</formula>
    </cfRule>
  </conditionalFormatting>
  <conditionalFormatting sqref="AH31:AH36">
    <cfRule type="cellIs" dxfId="381" priority="144" operator="equal">
      <formula>"Catastrófico"</formula>
    </cfRule>
    <cfRule type="cellIs" dxfId="380" priority="145" operator="equal">
      <formula>"Mayor"</formula>
    </cfRule>
    <cfRule type="cellIs" dxfId="379" priority="146" operator="equal">
      <formula>"Moderado"</formula>
    </cfRule>
    <cfRule type="cellIs" dxfId="378" priority="147" operator="equal">
      <formula>"Menor"</formula>
    </cfRule>
    <cfRule type="cellIs" dxfId="377" priority="148" operator="equal">
      <formula>"Leve"</formula>
    </cfRule>
  </conditionalFormatting>
  <conditionalFormatting sqref="AJ31:AJ36">
    <cfRule type="cellIs" dxfId="376" priority="140" operator="equal">
      <formula>"Extremo"</formula>
    </cfRule>
    <cfRule type="cellIs" dxfId="375" priority="141" operator="equal">
      <formula>"Alto"</formula>
    </cfRule>
    <cfRule type="cellIs" dxfId="374" priority="142" operator="equal">
      <formula>"Moderado"</formula>
    </cfRule>
    <cfRule type="cellIs" dxfId="373" priority="143" operator="equal">
      <formula>"Bajo"</formula>
    </cfRule>
  </conditionalFormatting>
  <conditionalFormatting sqref="O37">
    <cfRule type="cellIs" dxfId="372" priority="135" operator="equal">
      <formula>"Muy Alta"</formula>
    </cfRule>
    <cfRule type="cellIs" dxfId="371" priority="136" operator="equal">
      <formula>"Alta"</formula>
    </cfRule>
    <cfRule type="cellIs" dxfId="370" priority="137" operator="equal">
      <formula>"Media"</formula>
    </cfRule>
    <cfRule type="cellIs" dxfId="369" priority="138" operator="equal">
      <formula>"Baja"</formula>
    </cfRule>
    <cfRule type="cellIs" dxfId="368" priority="139" operator="equal">
      <formula>"Muy Baja"</formula>
    </cfRule>
  </conditionalFormatting>
  <conditionalFormatting sqref="U37">
    <cfRule type="cellIs" dxfId="367" priority="131" operator="equal">
      <formula>"Extremo"</formula>
    </cfRule>
    <cfRule type="cellIs" dxfId="366" priority="132" operator="equal">
      <formula>"Alto"</formula>
    </cfRule>
    <cfRule type="cellIs" dxfId="365" priority="133" operator="equal">
      <formula>"Moderado"</formula>
    </cfRule>
    <cfRule type="cellIs" dxfId="364" priority="134" operator="equal">
      <formula>"Bajo"</formula>
    </cfRule>
  </conditionalFormatting>
  <conditionalFormatting sqref="AF37:AF42">
    <cfRule type="cellIs" dxfId="363" priority="126" operator="equal">
      <formula>"Muy Alta"</formula>
    </cfRule>
    <cfRule type="cellIs" dxfId="362" priority="127" operator="equal">
      <formula>"Alta"</formula>
    </cfRule>
    <cfRule type="cellIs" dxfId="361" priority="128" operator="equal">
      <formula>"Media"</formula>
    </cfRule>
    <cfRule type="cellIs" dxfId="360" priority="129" operator="equal">
      <formula>"Baja"</formula>
    </cfRule>
    <cfRule type="cellIs" dxfId="359" priority="130" operator="equal">
      <formula>"Muy Baja"</formula>
    </cfRule>
  </conditionalFormatting>
  <conditionalFormatting sqref="AH37:AH42">
    <cfRule type="cellIs" dxfId="358" priority="121" operator="equal">
      <formula>"Catastrófico"</formula>
    </cfRule>
    <cfRule type="cellIs" dxfId="357" priority="122" operator="equal">
      <formula>"Mayor"</formula>
    </cfRule>
    <cfRule type="cellIs" dxfId="356" priority="123" operator="equal">
      <formula>"Moderado"</formula>
    </cfRule>
    <cfRule type="cellIs" dxfId="355" priority="124" operator="equal">
      <formula>"Menor"</formula>
    </cfRule>
    <cfRule type="cellIs" dxfId="354" priority="125" operator="equal">
      <formula>"Leve"</formula>
    </cfRule>
  </conditionalFormatting>
  <conditionalFormatting sqref="AJ37:AJ42">
    <cfRule type="cellIs" dxfId="353" priority="117" operator="equal">
      <formula>"Extremo"</formula>
    </cfRule>
    <cfRule type="cellIs" dxfId="352" priority="118" operator="equal">
      <formula>"Alto"</formula>
    </cfRule>
    <cfRule type="cellIs" dxfId="351" priority="119" operator="equal">
      <formula>"Moderado"</formula>
    </cfRule>
    <cfRule type="cellIs" dxfId="350" priority="120" operator="equal">
      <formula>"Bajo"</formula>
    </cfRule>
  </conditionalFormatting>
  <conditionalFormatting sqref="O43">
    <cfRule type="cellIs" dxfId="349" priority="112" operator="equal">
      <formula>"Muy Alta"</formula>
    </cfRule>
    <cfRule type="cellIs" dxfId="348" priority="113" operator="equal">
      <formula>"Alta"</formula>
    </cfRule>
    <cfRule type="cellIs" dxfId="347" priority="114" operator="equal">
      <formula>"Media"</formula>
    </cfRule>
    <cfRule type="cellIs" dxfId="346" priority="115" operator="equal">
      <formula>"Baja"</formula>
    </cfRule>
    <cfRule type="cellIs" dxfId="345" priority="116" operator="equal">
      <formula>"Muy Baja"</formula>
    </cfRule>
  </conditionalFormatting>
  <conditionalFormatting sqref="U43">
    <cfRule type="cellIs" dxfId="344" priority="108" operator="equal">
      <formula>"Extremo"</formula>
    </cfRule>
    <cfRule type="cellIs" dxfId="343" priority="109" operator="equal">
      <formula>"Alto"</formula>
    </cfRule>
    <cfRule type="cellIs" dxfId="342" priority="110" operator="equal">
      <formula>"Moderado"</formula>
    </cfRule>
    <cfRule type="cellIs" dxfId="341" priority="111" operator="equal">
      <formula>"Bajo"</formula>
    </cfRule>
  </conditionalFormatting>
  <conditionalFormatting sqref="AF43:AF48">
    <cfRule type="cellIs" dxfId="340" priority="103" operator="equal">
      <formula>"Muy Alta"</formula>
    </cfRule>
    <cfRule type="cellIs" dxfId="339" priority="104" operator="equal">
      <formula>"Alta"</formula>
    </cfRule>
    <cfRule type="cellIs" dxfId="338" priority="105" operator="equal">
      <formula>"Media"</formula>
    </cfRule>
    <cfRule type="cellIs" dxfId="337" priority="106" operator="equal">
      <formula>"Baja"</formula>
    </cfRule>
    <cfRule type="cellIs" dxfId="336" priority="107" operator="equal">
      <formula>"Muy Baja"</formula>
    </cfRule>
  </conditionalFormatting>
  <conditionalFormatting sqref="AH43:AH48">
    <cfRule type="cellIs" dxfId="335" priority="98" operator="equal">
      <formula>"Catastrófico"</formula>
    </cfRule>
    <cfRule type="cellIs" dxfId="334" priority="99" operator="equal">
      <formula>"Mayor"</formula>
    </cfRule>
    <cfRule type="cellIs" dxfId="333" priority="100" operator="equal">
      <formula>"Moderado"</formula>
    </cfRule>
    <cfRule type="cellIs" dxfId="332" priority="101" operator="equal">
      <formula>"Menor"</formula>
    </cfRule>
    <cfRule type="cellIs" dxfId="331" priority="102" operator="equal">
      <formula>"Leve"</formula>
    </cfRule>
  </conditionalFormatting>
  <conditionalFormatting sqref="AJ43:AJ48">
    <cfRule type="cellIs" dxfId="330" priority="94" operator="equal">
      <formula>"Extremo"</formula>
    </cfRule>
    <cfRule type="cellIs" dxfId="329" priority="95" operator="equal">
      <formula>"Alto"</formula>
    </cfRule>
    <cfRule type="cellIs" dxfId="328" priority="96" operator="equal">
      <formula>"Moderado"</formula>
    </cfRule>
    <cfRule type="cellIs" dxfId="327" priority="97" operator="equal">
      <formula>"Bajo"</formula>
    </cfRule>
  </conditionalFormatting>
  <conditionalFormatting sqref="O49">
    <cfRule type="cellIs" dxfId="326" priority="89" operator="equal">
      <formula>"Muy Alta"</formula>
    </cfRule>
    <cfRule type="cellIs" dxfId="325" priority="90" operator="equal">
      <formula>"Alta"</formula>
    </cfRule>
    <cfRule type="cellIs" dxfId="324" priority="91" operator="equal">
      <formula>"Media"</formula>
    </cfRule>
    <cfRule type="cellIs" dxfId="323" priority="92" operator="equal">
      <formula>"Baja"</formula>
    </cfRule>
    <cfRule type="cellIs" dxfId="322" priority="93" operator="equal">
      <formula>"Muy Baja"</formula>
    </cfRule>
  </conditionalFormatting>
  <conditionalFormatting sqref="U49">
    <cfRule type="cellIs" dxfId="321" priority="85" operator="equal">
      <formula>"Extremo"</formula>
    </cfRule>
    <cfRule type="cellIs" dxfId="320" priority="86" operator="equal">
      <formula>"Alto"</formula>
    </cfRule>
    <cfRule type="cellIs" dxfId="319" priority="87" operator="equal">
      <formula>"Moderado"</formula>
    </cfRule>
    <cfRule type="cellIs" dxfId="318" priority="88" operator="equal">
      <formula>"Bajo"</formula>
    </cfRule>
  </conditionalFormatting>
  <conditionalFormatting sqref="AF49:AF54">
    <cfRule type="cellIs" dxfId="317" priority="80" operator="equal">
      <formula>"Muy Alta"</formula>
    </cfRule>
    <cfRule type="cellIs" dxfId="316" priority="81" operator="equal">
      <formula>"Alta"</formula>
    </cfRule>
    <cfRule type="cellIs" dxfId="315" priority="82" operator="equal">
      <formula>"Media"</formula>
    </cfRule>
    <cfRule type="cellIs" dxfId="314" priority="83" operator="equal">
      <formula>"Baja"</formula>
    </cfRule>
    <cfRule type="cellIs" dxfId="313" priority="84" operator="equal">
      <formula>"Muy Baja"</formula>
    </cfRule>
  </conditionalFormatting>
  <conditionalFormatting sqref="AH49:AH54">
    <cfRule type="cellIs" dxfId="312" priority="75" operator="equal">
      <formula>"Catastrófico"</formula>
    </cfRule>
    <cfRule type="cellIs" dxfId="311" priority="76" operator="equal">
      <formula>"Mayor"</formula>
    </cfRule>
    <cfRule type="cellIs" dxfId="310" priority="77" operator="equal">
      <formula>"Moderado"</formula>
    </cfRule>
    <cfRule type="cellIs" dxfId="309" priority="78" operator="equal">
      <formula>"Menor"</formula>
    </cfRule>
    <cfRule type="cellIs" dxfId="308" priority="79" operator="equal">
      <formula>"Leve"</formula>
    </cfRule>
  </conditionalFormatting>
  <conditionalFormatting sqref="AJ49:AJ54">
    <cfRule type="cellIs" dxfId="307" priority="71" operator="equal">
      <formula>"Extremo"</formula>
    </cfRule>
    <cfRule type="cellIs" dxfId="306" priority="72" operator="equal">
      <formula>"Alto"</formula>
    </cfRule>
    <cfRule type="cellIs" dxfId="305" priority="73" operator="equal">
      <formula>"Moderado"</formula>
    </cfRule>
    <cfRule type="cellIs" dxfId="304" priority="74" operator="equal">
      <formula>"Bajo"</formula>
    </cfRule>
  </conditionalFormatting>
  <conditionalFormatting sqref="U55">
    <cfRule type="cellIs" dxfId="303" priority="67" operator="equal">
      <formula>"Extremo"</formula>
    </cfRule>
    <cfRule type="cellIs" dxfId="302" priority="68" operator="equal">
      <formula>"Alto"</formula>
    </cfRule>
    <cfRule type="cellIs" dxfId="301" priority="69" operator="equal">
      <formula>"Moderado"</formula>
    </cfRule>
    <cfRule type="cellIs" dxfId="300" priority="70" operator="equal">
      <formula>"Bajo"</formula>
    </cfRule>
  </conditionalFormatting>
  <conditionalFormatting sqref="AF55:AF60">
    <cfRule type="cellIs" dxfId="299" priority="62" operator="equal">
      <formula>"Muy Alta"</formula>
    </cfRule>
    <cfRule type="cellIs" dxfId="298" priority="63" operator="equal">
      <formula>"Alta"</formula>
    </cfRule>
    <cfRule type="cellIs" dxfId="297" priority="64" operator="equal">
      <formula>"Media"</formula>
    </cfRule>
    <cfRule type="cellIs" dxfId="296" priority="65" operator="equal">
      <formula>"Baja"</formula>
    </cfRule>
    <cfRule type="cellIs" dxfId="295" priority="66" operator="equal">
      <formula>"Muy Baja"</formula>
    </cfRule>
  </conditionalFormatting>
  <conditionalFormatting sqref="AH55:AH60">
    <cfRule type="cellIs" dxfId="294" priority="57" operator="equal">
      <formula>"Catastrófico"</formula>
    </cfRule>
    <cfRule type="cellIs" dxfId="293" priority="58" operator="equal">
      <formula>"Mayor"</formula>
    </cfRule>
    <cfRule type="cellIs" dxfId="292" priority="59" operator="equal">
      <formula>"Moderado"</formula>
    </cfRule>
    <cfRule type="cellIs" dxfId="291" priority="60" operator="equal">
      <formula>"Menor"</formula>
    </cfRule>
    <cfRule type="cellIs" dxfId="290" priority="61" operator="equal">
      <formula>"Leve"</formula>
    </cfRule>
  </conditionalFormatting>
  <conditionalFormatting sqref="AJ55:AJ60">
    <cfRule type="cellIs" dxfId="289" priority="53" operator="equal">
      <formula>"Extremo"</formula>
    </cfRule>
    <cfRule type="cellIs" dxfId="288" priority="54" operator="equal">
      <formula>"Alto"</formula>
    </cfRule>
    <cfRule type="cellIs" dxfId="287" priority="55" operator="equal">
      <formula>"Moderado"</formula>
    </cfRule>
    <cfRule type="cellIs" dxfId="286" priority="56" operator="equal">
      <formula>"Bajo"</formula>
    </cfRule>
  </conditionalFormatting>
  <conditionalFormatting sqref="U61">
    <cfRule type="cellIs" dxfId="285" priority="44" operator="equal">
      <formula>"Extremo"</formula>
    </cfRule>
    <cfRule type="cellIs" dxfId="284" priority="45" operator="equal">
      <formula>"Alto"</formula>
    </cfRule>
    <cfRule type="cellIs" dxfId="283" priority="46" operator="equal">
      <formula>"Moderado"</formula>
    </cfRule>
    <cfRule type="cellIs" dxfId="282" priority="47" operator="equal">
      <formula>"Bajo"</formula>
    </cfRule>
  </conditionalFormatting>
  <conditionalFormatting sqref="AF61:AF66">
    <cfRule type="cellIs" dxfId="281" priority="39" operator="equal">
      <formula>"Muy Alta"</formula>
    </cfRule>
    <cfRule type="cellIs" dxfId="280" priority="40" operator="equal">
      <formula>"Alta"</formula>
    </cfRule>
    <cfRule type="cellIs" dxfId="279" priority="41" operator="equal">
      <formula>"Media"</formula>
    </cfRule>
    <cfRule type="cellIs" dxfId="278" priority="42" operator="equal">
      <formula>"Baja"</formula>
    </cfRule>
    <cfRule type="cellIs" dxfId="277" priority="43" operator="equal">
      <formula>"Muy Baja"</formula>
    </cfRule>
  </conditionalFormatting>
  <conditionalFormatting sqref="AH61:AH66">
    <cfRule type="cellIs" dxfId="276" priority="34" operator="equal">
      <formula>"Catastrófico"</formula>
    </cfRule>
    <cfRule type="cellIs" dxfId="275" priority="35" operator="equal">
      <formula>"Mayor"</formula>
    </cfRule>
    <cfRule type="cellIs" dxfId="274" priority="36" operator="equal">
      <formula>"Moderado"</formula>
    </cfRule>
    <cfRule type="cellIs" dxfId="273" priority="37" operator="equal">
      <formula>"Menor"</formula>
    </cfRule>
    <cfRule type="cellIs" dxfId="272" priority="38" operator="equal">
      <formula>"Leve"</formula>
    </cfRule>
  </conditionalFormatting>
  <conditionalFormatting sqref="AJ61:AJ66">
    <cfRule type="cellIs" dxfId="271" priority="30" operator="equal">
      <formula>"Extremo"</formula>
    </cfRule>
    <cfRule type="cellIs" dxfId="270" priority="31" operator="equal">
      <formula>"Alto"</formula>
    </cfRule>
    <cfRule type="cellIs" dxfId="269" priority="32" operator="equal">
      <formula>"Moderado"</formula>
    </cfRule>
    <cfRule type="cellIs" dxfId="268" priority="33" operator="equal">
      <formula>"Bajo"</formula>
    </cfRule>
  </conditionalFormatting>
  <conditionalFormatting sqref="O67">
    <cfRule type="cellIs" dxfId="267" priority="25" operator="equal">
      <formula>"Muy Alta"</formula>
    </cfRule>
    <cfRule type="cellIs" dxfId="266" priority="26" operator="equal">
      <formula>"Alta"</formula>
    </cfRule>
    <cfRule type="cellIs" dxfId="265" priority="27" operator="equal">
      <formula>"Media"</formula>
    </cfRule>
    <cfRule type="cellIs" dxfId="264" priority="28" operator="equal">
      <formula>"Baja"</formula>
    </cfRule>
    <cfRule type="cellIs" dxfId="263" priority="29" operator="equal">
      <formula>"Muy Baja"</formula>
    </cfRule>
  </conditionalFormatting>
  <conditionalFormatting sqref="U67">
    <cfRule type="cellIs" dxfId="262" priority="21" operator="equal">
      <formula>"Extremo"</formula>
    </cfRule>
    <cfRule type="cellIs" dxfId="261" priority="22" operator="equal">
      <formula>"Alto"</formula>
    </cfRule>
    <cfRule type="cellIs" dxfId="260" priority="23" operator="equal">
      <formula>"Moderado"</formula>
    </cfRule>
    <cfRule type="cellIs" dxfId="259" priority="24" operator="equal">
      <formula>"Bajo"</formula>
    </cfRule>
  </conditionalFormatting>
  <conditionalFormatting sqref="AF67:AF72">
    <cfRule type="cellIs" dxfId="258" priority="16" operator="equal">
      <formula>"Muy Alta"</formula>
    </cfRule>
    <cfRule type="cellIs" dxfId="257" priority="17" operator="equal">
      <formula>"Alta"</formula>
    </cfRule>
    <cfRule type="cellIs" dxfId="256" priority="18" operator="equal">
      <formula>"Media"</formula>
    </cfRule>
    <cfRule type="cellIs" dxfId="255" priority="19" operator="equal">
      <formula>"Baja"</formula>
    </cfRule>
    <cfRule type="cellIs" dxfId="254" priority="20" operator="equal">
      <formula>"Muy Baja"</formula>
    </cfRule>
  </conditionalFormatting>
  <conditionalFormatting sqref="AH67:AH72">
    <cfRule type="cellIs" dxfId="253" priority="11" operator="equal">
      <formula>"Catastrófico"</formula>
    </cfRule>
    <cfRule type="cellIs" dxfId="252" priority="12" operator="equal">
      <formula>"Mayor"</formula>
    </cfRule>
    <cfRule type="cellIs" dxfId="251" priority="13" operator="equal">
      <formula>"Moderado"</formula>
    </cfRule>
    <cfRule type="cellIs" dxfId="250" priority="14" operator="equal">
      <formula>"Menor"</formula>
    </cfRule>
    <cfRule type="cellIs" dxfId="249" priority="15" operator="equal">
      <formula>"Leve"</formula>
    </cfRule>
  </conditionalFormatting>
  <conditionalFormatting sqref="AJ67:AJ72">
    <cfRule type="cellIs" dxfId="248" priority="7" operator="equal">
      <formula>"Extremo"</formula>
    </cfRule>
    <cfRule type="cellIs" dxfId="247" priority="8" operator="equal">
      <formula>"Alto"</formula>
    </cfRule>
    <cfRule type="cellIs" dxfId="246" priority="9" operator="equal">
      <formula>"Moderado"</formula>
    </cfRule>
    <cfRule type="cellIs" dxfId="245" priority="10" operator="equal">
      <formula>"Bajo"</formula>
    </cfRule>
  </conditionalFormatting>
  <conditionalFormatting sqref="R13:R72">
    <cfRule type="containsText" dxfId="244" priority="6" operator="containsText" text="❌">
      <formula>NOT(ISERROR(SEARCH("❌",R13)))</formula>
    </cfRule>
  </conditionalFormatting>
  <conditionalFormatting sqref="O55">
    <cfRule type="cellIs" dxfId="243" priority="1" operator="equal">
      <formula>"Muy Alta"</formula>
    </cfRule>
    <cfRule type="cellIs" dxfId="242" priority="2" operator="equal">
      <formula>"Alta"</formula>
    </cfRule>
    <cfRule type="cellIs" dxfId="241" priority="3" operator="equal">
      <formula>"Media"</formula>
    </cfRule>
    <cfRule type="cellIs" dxfId="240" priority="4" operator="equal">
      <formula>"Baja"</formula>
    </cfRule>
    <cfRule type="cellIs" dxfId="239"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1" manualBreakCount="1">
    <brk id="30" max="43" man="1"/>
  </rowBreaks>
  <colBreaks count="1" manualBreakCount="1">
    <brk id="20" min="3" max="65" man="1"/>
  </col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600-000000000000}">
          <x14:formula1>
            <xm:f>Listas!$H$14:$H$18</xm:f>
          </x14:formula1>
          <xm:sqref>M13:M72</xm:sqref>
        </x14:dataValidation>
        <x14:dataValidation type="list" allowBlank="1" showInputMessage="1" showErrorMessage="1" xr:uid="{00000000-0002-0000-0600-000001000000}">
          <x14:formula1>
            <xm:f>Listas!$H$8:$H$12</xm:f>
          </x14:formula1>
          <xm:sqref>L13:L72</xm:sqref>
        </x14:dataValidation>
        <x14:dataValidation type="list" allowBlank="1" showInputMessage="1" showErrorMessage="1" xr:uid="{00000000-0002-0000-0600-000002000000}">
          <x14:formula1>
            <xm:f>Intructivo!$C$300:$C$316</xm:f>
          </x14:formula1>
          <xm:sqref>C6 T6:V6</xm:sqref>
        </x14:dataValidation>
        <x14:dataValidation type="list" allowBlank="1" showInputMessage="1" showErrorMessage="1" xr:uid="{00000000-0002-0000-0600-000003000000}">
          <x14:formula1>
            <xm:f>Listas!$F$8:$F$9</xm:f>
          </x14:formula1>
          <xm:sqref>G13:G72</xm:sqref>
        </x14:dataValidation>
        <x14:dataValidation type="list" allowBlank="1" showInputMessage="1" showErrorMessage="1" xr:uid="{00000000-0002-0000-0600-000004000000}">
          <x14:formula1>
            <xm:f>Listas!$B$17:$B$19</xm:f>
          </x14:formula1>
          <xm:sqref>F13:F72</xm:sqref>
        </x14:dataValidation>
        <x14:dataValidation type="custom" allowBlank="1" showInputMessage="1" showErrorMessage="1" error="Recuerde que las acciones se generan bajo la medida de mitigar el riesgo" xr:uid="{00000000-0002-0000-0600-000005000000}">
          <x14:formula1>
            <xm:f>IF(OR(#REF!=Listas!$B$2,#REF!=Listas!$B$3,#REF!=Listas!$B$4),ISBLANK(#REF!),ISTEXT(#REF!))</xm:f>
          </x14:formula1>
          <xm:sqref>AP19:AR19 AP67:AR67 AP61:AR61 AP55:AR55 AP49:AR49 AP43:AR43 AP37:AR37 AP31:AR31 AP25:AR25</xm:sqref>
        </x14:dataValidation>
        <x14:dataValidation type="list" allowBlank="1" showInputMessage="1" showErrorMessage="1" xr:uid="{00000000-0002-0000-0600-000006000000}">
          <x14:formula1>
            <xm:f>Listas!$B$2:$B$5</xm:f>
          </x14:formula1>
          <xm:sqref>AK13:AK72</xm:sqref>
        </x14:dataValidation>
        <x14:dataValidation type="list" allowBlank="1" showInputMessage="1" showErrorMessage="1" xr:uid="{00000000-0002-0000-0600-000007000000}">
          <x14:formula1>
            <xm:f>Listas!$E$2:$E$4</xm:f>
          </x14:formula1>
          <xm:sqref>B13:B72</xm:sqref>
        </x14:dataValidation>
        <x14:dataValidation type="list" allowBlank="1" showInputMessage="1" showErrorMessage="1" xr:uid="{00000000-0002-0000-0600-000008000000}">
          <x14:formula1>
            <xm:f>'Tabla Valoración controles'!$D$13:$D$14</xm:f>
          </x14:formula1>
          <xm:sqref>AD13:AD72</xm:sqref>
        </x14:dataValidation>
        <x14:dataValidation type="list" allowBlank="1" showInputMessage="1" showErrorMessage="1" xr:uid="{00000000-0002-0000-0600-000009000000}">
          <x14:formula1>
            <xm:f>'Tabla Valoración controles'!$D$11:$D$12</xm:f>
          </x14:formula1>
          <xm:sqref>AC13:AC72</xm:sqref>
        </x14:dataValidation>
        <x14:dataValidation type="list" allowBlank="1" showInputMessage="1" showErrorMessage="1" xr:uid="{00000000-0002-0000-0600-00000A000000}">
          <x14:formula1>
            <xm:f>'Tabla Valoración controles'!$D$9:$D$10</xm:f>
          </x14:formula1>
          <xm:sqref>AB13:AB72</xm:sqref>
        </x14:dataValidation>
        <x14:dataValidation type="list" allowBlank="1" showInputMessage="1" showErrorMessage="1" xr:uid="{00000000-0002-0000-0600-00000B000000}">
          <x14:formula1>
            <xm:f>'Tabla Valoración controles'!$D$7:$D$8</xm:f>
          </x14:formula1>
          <xm:sqref>Z13:Z72</xm:sqref>
        </x14:dataValidation>
        <x14:dataValidation type="list" allowBlank="1" showInputMessage="1" showErrorMessage="1" xr:uid="{00000000-0002-0000-0600-00000C000000}">
          <x14:formula1>
            <xm:f>'Tabla Valoración controles'!$D$4:$D$6</xm:f>
          </x14:formula1>
          <xm:sqref>Y13:Y72</xm:sqref>
        </x14:dataValidation>
        <x14:dataValidation type="list" allowBlank="1" showInputMessage="1" showErrorMessage="1" xr:uid="{00000000-0002-0000-0600-00000D000000}">
          <x14:formula1>
            <xm:f>'Tabla Impacto'!$F$220:$F$222</xm:f>
          </x14:formula1>
          <xm:sqref>Q13:Q72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29"/>
  <sheetViews>
    <sheetView topLeftCell="A13" zoomScaleNormal="100" zoomScaleSheetLayoutView="90" workbookViewId="0">
      <selection activeCell="E24" sqref="E24:F24"/>
    </sheetView>
  </sheetViews>
  <sheetFormatPr baseColWidth="10" defaultColWidth="11.42578125" defaultRowHeight="14.25" x14ac:dyDescent="0.25"/>
  <cols>
    <col min="1" max="1" width="2.140625" style="148" customWidth="1"/>
    <col min="2" max="2" width="11.42578125" style="148"/>
    <col min="3" max="3" width="34.28515625" style="148" customWidth="1"/>
    <col min="4" max="4" width="36.42578125" style="148" customWidth="1"/>
    <col min="5" max="6" width="13.85546875" style="148" customWidth="1"/>
    <col min="7" max="7" width="1.28515625" style="148" customWidth="1"/>
    <col min="8" max="16384" width="11.42578125" style="148"/>
  </cols>
  <sheetData>
    <row r="1" spans="2:6" ht="11.25" customHeight="1" thickBot="1" x14ac:dyDescent="0.3"/>
    <row r="2" spans="2:6" ht="18.75" customHeight="1" thickBot="1" x14ac:dyDescent="0.3">
      <c r="B2" s="528" t="s">
        <v>282</v>
      </c>
      <c r="C2" s="529"/>
      <c r="D2" s="529"/>
      <c r="E2" s="529"/>
      <c r="F2" s="530"/>
    </row>
    <row r="3" spans="2:6" ht="31.9" customHeight="1" x14ac:dyDescent="0.25">
      <c r="B3" s="531" t="s">
        <v>283</v>
      </c>
      <c r="C3" s="533" t="s">
        <v>284</v>
      </c>
      <c r="D3" s="533"/>
      <c r="E3" s="533" t="s">
        <v>285</v>
      </c>
      <c r="F3" s="535"/>
    </row>
    <row r="4" spans="2:6" ht="28.15" customHeight="1" thickBot="1" x14ac:dyDescent="0.3">
      <c r="B4" s="532"/>
      <c r="C4" s="534"/>
      <c r="D4" s="534"/>
      <c r="E4" s="156" t="s">
        <v>286</v>
      </c>
      <c r="F4" s="157" t="s">
        <v>287</v>
      </c>
    </row>
    <row r="5" spans="2:6" ht="23.25" customHeight="1" x14ac:dyDescent="0.25">
      <c r="B5" s="149">
        <v>1</v>
      </c>
      <c r="C5" s="536" t="s">
        <v>288</v>
      </c>
      <c r="D5" s="536"/>
      <c r="E5" s="256" t="s">
        <v>435</v>
      </c>
      <c r="F5" s="257"/>
    </row>
    <row r="6" spans="2:6" ht="33" customHeight="1" x14ac:dyDescent="0.25">
      <c r="B6" s="150">
        <v>2</v>
      </c>
      <c r="C6" s="527" t="s">
        <v>289</v>
      </c>
      <c r="D6" s="527"/>
      <c r="E6" s="258" t="s">
        <v>435</v>
      </c>
      <c r="F6" s="259"/>
    </row>
    <row r="7" spans="2:6" ht="39" customHeight="1" x14ac:dyDescent="0.25">
      <c r="B7" s="150">
        <v>3</v>
      </c>
      <c r="C7" s="527" t="s">
        <v>290</v>
      </c>
      <c r="D7" s="527"/>
      <c r="E7" s="258"/>
      <c r="F7" s="259" t="s">
        <v>435</v>
      </c>
    </row>
    <row r="8" spans="2:6" ht="24.75" customHeight="1" x14ac:dyDescent="0.25">
      <c r="B8" s="150">
        <v>4</v>
      </c>
      <c r="C8" s="527" t="s">
        <v>291</v>
      </c>
      <c r="D8" s="527"/>
      <c r="E8" s="258"/>
      <c r="F8" s="259" t="s">
        <v>435</v>
      </c>
    </row>
    <row r="9" spans="2:6" ht="23.25" customHeight="1" x14ac:dyDescent="0.25">
      <c r="B9" s="150">
        <v>5</v>
      </c>
      <c r="C9" s="527" t="s">
        <v>292</v>
      </c>
      <c r="D9" s="527"/>
      <c r="E9" s="258" t="s">
        <v>435</v>
      </c>
      <c r="F9" s="259"/>
    </row>
    <row r="10" spans="2:6" ht="23.25" customHeight="1" x14ac:dyDescent="0.25">
      <c r="B10" s="150">
        <v>6</v>
      </c>
      <c r="C10" s="527" t="s">
        <v>293</v>
      </c>
      <c r="D10" s="527"/>
      <c r="E10" s="258"/>
      <c r="F10" s="259" t="s">
        <v>435</v>
      </c>
    </row>
    <row r="11" spans="2:6" ht="23.25" customHeight="1" x14ac:dyDescent="0.25">
      <c r="B11" s="150">
        <v>7</v>
      </c>
      <c r="C11" s="527" t="s">
        <v>294</v>
      </c>
      <c r="D11" s="527"/>
      <c r="E11" s="258"/>
      <c r="F11" s="259" t="s">
        <v>435</v>
      </c>
    </row>
    <row r="12" spans="2:6" ht="25.5" customHeight="1" x14ac:dyDescent="0.25">
      <c r="B12" s="150">
        <v>8</v>
      </c>
      <c r="C12" s="527" t="s">
        <v>295</v>
      </c>
      <c r="D12" s="527"/>
      <c r="E12" s="258"/>
      <c r="F12" s="259" t="s">
        <v>435</v>
      </c>
    </row>
    <row r="13" spans="2:6" ht="23.25" customHeight="1" x14ac:dyDescent="0.25">
      <c r="B13" s="150">
        <v>9</v>
      </c>
      <c r="C13" s="527" t="s">
        <v>296</v>
      </c>
      <c r="D13" s="527"/>
      <c r="E13" s="258"/>
      <c r="F13" s="259" t="s">
        <v>435</v>
      </c>
    </row>
    <row r="14" spans="2:6" ht="23.25" customHeight="1" x14ac:dyDescent="0.25">
      <c r="B14" s="150">
        <v>10</v>
      </c>
      <c r="C14" s="527" t="s">
        <v>297</v>
      </c>
      <c r="D14" s="527"/>
      <c r="E14" s="258" t="s">
        <v>435</v>
      </c>
      <c r="F14" s="259"/>
    </row>
    <row r="15" spans="2:6" ht="23.25" customHeight="1" x14ac:dyDescent="0.25">
      <c r="B15" s="150">
        <v>11</v>
      </c>
      <c r="C15" s="527" t="s">
        <v>298</v>
      </c>
      <c r="D15" s="527"/>
      <c r="E15" s="258"/>
      <c r="F15" s="259" t="s">
        <v>435</v>
      </c>
    </row>
    <row r="16" spans="2:6" ht="23.25" customHeight="1" x14ac:dyDescent="0.25">
      <c r="B16" s="150">
        <v>12</v>
      </c>
      <c r="C16" s="527" t="s">
        <v>299</v>
      </c>
      <c r="D16" s="527"/>
      <c r="E16" s="258" t="s">
        <v>435</v>
      </c>
      <c r="F16" s="259"/>
    </row>
    <row r="17" spans="2:6" ht="23.25" customHeight="1" x14ac:dyDescent="0.25">
      <c r="B17" s="150">
        <v>13</v>
      </c>
      <c r="C17" s="527" t="s">
        <v>300</v>
      </c>
      <c r="D17" s="527"/>
      <c r="E17" s="258"/>
      <c r="F17" s="259" t="s">
        <v>435</v>
      </c>
    </row>
    <row r="18" spans="2:6" ht="23.25" customHeight="1" x14ac:dyDescent="0.25">
      <c r="B18" s="150">
        <v>14</v>
      </c>
      <c r="C18" s="527" t="s">
        <v>301</v>
      </c>
      <c r="D18" s="527"/>
      <c r="E18" s="258"/>
      <c r="F18" s="259" t="s">
        <v>435</v>
      </c>
    </row>
    <row r="19" spans="2:6" ht="23.25" customHeight="1" x14ac:dyDescent="0.25">
      <c r="B19" s="150">
        <v>15</v>
      </c>
      <c r="C19" s="527" t="s">
        <v>302</v>
      </c>
      <c r="D19" s="527"/>
      <c r="E19" s="258"/>
      <c r="F19" s="259" t="s">
        <v>435</v>
      </c>
    </row>
    <row r="20" spans="2:6" ht="23.25" customHeight="1" x14ac:dyDescent="0.25">
      <c r="B20" s="150">
        <v>16</v>
      </c>
      <c r="C20" s="527" t="s">
        <v>303</v>
      </c>
      <c r="D20" s="527"/>
      <c r="E20" s="258"/>
      <c r="F20" s="259" t="s">
        <v>435</v>
      </c>
    </row>
    <row r="21" spans="2:6" ht="23.25" customHeight="1" x14ac:dyDescent="0.25">
      <c r="B21" s="150">
        <v>17</v>
      </c>
      <c r="C21" s="527" t="s">
        <v>304</v>
      </c>
      <c r="D21" s="527"/>
      <c r="E21" s="258"/>
      <c r="F21" s="259" t="s">
        <v>435</v>
      </c>
    </row>
    <row r="22" spans="2:6" ht="23.25" customHeight="1" x14ac:dyDescent="0.25">
      <c r="B22" s="150">
        <v>18</v>
      </c>
      <c r="C22" s="541" t="s">
        <v>305</v>
      </c>
      <c r="D22" s="541"/>
      <c r="E22" s="258"/>
      <c r="F22" s="259" t="s">
        <v>435</v>
      </c>
    </row>
    <row r="23" spans="2:6" ht="23.25" customHeight="1" thickBot="1" x14ac:dyDescent="0.3">
      <c r="B23" s="150">
        <v>19</v>
      </c>
      <c r="C23" s="527" t="s">
        <v>306</v>
      </c>
      <c r="D23" s="527"/>
      <c r="E23" s="258"/>
      <c r="F23" s="259" t="s">
        <v>435</v>
      </c>
    </row>
    <row r="24" spans="2:6" ht="15.75" customHeight="1" thickBot="1" x14ac:dyDescent="0.3">
      <c r="B24" s="542" t="s">
        <v>307</v>
      </c>
      <c r="C24" s="537"/>
      <c r="D24" s="537"/>
      <c r="E24" s="537">
        <f>COUNTIF(E5:E23,"X")</f>
        <v>5</v>
      </c>
      <c r="F24" s="538"/>
    </row>
    <row r="25" spans="2:6" ht="45.75" customHeight="1" x14ac:dyDescent="0.25">
      <c r="B25" s="539" t="s">
        <v>308</v>
      </c>
      <c r="C25" s="539"/>
      <c r="D25" s="539"/>
      <c r="E25" s="539"/>
      <c r="F25" s="539"/>
    </row>
    <row r="26" spans="2:6" ht="9.75" customHeight="1" x14ac:dyDescent="0.25">
      <c r="B26" s="540"/>
      <c r="C26" s="540"/>
      <c r="D26" s="540"/>
      <c r="E26" s="540"/>
      <c r="F26" s="540"/>
    </row>
    <row r="27" spans="2:6" x14ac:dyDescent="0.25">
      <c r="B27" s="241"/>
    </row>
    <row r="28" spans="2:6" x14ac:dyDescent="0.25">
      <c r="B28" s="241"/>
    </row>
    <row r="29" spans="2:6" x14ac:dyDescent="0.25">
      <c r="B29" s="241"/>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dataValidations count="1">
    <dataValidation type="list" allowBlank="1" showInputMessage="1" showErrorMessage="1" sqref="E5:F23" xr:uid="{00000000-0002-0000-0700-000000000000}">
      <formula1>"X"</formula1>
    </dataValidation>
  </dataValidations>
  <printOptions horizontalCentered="1"/>
  <pageMargins left="0.25" right="0.25" top="0.75" bottom="0.75" header="0.3" footer="0.3"/>
  <pageSetup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JP75"/>
  <sheetViews>
    <sheetView tabSelected="1" zoomScale="70" zoomScaleNormal="70" zoomScaleSheetLayoutView="50" zoomScalePageLayoutView="60" workbookViewId="0">
      <selection activeCell="G19" sqref="G19:G24"/>
    </sheetView>
  </sheetViews>
  <sheetFormatPr baseColWidth="10" defaultColWidth="11.42578125" defaultRowHeight="15" x14ac:dyDescent="0.2"/>
  <cols>
    <col min="1" max="1" width="6.5703125" style="212" customWidth="1"/>
    <col min="2" max="2" width="16" style="212" customWidth="1"/>
    <col min="3" max="3" width="19.140625" style="212" customWidth="1"/>
    <col min="4" max="4" width="25.28515625" style="212" customWidth="1"/>
    <col min="5" max="5" width="40.140625" style="212" customWidth="1"/>
    <col min="6" max="10" width="17.7109375" style="192" customWidth="1"/>
    <col min="11" max="11" width="16" style="192" customWidth="1"/>
    <col min="12" max="12" width="24.28515625" style="192" customWidth="1"/>
    <col min="13" max="14" width="29.42578125" style="192" customWidth="1"/>
    <col min="15" max="15" width="24.28515625" style="192" customWidth="1"/>
    <col min="16" max="16" width="19.42578125" style="192" customWidth="1"/>
    <col min="17" max="17" width="20.5703125" style="192" customWidth="1"/>
    <col min="18" max="18" width="16.7109375" style="213" customWidth="1"/>
    <col min="19" max="19" width="16.7109375" style="192" customWidth="1"/>
    <col min="20" max="20" width="20.42578125" style="192" customWidth="1"/>
    <col min="21" max="21" width="12.85546875" style="192" customWidth="1"/>
    <col min="22" max="22" width="35.85546875" style="192" hidden="1" customWidth="1"/>
    <col min="23" max="23" width="30.5703125" style="192" hidden="1" customWidth="1"/>
    <col min="24" max="24" width="17.5703125" style="192" customWidth="1"/>
    <col min="25" max="25" width="15" style="192" customWidth="1"/>
    <col min="26" max="26" width="16" style="192" customWidth="1"/>
    <col min="27" max="27" width="32.7109375" style="192" customWidth="1"/>
    <col min="28" max="28" width="26.85546875" style="192" hidden="1" customWidth="1"/>
    <col min="29" max="29" width="5.85546875" style="192" customWidth="1"/>
    <col min="30" max="30" width="6.85546875" style="192" customWidth="1"/>
    <col min="31" max="31" width="5" style="192" hidden="1" customWidth="1"/>
    <col min="32" max="32" width="5.5703125" style="192" customWidth="1"/>
    <col min="33" max="33" width="7.140625" style="192" customWidth="1"/>
    <col min="34" max="34" width="6.7109375" style="192" customWidth="1"/>
    <col min="35" max="35" width="7.5703125" style="192" hidden="1" customWidth="1"/>
    <col min="36" max="36" width="8.5703125" style="192" customWidth="1"/>
    <col min="37" max="41" width="10.85546875" style="192" customWidth="1"/>
    <col min="42" max="42" width="10.85546875" style="211" customWidth="1"/>
    <col min="43" max="43" width="23" style="192" customWidth="1"/>
    <col min="44" max="44" width="18.85546875" style="192" customWidth="1"/>
    <col min="45" max="45" width="21.5703125" style="192" customWidth="1"/>
    <col min="46" max="46" width="22.42578125" style="192" customWidth="1"/>
    <col min="47" max="47" width="16.42578125" style="192" customWidth="1"/>
    <col min="48" max="48" width="20.5703125" style="192" customWidth="1"/>
    <col min="49" max="16384" width="11.42578125" style="192"/>
  </cols>
  <sheetData>
    <row r="1" spans="1:276" s="195" customFormat="1" ht="20.25" x14ac:dyDescent="0.3">
      <c r="A1" s="379"/>
      <c r="B1" s="380"/>
      <c r="C1" s="381"/>
      <c r="D1" s="370" t="s">
        <v>208</v>
      </c>
      <c r="E1" s="371"/>
      <c r="F1" s="371"/>
      <c r="G1" s="371"/>
      <c r="H1" s="371"/>
      <c r="I1" s="371"/>
      <c r="J1" s="371"/>
      <c r="K1" s="371"/>
      <c r="L1" s="371"/>
      <c r="M1" s="371"/>
      <c r="N1" s="371"/>
      <c r="O1" s="371"/>
      <c r="P1" s="371"/>
      <c r="Q1" s="371"/>
      <c r="R1" s="371"/>
      <c r="S1" s="371"/>
      <c r="T1" s="372"/>
      <c r="U1" s="246"/>
      <c r="V1" s="246"/>
      <c r="W1" s="246"/>
      <c r="X1" s="352"/>
      <c r="Y1" s="352"/>
      <c r="Z1" s="352"/>
      <c r="AA1" s="352"/>
      <c r="AB1" s="352"/>
      <c r="AC1" s="352"/>
      <c r="AD1" s="352"/>
      <c r="AE1" s="352"/>
      <c r="AF1" s="352"/>
      <c r="AG1" s="352"/>
      <c r="AH1" s="352"/>
      <c r="AI1" s="352"/>
      <c r="AJ1" s="352"/>
      <c r="AK1" s="352"/>
      <c r="AL1" s="352"/>
      <c r="AM1" s="352"/>
      <c r="AN1" s="352"/>
      <c r="AO1" s="352"/>
      <c r="AP1" s="352"/>
      <c r="AQ1" s="352"/>
      <c r="AR1" s="352"/>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row>
    <row r="2" spans="1:276" s="195" customFormat="1" ht="21" thickBot="1" x14ac:dyDescent="0.35">
      <c r="A2" s="382"/>
      <c r="B2" s="383"/>
      <c r="C2" s="384"/>
      <c r="D2" s="373"/>
      <c r="E2" s="374"/>
      <c r="F2" s="374"/>
      <c r="G2" s="374"/>
      <c r="H2" s="374"/>
      <c r="I2" s="374"/>
      <c r="J2" s="374"/>
      <c r="K2" s="374"/>
      <c r="L2" s="374"/>
      <c r="M2" s="374"/>
      <c r="N2" s="374"/>
      <c r="O2" s="374"/>
      <c r="P2" s="374"/>
      <c r="Q2" s="374"/>
      <c r="R2" s="374"/>
      <c r="S2" s="374"/>
      <c r="T2" s="375"/>
      <c r="U2" s="246"/>
      <c r="V2" s="246"/>
      <c r="W2" s="246"/>
      <c r="X2" s="352"/>
      <c r="Y2" s="352"/>
      <c r="Z2" s="352"/>
      <c r="AA2" s="352"/>
      <c r="AB2" s="352"/>
      <c r="AC2" s="352"/>
      <c r="AD2" s="352"/>
      <c r="AE2" s="352"/>
      <c r="AF2" s="352"/>
      <c r="AG2" s="352"/>
      <c r="AH2" s="352"/>
      <c r="AI2" s="352"/>
      <c r="AJ2" s="352"/>
      <c r="AK2" s="352"/>
      <c r="AL2" s="352"/>
      <c r="AM2" s="352"/>
      <c r="AN2" s="352"/>
      <c r="AO2" s="352"/>
      <c r="AP2" s="352"/>
      <c r="AQ2" s="352"/>
      <c r="AR2" s="352"/>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row>
    <row r="3" spans="1:276" s="195" customFormat="1" ht="27.75" customHeight="1" thickBot="1" x14ac:dyDescent="0.35">
      <c r="A3" s="382"/>
      <c r="B3" s="383"/>
      <c r="C3" s="384"/>
      <c r="D3" s="376" t="s">
        <v>209</v>
      </c>
      <c r="E3" s="377"/>
      <c r="F3" s="377"/>
      <c r="G3" s="377"/>
      <c r="H3" s="377"/>
      <c r="I3" s="378"/>
      <c r="J3" s="376"/>
      <c r="K3" s="377"/>
      <c r="L3" s="377"/>
      <c r="M3" s="377"/>
      <c r="N3" s="377"/>
      <c r="O3" s="377"/>
      <c r="P3" s="377"/>
      <c r="Q3" s="377"/>
      <c r="R3" s="377"/>
      <c r="S3" s="377" t="s">
        <v>210</v>
      </c>
      <c r="T3" s="378"/>
      <c r="U3" s="247"/>
      <c r="V3" s="247"/>
      <c r="W3" s="246"/>
      <c r="X3" s="353"/>
      <c r="Y3" s="353"/>
      <c r="Z3" s="353"/>
      <c r="AA3" s="353"/>
      <c r="AB3" s="353"/>
      <c r="AC3" s="353"/>
      <c r="AD3" s="353"/>
      <c r="AE3" s="353"/>
      <c r="AF3" s="353"/>
      <c r="AG3" s="353"/>
      <c r="AH3" s="353"/>
      <c r="AI3" s="353"/>
      <c r="AJ3" s="353"/>
      <c r="AK3" s="353"/>
      <c r="AL3" s="353"/>
      <c r="AM3" s="353"/>
      <c r="AN3" s="353"/>
      <c r="AO3" s="353"/>
      <c r="AP3" s="353"/>
      <c r="AQ3" s="353"/>
      <c r="AR3" s="353"/>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row>
    <row r="4" spans="1:276" s="195" customFormat="1" ht="27.75" customHeight="1" thickBot="1" x14ac:dyDescent="0.35">
      <c r="A4" s="385"/>
      <c r="B4" s="386"/>
      <c r="C4" s="387"/>
      <c r="D4" s="376" t="s">
        <v>422</v>
      </c>
      <c r="E4" s="377"/>
      <c r="F4" s="377"/>
      <c r="G4" s="377"/>
      <c r="H4" s="377"/>
      <c r="I4" s="377"/>
      <c r="J4" s="377"/>
      <c r="K4" s="377"/>
      <c r="L4" s="377"/>
      <c r="M4" s="377"/>
      <c r="N4" s="377"/>
      <c r="O4" s="377"/>
      <c r="P4" s="377"/>
      <c r="Q4" s="377"/>
      <c r="R4" s="377"/>
      <c r="S4" s="377"/>
      <c r="T4" s="378"/>
      <c r="U4" s="246"/>
      <c r="V4" s="246"/>
      <c r="W4" s="246"/>
      <c r="X4" s="353"/>
      <c r="Y4" s="353"/>
      <c r="Z4" s="353"/>
      <c r="AA4" s="353"/>
      <c r="AB4" s="353"/>
      <c r="AC4" s="353"/>
      <c r="AD4" s="353"/>
      <c r="AE4" s="353"/>
      <c r="AF4" s="353"/>
      <c r="AG4" s="353"/>
      <c r="AH4" s="353"/>
      <c r="AI4" s="353"/>
      <c r="AJ4" s="353"/>
      <c r="AK4" s="353"/>
      <c r="AL4" s="353"/>
      <c r="AM4" s="353"/>
      <c r="AN4" s="353"/>
      <c r="AO4" s="353"/>
      <c r="AP4" s="353"/>
      <c r="AQ4" s="353"/>
      <c r="AR4" s="353"/>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row>
    <row r="5" spans="1:276" ht="15.75" thickBot="1" x14ac:dyDescent="0.25">
      <c r="A5" s="196"/>
      <c r="B5" s="197"/>
      <c r="C5" s="196"/>
      <c r="D5" s="196"/>
      <c r="E5" s="196"/>
      <c r="F5" s="198"/>
      <c r="G5" s="198"/>
      <c r="H5" s="198"/>
      <c r="I5" s="198"/>
      <c r="J5" s="198"/>
      <c r="K5" s="198"/>
      <c r="L5" s="198"/>
      <c r="M5" s="198"/>
      <c r="N5" s="199"/>
      <c r="O5" s="198"/>
      <c r="P5" s="198"/>
      <c r="Q5" s="198"/>
      <c r="R5" s="198"/>
      <c r="S5" s="198"/>
      <c r="T5" s="198"/>
      <c r="U5" s="198"/>
      <c r="V5" s="198"/>
      <c r="W5" s="198"/>
      <c r="X5" s="198"/>
      <c r="Y5" s="198"/>
      <c r="Z5" s="198"/>
      <c r="AA5" s="198"/>
      <c r="AB5" s="198"/>
      <c r="AC5" s="198"/>
      <c r="AD5" s="198"/>
      <c r="AE5" s="198"/>
      <c r="AF5" s="198"/>
      <c r="AG5" s="198"/>
      <c r="AH5" s="198"/>
      <c r="AI5" s="198"/>
      <c r="AJ5" s="198"/>
      <c r="AK5" s="198"/>
      <c r="AL5" s="24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row>
    <row r="6" spans="1:276" ht="27" customHeight="1" thickBot="1" x14ac:dyDescent="0.25">
      <c r="A6" s="354" t="s">
        <v>211</v>
      </c>
      <c r="B6" s="355"/>
      <c r="C6" s="361"/>
      <c r="D6" s="362"/>
      <c r="E6" s="362"/>
      <c r="F6" s="362"/>
      <c r="G6" s="362"/>
      <c r="H6" s="362"/>
      <c r="I6" s="362"/>
      <c r="J6" s="362"/>
      <c r="K6" s="362"/>
      <c r="L6" s="362"/>
      <c r="M6" s="362"/>
      <c r="N6" s="362"/>
      <c r="O6" s="362"/>
      <c r="P6" s="362"/>
      <c r="Q6" s="362"/>
      <c r="R6" s="362"/>
      <c r="S6" s="362"/>
      <c r="T6" s="363"/>
      <c r="U6" s="249"/>
      <c r="V6" s="249"/>
      <c r="W6" s="360"/>
      <c r="X6" s="360"/>
      <c r="Y6" s="360"/>
      <c r="Z6" s="351"/>
      <c r="AA6" s="351"/>
      <c r="AB6" s="351"/>
      <c r="AC6" s="351"/>
      <c r="AD6" s="351"/>
      <c r="AE6" s="351"/>
      <c r="AF6" s="351"/>
      <c r="AG6" s="351"/>
      <c r="AH6" s="351"/>
      <c r="AI6" s="351"/>
      <c r="AJ6" s="351"/>
      <c r="AK6" s="351"/>
      <c r="AL6" s="351"/>
      <c r="AM6" s="351"/>
      <c r="AN6" s="351"/>
      <c r="AO6" s="351"/>
      <c r="AP6" s="351"/>
      <c r="AQ6" s="351"/>
      <c r="AR6" s="351"/>
      <c r="AS6" s="198"/>
      <c r="AT6" s="198"/>
      <c r="AU6" s="198"/>
      <c r="AV6" s="198"/>
      <c r="AW6" s="198"/>
      <c r="AX6" s="198"/>
      <c r="AY6" s="198"/>
      <c r="AZ6" s="198"/>
      <c r="BA6" s="198"/>
      <c r="BB6" s="198"/>
      <c r="BC6" s="198"/>
      <c r="BD6" s="198"/>
      <c r="BE6" s="198"/>
      <c r="BF6" s="198"/>
      <c r="BG6" s="198"/>
      <c r="BH6" s="198"/>
      <c r="BI6" s="198"/>
      <c r="BJ6" s="198"/>
      <c r="BK6" s="198"/>
      <c r="BL6" s="198"/>
      <c r="BM6" s="198"/>
      <c r="BN6" s="198"/>
      <c r="BO6" s="198"/>
      <c r="BP6" s="198"/>
    </row>
    <row r="7" spans="1:276" ht="27" customHeight="1" thickBot="1" x14ac:dyDescent="0.3">
      <c r="A7" s="356" t="s">
        <v>212</v>
      </c>
      <c r="B7" s="357"/>
      <c r="C7" s="364"/>
      <c r="D7" s="365"/>
      <c r="E7" s="365"/>
      <c r="F7" s="365"/>
      <c r="G7" s="365"/>
      <c r="H7" s="365"/>
      <c r="I7" s="365"/>
      <c r="J7" s="365"/>
      <c r="K7" s="365"/>
      <c r="L7" s="365"/>
      <c r="M7" s="365"/>
      <c r="N7" s="365"/>
      <c r="O7" s="365"/>
      <c r="P7" s="365"/>
      <c r="Q7" s="365"/>
      <c r="R7" s="365"/>
      <c r="S7" s="365"/>
      <c r="T7" s="366"/>
      <c r="U7" s="250"/>
      <c r="V7" s="250"/>
      <c r="W7" s="251"/>
      <c r="X7" s="251"/>
      <c r="Y7" s="251"/>
      <c r="Z7" s="351"/>
      <c r="AA7" s="351"/>
      <c r="AB7" s="351"/>
      <c r="AC7" s="351"/>
      <c r="AD7" s="351"/>
      <c r="AE7" s="351"/>
      <c r="AF7" s="351"/>
      <c r="AG7" s="351"/>
      <c r="AH7" s="351"/>
      <c r="AI7" s="351"/>
      <c r="AJ7" s="351"/>
      <c r="AK7" s="351"/>
      <c r="AL7" s="351"/>
      <c r="AM7" s="351"/>
      <c r="AN7" s="351"/>
      <c r="AO7" s="351"/>
      <c r="AP7" s="351"/>
      <c r="AQ7" s="351"/>
      <c r="AR7" s="351"/>
      <c r="AS7" s="198"/>
      <c r="AT7" s="198"/>
      <c r="AU7" s="198"/>
      <c r="AV7" s="198"/>
      <c r="AW7" s="198"/>
      <c r="AX7" s="198"/>
      <c r="AY7" s="198"/>
      <c r="AZ7" s="198"/>
      <c r="BA7" s="198"/>
      <c r="BB7" s="198"/>
      <c r="BC7" s="198"/>
      <c r="BD7" s="198"/>
      <c r="BE7" s="198"/>
      <c r="BF7" s="198"/>
      <c r="BG7" s="198"/>
      <c r="BH7" s="198"/>
      <c r="BI7" s="198"/>
      <c r="BJ7" s="198"/>
      <c r="BK7" s="198"/>
      <c r="BL7" s="198"/>
      <c r="BM7" s="198"/>
      <c r="BN7" s="198"/>
      <c r="BO7" s="198"/>
      <c r="BP7" s="198"/>
    </row>
    <row r="8" spans="1:276" ht="27" customHeight="1" thickBot="1" x14ac:dyDescent="0.3">
      <c r="A8" s="358" t="s">
        <v>213</v>
      </c>
      <c r="B8" s="359"/>
      <c r="C8" s="364"/>
      <c r="D8" s="365"/>
      <c r="E8" s="365"/>
      <c r="F8" s="365"/>
      <c r="G8" s="365"/>
      <c r="H8" s="365"/>
      <c r="I8" s="365"/>
      <c r="J8" s="365"/>
      <c r="K8" s="365"/>
      <c r="L8" s="365"/>
      <c r="M8" s="365"/>
      <c r="N8" s="365"/>
      <c r="O8" s="365"/>
      <c r="P8" s="365"/>
      <c r="Q8" s="365"/>
      <c r="R8" s="365"/>
      <c r="S8" s="365"/>
      <c r="T8" s="366"/>
      <c r="U8" s="250"/>
      <c r="V8" s="250"/>
      <c r="W8" s="251"/>
      <c r="X8" s="251"/>
      <c r="Y8" s="251"/>
      <c r="Z8" s="351"/>
      <c r="AA8" s="351"/>
      <c r="AB8" s="351"/>
      <c r="AC8" s="351"/>
      <c r="AD8" s="351"/>
      <c r="AE8" s="351"/>
      <c r="AF8" s="351"/>
      <c r="AG8" s="351"/>
      <c r="AH8" s="351"/>
      <c r="AI8" s="351"/>
      <c r="AJ8" s="351"/>
      <c r="AK8" s="351"/>
      <c r="AL8" s="351"/>
      <c r="AM8" s="351"/>
      <c r="AN8" s="351"/>
      <c r="AO8" s="351"/>
      <c r="AP8" s="351"/>
      <c r="AQ8" s="351"/>
      <c r="AR8" s="351"/>
      <c r="AS8" s="198"/>
      <c r="AT8" s="198"/>
      <c r="AU8" s="198"/>
      <c r="AV8" s="198"/>
      <c r="AW8" s="198"/>
      <c r="AX8" s="198"/>
      <c r="AY8" s="198"/>
      <c r="AZ8" s="198"/>
      <c r="BA8" s="198"/>
      <c r="BB8" s="198"/>
      <c r="BC8" s="198"/>
      <c r="BD8" s="198"/>
      <c r="BE8" s="198"/>
      <c r="BF8" s="198"/>
      <c r="BG8" s="198"/>
      <c r="BH8" s="198"/>
      <c r="BI8" s="198"/>
      <c r="BJ8" s="198"/>
      <c r="BK8" s="198"/>
      <c r="BL8" s="198"/>
      <c r="BM8" s="198"/>
      <c r="BN8" s="198"/>
      <c r="BO8" s="198"/>
      <c r="BP8" s="198"/>
    </row>
    <row r="9" spans="1:276" ht="15.75" x14ac:dyDescent="0.25">
      <c r="A9" s="200"/>
      <c r="B9" s="200"/>
      <c r="C9" s="201"/>
      <c r="D9" s="201"/>
      <c r="E9" s="201"/>
      <c r="F9" s="201"/>
      <c r="G9" s="201"/>
      <c r="H9" s="201"/>
      <c r="I9" s="201"/>
      <c r="J9" s="201"/>
      <c r="K9" s="201"/>
      <c r="L9" s="201"/>
      <c r="M9" s="201"/>
      <c r="N9" s="201"/>
      <c r="O9" s="201"/>
      <c r="P9" s="201"/>
      <c r="Q9" s="201"/>
      <c r="R9" s="201"/>
      <c r="S9" s="201"/>
      <c r="T9" s="201"/>
      <c r="U9" s="201"/>
      <c r="V9" s="201"/>
      <c r="W9" s="202"/>
      <c r="X9" s="202"/>
      <c r="Y9" s="202"/>
      <c r="Z9" s="203"/>
      <c r="AA9" s="203"/>
      <c r="AB9" s="203"/>
      <c r="AC9" s="203"/>
      <c r="AD9" s="203"/>
      <c r="AE9" s="203"/>
      <c r="AF9" s="203"/>
      <c r="AG9" s="203"/>
      <c r="AH9" s="203"/>
      <c r="AI9" s="203"/>
      <c r="AJ9" s="203"/>
      <c r="AK9" s="203"/>
      <c r="AL9" s="203"/>
      <c r="AM9" s="203"/>
      <c r="AN9" s="203"/>
      <c r="AO9" s="203"/>
      <c r="AP9" s="203"/>
      <c r="AQ9" s="203"/>
      <c r="AR9" s="203"/>
    </row>
    <row r="10" spans="1:276" ht="39" customHeight="1" x14ac:dyDescent="0.2">
      <c r="A10" s="367" t="s">
        <v>214</v>
      </c>
      <c r="B10" s="368"/>
      <c r="C10" s="368"/>
      <c r="D10" s="368"/>
      <c r="E10" s="368"/>
      <c r="F10" s="368"/>
      <c r="G10" s="368"/>
      <c r="H10" s="368"/>
      <c r="I10" s="368"/>
      <c r="J10" s="369"/>
      <c r="K10" s="330" t="s">
        <v>215</v>
      </c>
      <c r="L10" s="331"/>
      <c r="M10" s="331"/>
      <c r="N10" s="331"/>
      <c r="O10" s="332"/>
      <c r="P10" s="546" t="s">
        <v>216</v>
      </c>
      <c r="Q10" s="547"/>
      <c r="R10" s="218"/>
      <c r="S10" s="218"/>
      <c r="T10" s="328" t="s">
        <v>217</v>
      </c>
      <c r="U10" s="328"/>
      <c r="V10" s="328"/>
      <c r="W10" s="328"/>
      <c r="X10" s="328"/>
      <c r="Y10" s="328"/>
      <c r="Z10" s="328"/>
      <c r="AA10" s="328" t="s">
        <v>218</v>
      </c>
      <c r="AB10" s="328"/>
      <c r="AC10" s="328"/>
      <c r="AD10" s="328"/>
      <c r="AE10" s="328"/>
      <c r="AF10" s="328"/>
      <c r="AG10" s="328"/>
      <c r="AH10" s="328"/>
      <c r="AI10" s="328"/>
      <c r="AJ10" s="318" t="s">
        <v>219</v>
      </c>
      <c r="AK10" s="319"/>
      <c r="AL10" s="319"/>
      <c r="AM10" s="319"/>
      <c r="AN10" s="320"/>
      <c r="AO10" s="318" t="s">
        <v>220</v>
      </c>
      <c r="AP10" s="319"/>
      <c r="AQ10" s="319"/>
      <c r="AR10" s="319"/>
      <c r="AS10" s="320"/>
      <c r="AT10" s="318" t="s">
        <v>221</v>
      </c>
      <c r="AU10" s="319"/>
      <c r="AV10" s="320"/>
      <c r="AW10" s="198"/>
      <c r="AX10" s="198"/>
      <c r="AY10" s="198"/>
      <c r="AZ10" s="198"/>
      <c r="BA10" s="198"/>
      <c r="BB10" s="198"/>
      <c r="BC10" s="198"/>
      <c r="BD10" s="198"/>
      <c r="BE10" s="198"/>
      <c r="BF10" s="198"/>
      <c r="BG10" s="198"/>
      <c r="BH10" s="198"/>
      <c r="BI10" s="198"/>
      <c r="BJ10" s="198"/>
      <c r="BK10" s="198"/>
      <c r="BL10" s="198"/>
      <c r="BM10" s="198"/>
      <c r="BN10" s="198"/>
      <c r="BO10" s="198"/>
      <c r="BP10" s="198"/>
      <c r="BQ10" s="198"/>
      <c r="BR10" s="198"/>
      <c r="BS10" s="198"/>
      <c r="BT10" s="198"/>
    </row>
    <row r="11" spans="1:276" ht="26.25" customHeight="1" x14ac:dyDescent="0.2">
      <c r="A11" s="343" t="s">
        <v>222</v>
      </c>
      <c r="B11" s="344" t="s">
        <v>15</v>
      </c>
      <c r="C11" s="345" t="s">
        <v>17</v>
      </c>
      <c r="D11" s="345" t="s">
        <v>19</v>
      </c>
      <c r="E11" s="344" t="s">
        <v>21</v>
      </c>
      <c r="F11" s="345" t="s">
        <v>23</v>
      </c>
      <c r="G11" s="543" t="s">
        <v>309</v>
      </c>
      <c r="H11" s="545" t="s">
        <v>310</v>
      </c>
      <c r="I11" s="545" t="s">
        <v>311</v>
      </c>
      <c r="J11" s="545" t="s">
        <v>312</v>
      </c>
      <c r="K11" s="346" t="s">
        <v>124</v>
      </c>
      <c r="L11" s="346" t="s">
        <v>280</v>
      </c>
      <c r="M11" s="346" t="s">
        <v>224</v>
      </c>
      <c r="N11" s="346" t="s">
        <v>225</v>
      </c>
      <c r="O11" s="346" t="s">
        <v>226</v>
      </c>
      <c r="P11" s="245"/>
      <c r="Q11" s="245"/>
      <c r="R11" s="314" t="s">
        <v>227</v>
      </c>
      <c r="S11" s="314" t="s">
        <v>228</v>
      </c>
      <c r="T11" s="339" t="s">
        <v>229</v>
      </c>
      <c r="U11" s="314" t="s">
        <v>230</v>
      </c>
      <c r="V11" s="314" t="s">
        <v>231</v>
      </c>
      <c r="W11" s="314" t="s">
        <v>232</v>
      </c>
      <c r="X11" s="339" t="s">
        <v>229</v>
      </c>
      <c r="Y11" s="314" t="s">
        <v>29</v>
      </c>
      <c r="Z11" s="327" t="s">
        <v>233</v>
      </c>
      <c r="AA11" s="314" t="s">
        <v>31</v>
      </c>
      <c r="AB11" s="314" t="s">
        <v>33</v>
      </c>
      <c r="AC11" s="314" t="s">
        <v>234</v>
      </c>
      <c r="AD11" s="314"/>
      <c r="AE11" s="314"/>
      <c r="AF11" s="314"/>
      <c r="AG11" s="314"/>
      <c r="AH11" s="314"/>
      <c r="AI11" s="327" t="s">
        <v>235</v>
      </c>
      <c r="AJ11" s="327" t="s">
        <v>236</v>
      </c>
      <c r="AK11" s="327" t="s">
        <v>229</v>
      </c>
      <c r="AL11" s="327" t="s">
        <v>237</v>
      </c>
      <c r="AM11" s="327" t="s">
        <v>229</v>
      </c>
      <c r="AN11" s="327" t="s">
        <v>238</v>
      </c>
      <c r="AO11" s="327" t="s">
        <v>49</v>
      </c>
      <c r="AP11" s="314" t="s">
        <v>239</v>
      </c>
      <c r="AQ11" s="314" t="s">
        <v>240</v>
      </c>
      <c r="AR11" s="314" t="s">
        <v>241</v>
      </c>
      <c r="AS11" s="314" t="s">
        <v>242</v>
      </c>
      <c r="AT11" s="314" t="s">
        <v>243</v>
      </c>
      <c r="AU11" s="314" t="s">
        <v>244</v>
      </c>
      <c r="AV11" s="314" t="s">
        <v>245</v>
      </c>
      <c r="AW11" s="198"/>
      <c r="AX11" s="198"/>
      <c r="AY11" s="198"/>
      <c r="AZ11" s="198"/>
      <c r="BA11" s="198"/>
      <c r="BB11" s="198"/>
      <c r="BC11" s="198"/>
      <c r="BD11" s="198"/>
      <c r="BE11" s="198"/>
      <c r="BF11" s="198"/>
      <c r="BG11" s="198"/>
      <c r="BH11" s="198"/>
      <c r="BI11" s="198"/>
      <c r="BJ11" s="198"/>
      <c r="BK11" s="198"/>
      <c r="BL11" s="198"/>
      <c r="BM11" s="198"/>
      <c r="BN11" s="198"/>
      <c r="BO11" s="198"/>
      <c r="BP11" s="198"/>
      <c r="BQ11" s="198"/>
      <c r="BR11" s="198"/>
      <c r="BS11" s="198"/>
    </row>
    <row r="12" spans="1:276" s="207" customFormat="1" ht="73.5" customHeight="1" x14ac:dyDescent="0.25">
      <c r="A12" s="343"/>
      <c r="B12" s="344"/>
      <c r="C12" s="345"/>
      <c r="D12" s="345"/>
      <c r="E12" s="344"/>
      <c r="F12" s="345"/>
      <c r="G12" s="544"/>
      <c r="H12" s="545"/>
      <c r="I12" s="545"/>
      <c r="J12" s="545"/>
      <c r="K12" s="347"/>
      <c r="L12" s="347"/>
      <c r="M12" s="347"/>
      <c r="N12" s="347"/>
      <c r="O12" s="347"/>
      <c r="P12" s="244" t="s">
        <v>425</v>
      </c>
      <c r="Q12" s="244" t="s">
        <v>246</v>
      </c>
      <c r="R12" s="314"/>
      <c r="S12" s="314"/>
      <c r="T12" s="339"/>
      <c r="U12" s="314"/>
      <c r="V12" s="314"/>
      <c r="W12" s="339"/>
      <c r="X12" s="339"/>
      <c r="Y12" s="314"/>
      <c r="Z12" s="327"/>
      <c r="AA12" s="314"/>
      <c r="AB12" s="314"/>
      <c r="AC12" s="204" t="s">
        <v>247</v>
      </c>
      <c r="AD12" s="204" t="s">
        <v>248</v>
      </c>
      <c r="AE12" s="204" t="s">
        <v>249</v>
      </c>
      <c r="AF12" s="204" t="s">
        <v>250</v>
      </c>
      <c r="AG12" s="204" t="s">
        <v>251</v>
      </c>
      <c r="AH12" s="204" t="s">
        <v>252</v>
      </c>
      <c r="AI12" s="327"/>
      <c r="AJ12" s="327"/>
      <c r="AK12" s="327"/>
      <c r="AL12" s="327"/>
      <c r="AM12" s="327"/>
      <c r="AN12" s="327"/>
      <c r="AO12" s="327"/>
      <c r="AP12" s="314"/>
      <c r="AQ12" s="314"/>
      <c r="AR12" s="314"/>
      <c r="AS12" s="314"/>
      <c r="AT12" s="314"/>
      <c r="AU12" s="314"/>
      <c r="AV12" s="314"/>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6"/>
      <c r="BU12" s="206"/>
      <c r="BV12" s="206"/>
      <c r="BW12" s="206"/>
      <c r="BX12" s="206"/>
      <c r="BY12" s="206"/>
      <c r="BZ12" s="206"/>
      <c r="CA12" s="206"/>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c r="CX12" s="206"/>
      <c r="CY12" s="206"/>
      <c r="CZ12" s="206"/>
      <c r="DA12" s="206"/>
      <c r="DB12" s="206"/>
      <c r="DC12" s="206"/>
      <c r="DD12" s="206"/>
      <c r="DE12" s="206"/>
      <c r="DF12" s="206"/>
      <c r="DG12" s="206"/>
      <c r="DH12" s="206"/>
      <c r="DI12" s="206"/>
      <c r="DJ12" s="206"/>
      <c r="DK12" s="206"/>
      <c r="DL12" s="206"/>
      <c r="DM12" s="206"/>
      <c r="DN12" s="206"/>
      <c r="DO12" s="206"/>
      <c r="DP12" s="206"/>
      <c r="DQ12" s="206"/>
      <c r="DR12" s="206"/>
      <c r="DS12" s="206"/>
      <c r="DT12" s="206"/>
      <c r="DU12" s="206"/>
      <c r="DV12" s="206"/>
      <c r="DW12" s="206"/>
      <c r="DX12" s="206"/>
      <c r="DY12" s="206"/>
      <c r="DZ12" s="206"/>
      <c r="EA12" s="206"/>
      <c r="EB12" s="206"/>
      <c r="EC12" s="206"/>
      <c r="ED12" s="206"/>
      <c r="EE12" s="206"/>
      <c r="EF12" s="206"/>
      <c r="EG12" s="206"/>
      <c r="EH12" s="206"/>
      <c r="EI12" s="206"/>
      <c r="EJ12" s="206"/>
      <c r="EK12" s="206"/>
      <c r="EL12" s="206"/>
      <c r="EM12" s="206"/>
      <c r="EN12" s="206"/>
      <c r="EO12" s="206"/>
      <c r="EP12" s="206"/>
      <c r="EQ12" s="206"/>
      <c r="ER12" s="206"/>
      <c r="ES12" s="206"/>
      <c r="ET12" s="206"/>
      <c r="EU12" s="206"/>
      <c r="EV12" s="206"/>
      <c r="EW12" s="206"/>
      <c r="EX12" s="206"/>
      <c r="EY12" s="206"/>
      <c r="EZ12" s="206"/>
      <c r="FA12" s="206"/>
      <c r="FB12" s="206"/>
      <c r="FC12" s="206"/>
      <c r="FD12" s="206"/>
      <c r="FE12" s="206"/>
      <c r="FF12" s="206"/>
      <c r="FG12" s="206"/>
      <c r="FH12" s="206"/>
      <c r="FI12" s="206"/>
      <c r="FJ12" s="206"/>
      <c r="FK12" s="206"/>
      <c r="FL12" s="206"/>
      <c r="FM12" s="206"/>
      <c r="FN12" s="206"/>
      <c r="FO12" s="206"/>
      <c r="FP12" s="206"/>
      <c r="FQ12" s="206"/>
      <c r="FR12" s="206"/>
      <c r="FS12" s="206"/>
      <c r="FT12" s="206"/>
      <c r="FU12" s="206"/>
      <c r="FV12" s="206"/>
      <c r="FW12" s="206"/>
      <c r="FX12" s="206"/>
      <c r="FY12" s="206"/>
      <c r="FZ12" s="206"/>
      <c r="GA12" s="206"/>
      <c r="GB12" s="206"/>
      <c r="GC12" s="206"/>
      <c r="GD12" s="206"/>
      <c r="GE12" s="206"/>
      <c r="GF12" s="206"/>
      <c r="GG12" s="206"/>
      <c r="GH12" s="206"/>
      <c r="GI12" s="206"/>
      <c r="GJ12" s="206"/>
      <c r="GK12" s="206"/>
      <c r="GL12" s="206"/>
      <c r="GM12" s="206"/>
      <c r="GN12" s="206"/>
      <c r="GO12" s="206"/>
      <c r="GP12" s="206"/>
      <c r="GQ12" s="206"/>
      <c r="GR12" s="206"/>
      <c r="GS12" s="206"/>
      <c r="GT12" s="206"/>
      <c r="GU12" s="206"/>
      <c r="GV12" s="206"/>
      <c r="GW12" s="206"/>
      <c r="GX12" s="206"/>
      <c r="GY12" s="206"/>
      <c r="GZ12" s="206"/>
      <c r="HA12" s="206"/>
      <c r="HB12" s="206"/>
      <c r="HC12" s="206"/>
      <c r="HD12" s="206"/>
      <c r="HE12" s="206"/>
      <c r="HF12" s="206"/>
      <c r="HG12" s="206"/>
      <c r="HH12" s="206"/>
      <c r="HI12" s="206"/>
      <c r="HJ12" s="206"/>
      <c r="HK12" s="206"/>
      <c r="HL12" s="206"/>
      <c r="HM12" s="206"/>
      <c r="HN12" s="206"/>
      <c r="HO12" s="206"/>
      <c r="HP12" s="206"/>
      <c r="HQ12" s="206"/>
      <c r="HR12" s="206"/>
      <c r="HS12" s="206"/>
      <c r="HT12" s="206"/>
      <c r="HU12" s="206"/>
      <c r="HV12" s="206"/>
      <c r="HW12" s="206"/>
      <c r="HX12" s="206"/>
      <c r="HY12" s="206"/>
      <c r="HZ12" s="206"/>
      <c r="IA12" s="206"/>
      <c r="IB12" s="206"/>
      <c r="IC12" s="206"/>
      <c r="ID12" s="206"/>
      <c r="IE12" s="206"/>
      <c r="IF12" s="206"/>
      <c r="IG12" s="206"/>
      <c r="IH12" s="206"/>
      <c r="II12" s="206"/>
      <c r="IJ12" s="206"/>
      <c r="IK12" s="206"/>
      <c r="IL12" s="206"/>
      <c r="IM12" s="206"/>
      <c r="IN12" s="206"/>
      <c r="IO12" s="206"/>
      <c r="IP12" s="206"/>
      <c r="IQ12" s="206"/>
      <c r="IR12" s="206"/>
      <c r="IS12" s="206"/>
      <c r="IT12" s="206"/>
      <c r="IU12" s="206"/>
      <c r="IV12" s="206"/>
      <c r="IW12" s="206"/>
      <c r="IX12" s="206"/>
      <c r="IY12" s="206"/>
      <c r="IZ12" s="206"/>
      <c r="JA12" s="206"/>
      <c r="JB12" s="206"/>
      <c r="JC12" s="206"/>
      <c r="JD12" s="206"/>
      <c r="JE12" s="206"/>
      <c r="JF12" s="206"/>
      <c r="JG12" s="206"/>
      <c r="JH12" s="206"/>
      <c r="JI12" s="206"/>
      <c r="JJ12" s="206"/>
      <c r="JK12" s="206"/>
      <c r="JL12" s="206"/>
      <c r="JM12" s="206"/>
      <c r="JN12" s="206"/>
      <c r="JO12" s="206"/>
      <c r="JP12" s="206"/>
    </row>
    <row r="13" spans="1:276" s="209" customFormat="1" ht="103.5" customHeight="1" x14ac:dyDescent="0.25">
      <c r="A13" s="342">
        <v>1</v>
      </c>
      <c r="B13" s="340"/>
      <c r="C13" s="340"/>
      <c r="D13" s="340"/>
      <c r="E13" s="523"/>
      <c r="F13" s="340"/>
      <c r="G13" s="321"/>
      <c r="H13" s="321"/>
      <c r="I13" s="321"/>
      <c r="J13" s="321"/>
      <c r="K13" s="321"/>
      <c r="L13" s="321"/>
      <c r="M13" s="321"/>
      <c r="N13" s="321"/>
      <c r="O13" s="321"/>
      <c r="P13" s="321"/>
      <c r="Q13" s="321"/>
      <c r="R13" s="329"/>
      <c r="S13" s="326" t="str">
        <f>IF(R13&lt;=0,"",IF(R13&lt;=2,"Muy Baja",IF(R13&lt;=24,"Baja",IF(R13&lt;=500,"Media",IF(R13&lt;=5000,"Alta","Muy Alta")))))</f>
        <v/>
      </c>
      <c r="T13" s="325" t="str">
        <f>IF(S13="","",IF(S13="Muy Baja",0.2,IF(S13="Baja",0.4,IF(S13="Media",0.6,IF(S13="Alta",0.8,IF(S13="Muy Alta",1,))))))</f>
        <v/>
      </c>
      <c r="U13" s="315"/>
      <c r="V13" s="325">
        <f>IF(NOT(ISERROR(MATCH(U13,'Tabla Impacto'!$B$222:$B$224,0))),'Tabla Impacto'!$F$224&amp;"Por favor no seleccionar los criterios de impacto(Afectación Económica o presupuestal y Pérdida Reputacional)",U13)</f>
        <v>0</v>
      </c>
      <c r="W13" s="326" t="str">
        <f>IF(OR(V13='Tabla Impacto'!$C$12,V13='Tabla Impacto'!$D$12),"Leve",IF(OR(V13='Tabla Impacto'!$C$13,V13='Tabla Impacto'!$D$13),"Menor",IF(OR(V13='Tabla Impacto'!$C$14,V13='Tabla Impacto'!$D$14),"Moderado",IF(OR(V13='Tabla Impacto'!$C$15,V13='Tabla Impacto'!$D$15),"Mayor",IF(OR(V13='Tabla Impacto'!$C$16,V13='Tabla Impacto'!$D$16),"Catastrófico","")))))</f>
        <v/>
      </c>
      <c r="X13" s="325" t="str">
        <f>IF(W13="","",IF(W13="Leve",0.2,IF(W13="Menor",0.4,IF(W13="Moderado",0.6,IF(W13="Mayor",0.8,IF(W13="Catastrófico",1,))))))</f>
        <v/>
      </c>
      <c r="Y13" s="324" t="str">
        <f>IF(OR(AND(S13="Muy Baja",W13="Leve"),AND(S13="Muy Baja",W13="Menor"),AND(S13="Baja",W13="Leve")),"Bajo",IF(OR(AND(S13="Muy baja",W13="Moderado"),AND(S13="Baja",W13="Menor"),AND(S13="Baja",W13="Moderado"),AND(S13="Media",W13="Leve"),AND(S13="Media",W13="Menor"),AND(S13="Media",W13="Moderado"),AND(S13="Alta",W13="Leve"),AND(S13="Alta",W13="Menor")),"Moderado",IF(OR(AND(S13="Muy Baja",W13="Mayor"),AND(S13="Baja",W13="Mayor"),AND(S13="Media",W13="Mayor"),AND(S13="Alta",W13="Moderado"),AND(S13="Alta",W13="Mayor"),AND(S13="Muy Alta",W13="Leve"),AND(S13="Muy Alta",W13="Menor"),AND(S13="Muy Alta",W13="Moderado"),AND(S13="Muy Alta",W13="Mayor")),"Alto",IF(OR(AND(S13="Muy Baja",W13="Catastrófico"),AND(S13="Baja",W13="Catastrófico"),AND(S13="Media",W13="Catastrófico"),AND(S13="Alta",W13="Catastrófico"),AND(S13="Muy Alta",W13="Catastrófico")),"Extremo",""))))</f>
        <v/>
      </c>
      <c r="Z13" s="208">
        <v>1</v>
      </c>
      <c r="AA13" s="234"/>
      <c r="AB13" s="183" t="str">
        <f t="shared" ref="AB13:AB18" si="0">IF(OR(AC13="Preventivo",AC13="Detectivo"),"Probabilidad",IF(AC13="Correctivo","Impacto",""))</f>
        <v/>
      </c>
      <c r="AC13" s="184"/>
      <c r="AD13" s="184"/>
      <c r="AE13" s="185" t="str">
        <f>IF(AND(AC13="Preventivo",AD13="Automático"),"50%",IF(AND(AC13="Preventivo",AD13="Manual"),"40%",IF(AND(AC13="Detectivo",AD13="Automático"),"40%",IF(AND(AC13="Detectivo",AD13="Manual"),"30%",IF(AND(AC13="Correctivo",AD13="Automático"),"35%",IF(AND(AC13="Correctivo",AD13="Manual"),"25%",""))))))</f>
        <v/>
      </c>
      <c r="AF13" s="184"/>
      <c r="AG13" s="184"/>
      <c r="AH13" s="184"/>
      <c r="AI13" s="186" t="str">
        <f>IFERROR(IF(AB13="Probabilidad",(T13-(+T13*AE13)),IF(AB13="Impacto",T13,"")),"")</f>
        <v/>
      </c>
      <c r="AJ13" s="187" t="str">
        <f>IFERROR(IF(AI13="","",IF(AI13&lt;=0.2,"Muy Baja",IF(AI13&lt;=0.4,"Baja",IF(AI13&lt;=0.6,"Media",IF(AI13&lt;=0.8,"Alta","Muy Alta"))))),"")</f>
        <v/>
      </c>
      <c r="AK13" s="185" t="str">
        <f>+AI13</f>
        <v/>
      </c>
      <c r="AL13" s="187" t="str">
        <f>IFERROR(IF(AM13="","",IF(AM13&lt;=0.2,"Leve",IF(AM13&lt;=0.4,"Menor",IF(AM13&lt;=0.6,"Moderado",IF(AM13&lt;=0.8,"Mayor","Catastrófico"))))),"")</f>
        <v/>
      </c>
      <c r="AM13" s="185" t="str">
        <f>IFERROR(IF(AB13="Impacto",(X13-(+X13*AE13)),IF(AB13="Probabilidad",X13,"")),"")</f>
        <v/>
      </c>
      <c r="AN13" s="188" t="str">
        <f>IFERROR(IF(OR(AND(AJ13="Muy Baja",AL13="Leve"),AND(AJ13="Muy Baja",AL13="Menor"),AND(AJ13="Baja",AL13="Leve")),"Bajo",IF(OR(AND(AJ13="Muy baja",AL13="Moderado"),AND(AJ13="Baja",AL13="Menor"),AND(AJ13="Baja",AL13="Moderado"),AND(AJ13="Media",AL13="Leve"),AND(AJ13="Media",AL13="Menor"),AND(AJ13="Media",AL13="Moderado"),AND(AJ13="Alta",AL13="Leve"),AND(AJ13="Alta",AL13="Menor")),"Moderado",IF(OR(AND(AJ13="Muy Baja",AL13="Mayor"),AND(AJ13="Baja",AL13="Mayor"),AND(AJ13="Media",AL13="Mayor"),AND(AJ13="Alta",AL13="Moderado"),AND(AJ13="Alta",AL13="Mayor"),AND(AJ13="Muy Alta",AL13="Leve"),AND(AJ13="Muy Alta",AL13="Menor"),AND(AJ13="Muy Alta",AL13="Moderado"),AND(AJ13="Muy Alta",AL13="Mayor")),"Alto",IF(OR(AND(AJ13="Muy Baja",AL13="Catastrófico"),AND(AJ13="Baja",AL13="Catastrófico"),AND(AJ13="Media",AL13="Catastrófico"),AND(AJ13="Alta",AL13="Catastrófico"),AND(AJ13="Muy Alta",AL13="Catastrófico")),"Extremo","")))),"")</f>
        <v/>
      </c>
      <c r="AO13" s="189"/>
      <c r="AP13" s="180"/>
      <c r="AQ13" s="190"/>
      <c r="AR13" s="190"/>
      <c r="AS13" s="191"/>
      <c r="AT13" s="340"/>
      <c r="AU13" s="340"/>
      <c r="AV13" s="340"/>
    </row>
    <row r="14" spans="1:276" ht="94.5" customHeight="1" x14ac:dyDescent="0.2">
      <c r="A14" s="342"/>
      <c r="B14" s="340"/>
      <c r="C14" s="340"/>
      <c r="D14" s="340"/>
      <c r="E14" s="523"/>
      <c r="F14" s="340"/>
      <c r="G14" s="322"/>
      <c r="H14" s="322"/>
      <c r="I14" s="322"/>
      <c r="J14" s="322"/>
      <c r="K14" s="322"/>
      <c r="L14" s="322"/>
      <c r="M14" s="322"/>
      <c r="N14" s="322"/>
      <c r="O14" s="322"/>
      <c r="P14" s="322"/>
      <c r="Q14" s="322"/>
      <c r="R14" s="329"/>
      <c r="S14" s="326"/>
      <c r="T14" s="325"/>
      <c r="U14" s="315"/>
      <c r="V14" s="325">
        <f>IF(NOT(ISERROR(MATCH(U14,_xlfn.ANCHORARRAY(E25),0))),T27&amp;"Por favor no seleccionar los criterios de impacto",U14)</f>
        <v>0</v>
      </c>
      <c r="W14" s="326"/>
      <c r="X14" s="325"/>
      <c r="Y14" s="324"/>
      <c r="Z14" s="208">
        <v>2</v>
      </c>
      <c r="AA14" s="234"/>
      <c r="AB14" s="183" t="str">
        <f t="shared" si="0"/>
        <v/>
      </c>
      <c r="AC14" s="184"/>
      <c r="AD14" s="184"/>
      <c r="AE14" s="185" t="str">
        <f t="shared" ref="AE14:AE18" si="1">IF(AND(AC14="Preventivo",AD14="Automático"),"50%",IF(AND(AC14="Preventivo",AD14="Manual"),"40%",IF(AND(AC14="Detectivo",AD14="Automático"),"40%",IF(AND(AC14="Detectivo",AD14="Manual"),"30%",IF(AND(AC14="Correctivo",AD14="Automático"),"35%",IF(AND(AC14="Correctivo",AD14="Manual"),"25%",""))))))</f>
        <v/>
      </c>
      <c r="AF14" s="184"/>
      <c r="AG14" s="184"/>
      <c r="AH14" s="184"/>
      <c r="AI14" s="186" t="str">
        <f>IFERROR(IF(AND(AB13="Probabilidad",AB14="Probabilidad"),(AK13-(+AK13*AE14)),IF(AB14="Probabilidad",(T13-(+T13*AE14)),IF(AB14="Impacto",AK13,""))),"")</f>
        <v/>
      </c>
      <c r="AJ14" s="187" t="str">
        <f t="shared" ref="AJ14:AJ72" si="2">IFERROR(IF(AI14="","",IF(AI14&lt;=0.2,"Muy Baja",IF(AI14&lt;=0.4,"Baja",IF(AI14&lt;=0.6,"Media",IF(AI14&lt;=0.8,"Alta","Muy Alta"))))),"")</f>
        <v/>
      </c>
      <c r="AK14" s="185" t="str">
        <f t="shared" ref="AK14:AK18" si="3">+AI14</f>
        <v/>
      </c>
      <c r="AL14" s="187" t="str">
        <f t="shared" ref="AL14:AL72" si="4">IFERROR(IF(AM14="","",IF(AM14&lt;=0.2,"Leve",IF(AM14&lt;=0.4,"Menor",IF(AM14&lt;=0.6,"Moderado",IF(AM14&lt;=0.8,"Mayor","Catastrófico"))))),"")</f>
        <v/>
      </c>
      <c r="AM14" s="185" t="str">
        <f>IFERROR(IF(AND(AB13="Impacto",AB14="Impacto"),(AM13-(+AM13*AE14)),IF(AB14="Impacto",($X$13-(+$X$13*AE14)),IF(AB14="Probabilidad",AM13,""))),"")</f>
        <v/>
      </c>
      <c r="AN14" s="188" t="str">
        <f t="shared" ref="AN14:AN18" si="5">IFERROR(IF(OR(AND(AJ14="Muy Baja",AL14="Leve"),AND(AJ14="Muy Baja",AL14="Menor"),AND(AJ14="Baja",AL14="Leve")),"Bajo",IF(OR(AND(AJ14="Muy baja",AL14="Moderado"),AND(AJ14="Baja",AL14="Menor"),AND(AJ14="Baja",AL14="Moderado"),AND(AJ14="Media",AL14="Leve"),AND(AJ14="Media",AL14="Menor"),AND(AJ14="Media",AL14="Moderado"),AND(AJ14="Alta",AL14="Leve"),AND(AJ14="Alta",AL14="Menor")),"Moderado",IF(OR(AND(AJ14="Muy Baja",AL14="Mayor"),AND(AJ14="Baja",AL14="Mayor"),AND(AJ14="Media",AL14="Mayor"),AND(AJ14="Alta",AL14="Moderado"),AND(AJ14="Alta",AL14="Mayor"),AND(AJ14="Muy Alta",AL14="Leve"),AND(AJ14="Muy Alta",AL14="Menor"),AND(AJ14="Muy Alta",AL14="Moderado"),AND(AJ14="Muy Alta",AL14="Mayor")),"Alto",IF(OR(AND(AJ14="Muy Baja",AL14="Catastrófico"),AND(AJ14="Baja",AL14="Catastrófico"),AND(AJ14="Media",AL14="Catastrófico"),AND(AJ14="Alta",AL14="Catastrófico"),AND(AJ14="Muy Alta",AL14="Catastrófico")),"Extremo","")))),"")</f>
        <v/>
      </c>
      <c r="AO14" s="189"/>
      <c r="AP14" s="180"/>
      <c r="AQ14" s="190"/>
      <c r="AR14" s="180"/>
      <c r="AS14" s="191"/>
      <c r="AT14" s="340"/>
      <c r="AU14" s="340"/>
      <c r="AV14" s="340"/>
    </row>
    <row r="15" spans="1:276" ht="37.5" customHeight="1" x14ac:dyDescent="0.2">
      <c r="A15" s="342"/>
      <c r="B15" s="340"/>
      <c r="C15" s="340"/>
      <c r="D15" s="340"/>
      <c r="E15" s="523"/>
      <c r="F15" s="340"/>
      <c r="G15" s="322"/>
      <c r="H15" s="322"/>
      <c r="I15" s="322"/>
      <c r="J15" s="322"/>
      <c r="K15" s="322"/>
      <c r="L15" s="322"/>
      <c r="M15" s="322"/>
      <c r="N15" s="322"/>
      <c r="O15" s="322"/>
      <c r="P15" s="322"/>
      <c r="Q15" s="322"/>
      <c r="R15" s="329"/>
      <c r="S15" s="326"/>
      <c r="T15" s="325"/>
      <c r="U15" s="315"/>
      <c r="V15" s="325">
        <f>IF(NOT(ISERROR(MATCH(U15,_xlfn.ANCHORARRAY(E26),0))),T28&amp;"Por favor no seleccionar los criterios de impacto",U15)</f>
        <v>0</v>
      </c>
      <c r="W15" s="326"/>
      <c r="X15" s="325"/>
      <c r="Y15" s="324"/>
      <c r="Z15" s="208">
        <v>3</v>
      </c>
      <c r="AA15" s="182"/>
      <c r="AB15" s="183" t="str">
        <f t="shared" si="0"/>
        <v/>
      </c>
      <c r="AC15" s="184"/>
      <c r="AD15" s="184"/>
      <c r="AE15" s="185" t="str">
        <f t="shared" si="1"/>
        <v/>
      </c>
      <c r="AF15" s="184"/>
      <c r="AG15" s="184"/>
      <c r="AH15" s="184"/>
      <c r="AI15" s="186" t="str">
        <f>IFERROR(IF(AND(AB14="Probabilidad",AB15="Probabilidad"),(AK14-(+AK14*AE15)),IF(AND(AB14="Impacto",AB15="Probabilidad"),(AK13-(+AK13*AE15)),IF(AB15="Impacto",AK14,""))),"")</f>
        <v/>
      </c>
      <c r="AJ15" s="187" t="str">
        <f t="shared" si="2"/>
        <v/>
      </c>
      <c r="AK15" s="185" t="str">
        <f t="shared" si="3"/>
        <v/>
      </c>
      <c r="AL15" s="187" t="str">
        <f t="shared" si="4"/>
        <v/>
      </c>
      <c r="AM15" s="185" t="str">
        <f>IFERROR(IF(AND(AB14="Impacto",AB15="Impacto"),(AM14-(+AM14*AE15)),IF(AND(AB14="Probabilidad",AB15="Impacto"),(AM13-(+AM13*AE15)),IF(AB15="Probabilidad",AM14,""))),"")</f>
        <v/>
      </c>
      <c r="AN15" s="188" t="str">
        <f t="shared" si="5"/>
        <v/>
      </c>
      <c r="AO15" s="189"/>
      <c r="AP15" s="180"/>
      <c r="AQ15" s="190"/>
      <c r="AR15" s="190"/>
      <c r="AS15" s="191"/>
      <c r="AT15" s="340"/>
      <c r="AU15" s="340"/>
      <c r="AV15" s="340"/>
    </row>
    <row r="16" spans="1:276" ht="37.5" customHeight="1" x14ac:dyDescent="0.2">
      <c r="A16" s="342"/>
      <c r="B16" s="340"/>
      <c r="C16" s="340"/>
      <c r="D16" s="340"/>
      <c r="E16" s="523"/>
      <c r="F16" s="340"/>
      <c r="G16" s="322"/>
      <c r="H16" s="322"/>
      <c r="I16" s="322"/>
      <c r="J16" s="322"/>
      <c r="K16" s="322"/>
      <c r="L16" s="322"/>
      <c r="M16" s="322"/>
      <c r="N16" s="322"/>
      <c r="O16" s="322"/>
      <c r="P16" s="322"/>
      <c r="Q16" s="322"/>
      <c r="R16" s="329"/>
      <c r="S16" s="326"/>
      <c r="T16" s="325"/>
      <c r="U16" s="315"/>
      <c r="V16" s="325">
        <f>IF(NOT(ISERROR(MATCH(U16,_xlfn.ANCHORARRAY(E27),0))),T29&amp;"Por favor no seleccionar los criterios de impacto",U16)</f>
        <v>0</v>
      </c>
      <c r="W16" s="326"/>
      <c r="X16" s="325"/>
      <c r="Y16" s="324"/>
      <c r="Z16" s="208">
        <v>4</v>
      </c>
      <c r="AA16" s="181"/>
      <c r="AB16" s="183" t="str">
        <f t="shared" si="0"/>
        <v/>
      </c>
      <c r="AC16" s="184"/>
      <c r="AD16" s="184"/>
      <c r="AE16" s="185" t="str">
        <f t="shared" si="1"/>
        <v/>
      </c>
      <c r="AF16" s="184"/>
      <c r="AG16" s="184"/>
      <c r="AH16" s="184"/>
      <c r="AI16" s="186" t="str">
        <f t="shared" ref="AI16:AI18" si="6">IFERROR(IF(AND(AB15="Probabilidad",AB16="Probabilidad"),(AK15-(+AK15*AE16)),IF(AND(AB15="Impacto",AB16="Probabilidad"),(AK14-(+AK14*AE16)),IF(AB16="Impacto",AK15,""))),"")</f>
        <v/>
      </c>
      <c r="AJ16" s="187" t="str">
        <f t="shared" si="2"/>
        <v/>
      </c>
      <c r="AK16" s="185" t="str">
        <f t="shared" si="3"/>
        <v/>
      </c>
      <c r="AL16" s="187" t="str">
        <f t="shared" si="4"/>
        <v/>
      </c>
      <c r="AM16" s="185" t="str">
        <f t="shared" ref="AM16:AM18" si="7">IFERROR(IF(AND(AB15="Impacto",AB16="Impacto"),(AM15-(+AM15*AE16)),IF(AND(AB15="Probabilidad",AB16="Impacto"),(AM14-(+AM14*AE16)),IF(AB16="Probabilidad",AM15,""))),"")</f>
        <v/>
      </c>
      <c r="AN16" s="188" t="str">
        <f>IFERROR(IF(OR(AND(AJ16="Muy Baja",AL16="Leve"),AND(AJ16="Muy Baja",AL16="Menor"),AND(AJ16="Baja",AL16="Leve")),"Bajo",IF(OR(AND(AJ16="Muy baja",AL16="Moderado"),AND(AJ16="Baja",AL16="Menor"),AND(AJ16="Baja",AL16="Moderado"),AND(AJ16="Media",AL16="Leve"),AND(AJ16="Media",AL16="Menor"),AND(AJ16="Media",AL16="Moderado"),AND(AJ16="Alta",AL16="Leve"),AND(AJ16="Alta",AL16="Menor")),"Moderado",IF(OR(AND(AJ16="Muy Baja",AL16="Mayor"),AND(AJ16="Baja",AL16="Mayor"),AND(AJ16="Media",AL16="Mayor"),AND(AJ16="Alta",AL16="Moderado"),AND(AJ16="Alta",AL16="Mayor"),AND(AJ16="Muy Alta",AL16="Leve"),AND(AJ16="Muy Alta",AL16="Menor"),AND(AJ16="Muy Alta",AL16="Moderado"),AND(AJ16="Muy Alta",AL16="Mayor")),"Alto",IF(OR(AND(AJ16="Muy Baja",AL16="Catastrófico"),AND(AJ16="Baja",AL16="Catastrófico"),AND(AJ16="Media",AL16="Catastrófico"),AND(AJ16="Alta",AL16="Catastrófico"),AND(AJ16="Muy Alta",AL16="Catastrófico")),"Extremo","")))),"")</f>
        <v/>
      </c>
      <c r="AO16" s="189"/>
      <c r="AP16" s="180"/>
      <c r="AQ16" s="190"/>
      <c r="AR16" s="190"/>
      <c r="AS16" s="191"/>
      <c r="AT16" s="340"/>
      <c r="AU16" s="340"/>
      <c r="AV16" s="340"/>
    </row>
    <row r="17" spans="1:48" ht="37.5" customHeight="1" x14ac:dyDescent="0.2">
      <c r="A17" s="342"/>
      <c r="B17" s="340"/>
      <c r="C17" s="340"/>
      <c r="D17" s="340"/>
      <c r="E17" s="523"/>
      <c r="F17" s="340"/>
      <c r="G17" s="322"/>
      <c r="H17" s="322"/>
      <c r="I17" s="322"/>
      <c r="J17" s="322"/>
      <c r="K17" s="322"/>
      <c r="L17" s="322"/>
      <c r="M17" s="322"/>
      <c r="N17" s="322"/>
      <c r="O17" s="322"/>
      <c r="P17" s="322"/>
      <c r="Q17" s="322"/>
      <c r="R17" s="329"/>
      <c r="S17" s="326"/>
      <c r="T17" s="325"/>
      <c r="U17" s="315"/>
      <c r="V17" s="325">
        <f>IF(NOT(ISERROR(MATCH(U17,_xlfn.ANCHORARRAY(E28),0))),T30&amp;"Por favor no seleccionar los criterios de impacto",U17)</f>
        <v>0</v>
      </c>
      <c r="W17" s="326"/>
      <c r="X17" s="325"/>
      <c r="Y17" s="324"/>
      <c r="Z17" s="208">
        <v>5</v>
      </c>
      <c r="AA17" s="181"/>
      <c r="AB17" s="183" t="str">
        <f t="shared" si="0"/>
        <v/>
      </c>
      <c r="AC17" s="184"/>
      <c r="AD17" s="184"/>
      <c r="AE17" s="185" t="str">
        <f t="shared" si="1"/>
        <v/>
      </c>
      <c r="AF17" s="184"/>
      <c r="AG17" s="184"/>
      <c r="AH17" s="184"/>
      <c r="AI17" s="186" t="str">
        <f t="shared" si="6"/>
        <v/>
      </c>
      <c r="AJ17" s="187" t="str">
        <f t="shared" si="2"/>
        <v/>
      </c>
      <c r="AK17" s="185" t="str">
        <f t="shared" si="3"/>
        <v/>
      </c>
      <c r="AL17" s="187" t="str">
        <f t="shared" si="4"/>
        <v/>
      </c>
      <c r="AM17" s="185" t="str">
        <f t="shared" si="7"/>
        <v/>
      </c>
      <c r="AN17" s="188" t="str">
        <f t="shared" si="5"/>
        <v/>
      </c>
      <c r="AO17" s="189"/>
      <c r="AP17" s="180"/>
      <c r="AQ17" s="190"/>
      <c r="AR17" s="190"/>
      <c r="AS17" s="191"/>
      <c r="AT17" s="340"/>
      <c r="AU17" s="340"/>
      <c r="AV17" s="340"/>
    </row>
    <row r="18" spans="1:48" ht="37.5" customHeight="1" x14ac:dyDescent="0.2">
      <c r="A18" s="342"/>
      <c r="B18" s="340"/>
      <c r="C18" s="340"/>
      <c r="D18" s="340"/>
      <c r="E18" s="523"/>
      <c r="F18" s="340"/>
      <c r="G18" s="323"/>
      <c r="H18" s="323"/>
      <c r="I18" s="323"/>
      <c r="J18" s="323"/>
      <c r="K18" s="323"/>
      <c r="L18" s="323"/>
      <c r="M18" s="323"/>
      <c r="N18" s="323"/>
      <c r="O18" s="323"/>
      <c r="P18" s="323"/>
      <c r="Q18" s="323"/>
      <c r="R18" s="329"/>
      <c r="S18" s="326"/>
      <c r="T18" s="325"/>
      <c r="U18" s="315"/>
      <c r="V18" s="325">
        <f>IF(NOT(ISERROR(MATCH(U18,_xlfn.ANCHORARRAY(E29),0))),T31&amp;"Por favor no seleccionar los criterios de impacto",U18)</f>
        <v>0</v>
      </c>
      <c r="W18" s="326"/>
      <c r="X18" s="325"/>
      <c r="Y18" s="324"/>
      <c r="Z18" s="208">
        <v>6</v>
      </c>
      <c r="AA18" s="181"/>
      <c r="AB18" s="183" t="str">
        <f t="shared" si="0"/>
        <v/>
      </c>
      <c r="AC18" s="184"/>
      <c r="AD18" s="184"/>
      <c r="AE18" s="185" t="str">
        <f t="shared" si="1"/>
        <v/>
      </c>
      <c r="AF18" s="184"/>
      <c r="AG18" s="184"/>
      <c r="AH18" s="184"/>
      <c r="AI18" s="186" t="str">
        <f t="shared" si="6"/>
        <v/>
      </c>
      <c r="AJ18" s="187" t="str">
        <f t="shared" si="2"/>
        <v/>
      </c>
      <c r="AK18" s="185" t="str">
        <f t="shared" si="3"/>
        <v/>
      </c>
      <c r="AL18" s="187" t="str">
        <f t="shared" si="4"/>
        <v/>
      </c>
      <c r="AM18" s="185" t="str">
        <f t="shared" si="7"/>
        <v/>
      </c>
      <c r="AN18" s="188" t="str">
        <f t="shared" si="5"/>
        <v/>
      </c>
      <c r="AO18" s="189"/>
      <c r="AP18" s="180"/>
      <c r="AQ18" s="190"/>
      <c r="AR18" s="190"/>
      <c r="AS18" s="191"/>
      <c r="AT18" s="340"/>
      <c r="AU18" s="340"/>
      <c r="AV18" s="340"/>
    </row>
    <row r="19" spans="1:48" ht="37.5" customHeight="1" x14ac:dyDescent="0.2">
      <c r="A19" s="342">
        <v>2</v>
      </c>
      <c r="B19" s="340"/>
      <c r="C19" s="340"/>
      <c r="D19" s="340"/>
      <c r="E19" s="523"/>
      <c r="F19" s="340"/>
      <c r="G19" s="321"/>
      <c r="H19" s="321"/>
      <c r="I19" s="321"/>
      <c r="J19" s="321"/>
      <c r="K19" s="321"/>
      <c r="L19" s="321"/>
      <c r="M19" s="321"/>
      <c r="N19" s="321"/>
      <c r="O19" s="321"/>
      <c r="P19" s="321"/>
      <c r="Q19" s="321"/>
      <c r="R19" s="329"/>
      <c r="S19" s="326" t="str">
        <f>IF(R19&lt;=0,"",IF(R19&lt;=2,"Muy Baja",IF(R19&lt;=24,"Baja",IF(R19&lt;=500,"Media",IF(R19&lt;=5000,"Alta","Muy Alta")))))</f>
        <v/>
      </c>
      <c r="T19" s="325" t="str">
        <f>IF(S19="","",IF(S19="Muy Baja",0.2,IF(S19="Baja",0.4,IF(S19="Media",0.6,IF(S19="Alta",0.8,IF(S19="Muy Alta",1,))))))</f>
        <v/>
      </c>
      <c r="U19" s="315"/>
      <c r="V19" s="325">
        <f>IF(NOT(ISERROR(MATCH(U19,'Tabla Impacto'!$B$222:$B$224,0))),'Tabla Impacto'!$F$224&amp;"Por favor no seleccionar los criterios de impacto(Afectación Económica o presupuestal y Pérdida Reputacional)",U19)</f>
        <v>0</v>
      </c>
      <c r="W19" s="326" t="str">
        <f>IF(OR(V19='Tabla Impacto'!$C$12,V19='Tabla Impacto'!$D$12),"Leve",IF(OR(V19='Tabla Impacto'!$C$13,V19='Tabla Impacto'!$D$13),"Menor",IF(OR(V19='Tabla Impacto'!$C$14,V19='Tabla Impacto'!$D$14),"Moderado",IF(OR(V19='Tabla Impacto'!$C$15,V19='Tabla Impacto'!$D$15),"Mayor",IF(OR(V19='Tabla Impacto'!$C$16,V19='Tabla Impacto'!$D$16),"Catastrófico","")))))</f>
        <v/>
      </c>
      <c r="X19" s="325" t="str">
        <f>IF(W19="","",IF(W19="Leve",0.2,IF(W19="Menor",0.4,IF(W19="Moderado",0.6,IF(W19="Mayor",0.8,IF(W19="Catastrófico",1,))))))</f>
        <v/>
      </c>
      <c r="Y19" s="324" t="str">
        <f>IF(OR(AND(S19="Muy Baja",W19="Leve"),AND(S19="Muy Baja",W19="Menor"),AND(S19="Baja",W19="Leve")),"Bajo",IF(OR(AND(S19="Muy baja",W19="Moderado"),AND(S19="Baja",W19="Menor"),AND(S19="Baja",W19="Moderado"),AND(S19="Media",W19="Leve"),AND(S19="Media",W19="Menor"),AND(S19="Media",W19="Moderado"),AND(S19="Alta",W19="Leve"),AND(S19="Alta",W19="Menor")),"Moderado",IF(OR(AND(S19="Muy Baja",W19="Mayor"),AND(S19="Baja",W19="Mayor"),AND(S19="Media",W19="Mayor"),AND(S19="Alta",W19="Moderado"),AND(S19="Alta",W19="Mayor"),AND(S19="Muy Alta",W19="Leve"),AND(S19="Muy Alta",W19="Menor"),AND(S19="Muy Alta",W19="Moderado"),AND(S19="Muy Alta",W19="Mayor")),"Alto",IF(OR(AND(S19="Muy Baja",W19="Catastrófico"),AND(S19="Baja",W19="Catastrófico"),AND(S19="Media",W19="Catastrófico"),AND(S19="Alta",W19="Catastrófico"),AND(S19="Muy Alta",W19="Catastrófico")),"Extremo",""))))</f>
        <v/>
      </c>
      <c r="Z19" s="208">
        <v>1</v>
      </c>
      <c r="AA19" s="181"/>
      <c r="AB19" s="183" t="str">
        <f>IF(OR(AC19="Preventivo",AC19="Detectivo"),"Probabilidad",IF(AC19="Correctivo","Impacto",""))</f>
        <v/>
      </c>
      <c r="AC19" s="184"/>
      <c r="AD19" s="184"/>
      <c r="AE19" s="185" t="str">
        <f>IF(AND(AC19="Preventivo",AD19="Automático"),"50%",IF(AND(AC19="Preventivo",AD19="Manual"),"40%",IF(AND(AC19="Detectivo",AD19="Automático"),"40%",IF(AND(AC19="Detectivo",AD19="Manual"),"30%",IF(AND(AC19="Correctivo",AD19="Automático"),"35%",IF(AND(AC19="Correctivo",AD19="Manual"),"25%",""))))))</f>
        <v/>
      </c>
      <c r="AF19" s="184"/>
      <c r="AG19" s="184"/>
      <c r="AH19" s="184"/>
      <c r="AI19" s="186" t="str">
        <f>IFERROR(IF(AB19="Probabilidad",(T19-(+T19*AE19)),IF(AB19="Impacto",T19,"")),"")</f>
        <v/>
      </c>
      <c r="AJ19" s="187" t="str">
        <f>IFERROR(IF(AI19="","",IF(AI19&lt;=0.2,"Muy Baja",IF(AI19&lt;=0.4,"Baja",IF(AI19&lt;=0.6,"Media",IF(AI19&lt;=0.8,"Alta","Muy Alta"))))),"")</f>
        <v/>
      </c>
      <c r="AK19" s="185" t="str">
        <f>+AI19</f>
        <v/>
      </c>
      <c r="AL19" s="187" t="str">
        <f>IFERROR(IF(AM19="","",IF(AM19&lt;=0.2,"Leve",IF(AM19&lt;=0.4,"Menor",IF(AM19&lt;=0.6,"Moderado",IF(AM19&lt;=0.8,"Mayor","Catastrófico"))))),"")</f>
        <v/>
      </c>
      <c r="AM19" s="185" t="str">
        <f t="shared" ref="AM19" si="8">IFERROR(IF(AB19="Impacto",(X19-(+X19*AE19)),IF(AB19="Probabilidad",X19,"")),"")</f>
        <v/>
      </c>
      <c r="AN19" s="188" t="str">
        <f>IFERROR(IF(OR(AND(AJ19="Muy Baja",AL19="Leve"),AND(AJ19="Muy Baja",AL19="Menor"),AND(AJ19="Baja",AL19="Leve")),"Bajo",IF(OR(AND(AJ19="Muy baja",AL19="Moderado"),AND(AJ19="Baja",AL19="Menor"),AND(AJ19="Baja",AL19="Moderado"),AND(AJ19="Media",AL19="Leve"),AND(AJ19="Media",AL19="Menor"),AND(AJ19="Media",AL19="Moderado"),AND(AJ19="Alta",AL19="Leve"),AND(AJ19="Alta",AL19="Menor")),"Moderado",IF(OR(AND(AJ19="Muy Baja",AL19="Mayor"),AND(AJ19="Baja",AL19="Mayor"),AND(AJ19="Media",AL19="Mayor"),AND(AJ19="Alta",AL19="Moderado"),AND(AJ19="Alta",AL19="Mayor"),AND(AJ19="Muy Alta",AL19="Leve"),AND(AJ19="Muy Alta",AL19="Menor"),AND(AJ19="Muy Alta",AL19="Moderado"),AND(AJ19="Muy Alta",AL19="Mayor")),"Alto",IF(OR(AND(AJ19="Muy Baja",AL19="Catastrófico"),AND(AJ19="Baja",AL19="Catastrófico"),AND(AJ19="Media",AL19="Catastrófico"),AND(AJ19="Alta",AL19="Catastrófico"),AND(AJ19="Muy Alta",AL19="Catastrófico")),"Extremo","")))),"")</f>
        <v/>
      </c>
      <c r="AO19" s="189"/>
      <c r="AP19" s="180"/>
      <c r="AQ19" s="190"/>
      <c r="AR19" s="190"/>
      <c r="AS19" s="191"/>
      <c r="AT19" s="329"/>
      <c r="AU19" s="329"/>
      <c r="AV19" s="329"/>
    </row>
    <row r="20" spans="1:48" ht="37.5" customHeight="1" x14ac:dyDescent="0.2">
      <c r="A20" s="342"/>
      <c r="B20" s="340"/>
      <c r="C20" s="340"/>
      <c r="D20" s="340"/>
      <c r="E20" s="523"/>
      <c r="F20" s="340"/>
      <c r="G20" s="322"/>
      <c r="H20" s="322"/>
      <c r="I20" s="322"/>
      <c r="J20" s="322"/>
      <c r="K20" s="322"/>
      <c r="L20" s="322"/>
      <c r="M20" s="322"/>
      <c r="N20" s="322"/>
      <c r="O20" s="322"/>
      <c r="P20" s="322"/>
      <c r="Q20" s="322"/>
      <c r="R20" s="329"/>
      <c r="S20" s="326"/>
      <c r="T20" s="325"/>
      <c r="U20" s="315"/>
      <c r="V20" s="325">
        <f>IF(NOT(ISERROR(MATCH(U20,_xlfn.ANCHORARRAY(E31),0))),T33&amp;"Por favor no seleccionar los criterios de impacto",U20)</f>
        <v>0</v>
      </c>
      <c r="W20" s="326"/>
      <c r="X20" s="325"/>
      <c r="Y20" s="324"/>
      <c r="Z20" s="208">
        <v>2</v>
      </c>
      <c r="AA20" s="181"/>
      <c r="AB20" s="183" t="str">
        <f>IF(OR(AC20="Preventivo",AC20="Detectivo"),"Probabilidad",IF(AC20="Correctivo","Impacto",""))</f>
        <v/>
      </c>
      <c r="AC20" s="184"/>
      <c r="AD20" s="184"/>
      <c r="AE20" s="185" t="str">
        <f t="shared" ref="AE20:AE24" si="9">IF(AND(AC20="Preventivo",AD20="Automático"),"50%",IF(AND(AC20="Preventivo",AD20="Manual"),"40%",IF(AND(AC20="Detectivo",AD20="Automático"),"40%",IF(AND(AC20="Detectivo",AD20="Manual"),"30%",IF(AND(AC20="Correctivo",AD20="Automático"),"35%",IF(AND(AC20="Correctivo",AD20="Manual"),"25%",""))))))</f>
        <v/>
      </c>
      <c r="AF20" s="184"/>
      <c r="AG20" s="184"/>
      <c r="AH20" s="184"/>
      <c r="AI20" s="186" t="str">
        <f>IFERROR(IF(AND(AB19="Probabilidad",AB20="Probabilidad"),(AK19-(+AK19*AE20)),IF(AB20="Probabilidad",(T19-(+T19*AE20)),IF(AB20="Impacto",AK19,""))),"")</f>
        <v/>
      </c>
      <c r="AJ20" s="187" t="str">
        <f t="shared" si="2"/>
        <v/>
      </c>
      <c r="AK20" s="185" t="str">
        <f t="shared" ref="AK20:AK24" si="10">+AI20</f>
        <v/>
      </c>
      <c r="AL20" s="187" t="str">
        <f t="shared" si="4"/>
        <v/>
      </c>
      <c r="AM20" s="185" t="str">
        <f t="shared" ref="AM20" si="11">IFERROR(IF(AND(AB19="Impacto",AB20="Impacto"),(AM19-(+AM19*AE20)),IF(AB20="Impacto",($X$13-(+$X$13*AE20)),IF(AB20="Probabilidad",AM19,""))),"")</f>
        <v/>
      </c>
      <c r="AN20" s="188" t="str">
        <f t="shared" ref="AN20:AN21" si="12">IFERROR(IF(OR(AND(AJ20="Muy Baja",AL20="Leve"),AND(AJ20="Muy Baja",AL20="Menor"),AND(AJ20="Baja",AL20="Leve")),"Bajo",IF(OR(AND(AJ20="Muy baja",AL20="Moderado"),AND(AJ20="Baja",AL20="Menor"),AND(AJ20="Baja",AL20="Moderado"),AND(AJ20="Media",AL20="Leve"),AND(AJ20="Media",AL20="Menor"),AND(AJ20="Media",AL20="Moderado"),AND(AJ20="Alta",AL20="Leve"),AND(AJ20="Alta",AL20="Menor")),"Moderado",IF(OR(AND(AJ20="Muy Baja",AL20="Mayor"),AND(AJ20="Baja",AL20="Mayor"),AND(AJ20="Media",AL20="Mayor"),AND(AJ20="Alta",AL20="Moderado"),AND(AJ20="Alta",AL20="Mayor"),AND(AJ20="Muy Alta",AL20="Leve"),AND(AJ20="Muy Alta",AL20="Menor"),AND(AJ20="Muy Alta",AL20="Moderado"),AND(AJ20="Muy Alta",AL20="Mayor")),"Alto",IF(OR(AND(AJ20="Muy Baja",AL20="Catastrófico"),AND(AJ20="Baja",AL20="Catastrófico"),AND(AJ20="Media",AL20="Catastrófico"),AND(AJ20="Alta",AL20="Catastrófico"),AND(AJ20="Muy Alta",AL20="Catastrófico")),"Extremo","")))),"")</f>
        <v/>
      </c>
      <c r="AO20" s="189"/>
      <c r="AP20" s="180"/>
      <c r="AQ20" s="190"/>
      <c r="AR20" s="180"/>
      <c r="AS20" s="191"/>
      <c r="AT20" s="329"/>
      <c r="AU20" s="329"/>
      <c r="AV20" s="329"/>
    </row>
    <row r="21" spans="1:48" ht="37.5" customHeight="1" x14ac:dyDescent="0.2">
      <c r="A21" s="342"/>
      <c r="B21" s="340"/>
      <c r="C21" s="340"/>
      <c r="D21" s="340"/>
      <c r="E21" s="523"/>
      <c r="F21" s="340"/>
      <c r="G21" s="322"/>
      <c r="H21" s="322"/>
      <c r="I21" s="322"/>
      <c r="J21" s="322"/>
      <c r="K21" s="322"/>
      <c r="L21" s="322"/>
      <c r="M21" s="322"/>
      <c r="N21" s="322"/>
      <c r="O21" s="322"/>
      <c r="P21" s="322"/>
      <c r="Q21" s="322"/>
      <c r="R21" s="329"/>
      <c r="S21" s="326"/>
      <c r="T21" s="325"/>
      <c r="U21" s="315"/>
      <c r="V21" s="325">
        <f>IF(NOT(ISERROR(MATCH(U21,_xlfn.ANCHORARRAY(E32),0))),T34&amp;"Por favor no seleccionar los criterios de impacto",U21)</f>
        <v>0</v>
      </c>
      <c r="W21" s="326"/>
      <c r="X21" s="325"/>
      <c r="Y21" s="324"/>
      <c r="Z21" s="208">
        <v>3</v>
      </c>
      <c r="AA21" s="182"/>
      <c r="AB21" s="183" t="str">
        <f>IF(OR(AC21="Preventivo",AC21="Detectivo"),"Probabilidad",IF(AC21="Correctivo","Impacto",""))</f>
        <v/>
      </c>
      <c r="AC21" s="184"/>
      <c r="AD21" s="184"/>
      <c r="AE21" s="185" t="str">
        <f t="shared" si="9"/>
        <v/>
      </c>
      <c r="AF21" s="184"/>
      <c r="AG21" s="184"/>
      <c r="AH21" s="184"/>
      <c r="AI21" s="186" t="str">
        <f>IFERROR(IF(AND(AB20="Probabilidad",AB21="Probabilidad"),(AK20-(+AK20*AE21)),IF(AND(AB20="Impacto",AB21="Probabilidad"),(AK19-(+AK19*AE21)),IF(AB21="Impacto",AK20,""))),"")</f>
        <v/>
      </c>
      <c r="AJ21" s="187" t="str">
        <f t="shared" si="2"/>
        <v/>
      </c>
      <c r="AK21" s="185" t="str">
        <f t="shared" si="10"/>
        <v/>
      </c>
      <c r="AL21" s="187" t="str">
        <f t="shared" si="4"/>
        <v/>
      </c>
      <c r="AM21" s="185" t="str">
        <f t="shared" ref="AM21:AM72" si="13">IFERROR(IF(AND(AB20="Impacto",AB21="Impacto"),(AM20-(+AM20*AE21)),IF(AND(AB20="Probabilidad",AB21="Impacto"),(AM19-(+AM19*AE21)),IF(AB21="Probabilidad",AM20,""))),"")</f>
        <v/>
      </c>
      <c r="AN21" s="188" t="str">
        <f t="shared" si="12"/>
        <v/>
      </c>
      <c r="AO21" s="189"/>
      <c r="AP21" s="180"/>
      <c r="AQ21" s="190"/>
      <c r="AR21" s="190"/>
      <c r="AS21" s="191"/>
      <c r="AT21" s="329"/>
      <c r="AU21" s="329"/>
      <c r="AV21" s="329"/>
    </row>
    <row r="22" spans="1:48" ht="37.5" customHeight="1" x14ac:dyDescent="0.2">
      <c r="A22" s="342"/>
      <c r="B22" s="340"/>
      <c r="C22" s="340"/>
      <c r="D22" s="340"/>
      <c r="E22" s="523"/>
      <c r="F22" s="340"/>
      <c r="G22" s="322"/>
      <c r="H22" s="322"/>
      <c r="I22" s="322"/>
      <c r="J22" s="322"/>
      <c r="K22" s="322"/>
      <c r="L22" s="322"/>
      <c r="M22" s="322"/>
      <c r="N22" s="322"/>
      <c r="O22" s="322"/>
      <c r="P22" s="322"/>
      <c r="Q22" s="322"/>
      <c r="R22" s="329"/>
      <c r="S22" s="326"/>
      <c r="T22" s="325"/>
      <c r="U22" s="315"/>
      <c r="V22" s="325">
        <f>IF(NOT(ISERROR(MATCH(U22,_xlfn.ANCHORARRAY(E33),0))),T35&amp;"Por favor no seleccionar los criterios de impacto",U22)</f>
        <v>0</v>
      </c>
      <c r="W22" s="326"/>
      <c r="X22" s="325"/>
      <c r="Y22" s="324"/>
      <c r="Z22" s="208">
        <v>4</v>
      </c>
      <c r="AA22" s="181"/>
      <c r="AB22" s="183" t="str">
        <f t="shared" ref="AB22:AB24" si="14">IF(OR(AC22="Preventivo",AC22="Detectivo"),"Probabilidad",IF(AC22="Correctivo","Impacto",""))</f>
        <v/>
      </c>
      <c r="AC22" s="184"/>
      <c r="AD22" s="184"/>
      <c r="AE22" s="185" t="str">
        <f t="shared" si="9"/>
        <v/>
      </c>
      <c r="AF22" s="184"/>
      <c r="AG22" s="184"/>
      <c r="AH22" s="184"/>
      <c r="AI22" s="186" t="str">
        <f t="shared" ref="AI22:AI24" si="15">IFERROR(IF(AND(AB21="Probabilidad",AB22="Probabilidad"),(AK21-(+AK21*AE22)),IF(AND(AB21="Impacto",AB22="Probabilidad"),(AK20-(+AK20*AE22)),IF(AB22="Impacto",AK21,""))),"")</f>
        <v/>
      </c>
      <c r="AJ22" s="187" t="str">
        <f t="shared" si="2"/>
        <v/>
      </c>
      <c r="AK22" s="185" t="str">
        <f t="shared" si="10"/>
        <v/>
      </c>
      <c r="AL22" s="187" t="str">
        <f t="shared" si="4"/>
        <v/>
      </c>
      <c r="AM22" s="185" t="str">
        <f t="shared" si="13"/>
        <v/>
      </c>
      <c r="AN22" s="188" t="str">
        <f>IFERROR(IF(OR(AND(AJ22="Muy Baja",AL22="Leve"),AND(AJ22="Muy Baja",AL22="Menor"),AND(AJ22="Baja",AL22="Leve")),"Bajo",IF(OR(AND(AJ22="Muy baja",AL22="Moderado"),AND(AJ22="Baja",AL22="Menor"),AND(AJ22="Baja",AL22="Moderado"),AND(AJ22="Media",AL22="Leve"),AND(AJ22="Media",AL22="Menor"),AND(AJ22="Media",AL22="Moderado"),AND(AJ22="Alta",AL22="Leve"),AND(AJ22="Alta",AL22="Menor")),"Moderado",IF(OR(AND(AJ22="Muy Baja",AL22="Mayor"),AND(AJ22="Baja",AL22="Mayor"),AND(AJ22="Media",AL22="Mayor"),AND(AJ22="Alta",AL22="Moderado"),AND(AJ22="Alta",AL22="Mayor"),AND(AJ22="Muy Alta",AL22="Leve"),AND(AJ22="Muy Alta",AL22="Menor"),AND(AJ22="Muy Alta",AL22="Moderado"),AND(AJ22="Muy Alta",AL22="Mayor")),"Alto",IF(OR(AND(AJ22="Muy Baja",AL22="Catastrófico"),AND(AJ22="Baja",AL22="Catastrófico"),AND(AJ22="Media",AL22="Catastrófico"),AND(AJ22="Alta",AL22="Catastrófico"),AND(AJ22="Muy Alta",AL22="Catastrófico")),"Extremo","")))),"")</f>
        <v/>
      </c>
      <c r="AO22" s="189"/>
      <c r="AP22" s="180"/>
      <c r="AQ22" s="190"/>
      <c r="AR22" s="190"/>
      <c r="AS22" s="191"/>
      <c r="AT22" s="329"/>
      <c r="AU22" s="329"/>
      <c r="AV22" s="329"/>
    </row>
    <row r="23" spans="1:48" ht="37.5" customHeight="1" x14ac:dyDescent="0.2">
      <c r="A23" s="342"/>
      <c r="B23" s="340"/>
      <c r="C23" s="340"/>
      <c r="D23" s="340"/>
      <c r="E23" s="523"/>
      <c r="F23" s="340"/>
      <c r="G23" s="322"/>
      <c r="H23" s="322"/>
      <c r="I23" s="322"/>
      <c r="J23" s="322"/>
      <c r="K23" s="322"/>
      <c r="L23" s="322"/>
      <c r="M23" s="322"/>
      <c r="N23" s="322"/>
      <c r="O23" s="322"/>
      <c r="P23" s="322"/>
      <c r="Q23" s="322"/>
      <c r="R23" s="329"/>
      <c r="S23" s="326"/>
      <c r="T23" s="325"/>
      <c r="U23" s="315"/>
      <c r="V23" s="325">
        <f>IF(NOT(ISERROR(MATCH(U23,_xlfn.ANCHORARRAY(E34),0))),T36&amp;"Por favor no seleccionar los criterios de impacto",U23)</f>
        <v>0</v>
      </c>
      <c r="W23" s="326"/>
      <c r="X23" s="325"/>
      <c r="Y23" s="324"/>
      <c r="Z23" s="208">
        <v>5</v>
      </c>
      <c r="AA23" s="181"/>
      <c r="AB23" s="183" t="str">
        <f t="shared" si="14"/>
        <v/>
      </c>
      <c r="AC23" s="184"/>
      <c r="AD23" s="184"/>
      <c r="AE23" s="185" t="str">
        <f t="shared" si="9"/>
        <v/>
      </c>
      <c r="AF23" s="184"/>
      <c r="AG23" s="184"/>
      <c r="AH23" s="184"/>
      <c r="AI23" s="186" t="str">
        <f t="shared" si="15"/>
        <v/>
      </c>
      <c r="AJ23" s="187" t="str">
        <f t="shared" si="2"/>
        <v/>
      </c>
      <c r="AK23" s="185" t="str">
        <f t="shared" si="10"/>
        <v/>
      </c>
      <c r="AL23" s="187" t="str">
        <f t="shared" si="4"/>
        <v/>
      </c>
      <c r="AM23" s="185" t="str">
        <f t="shared" si="13"/>
        <v/>
      </c>
      <c r="AN23" s="188" t="str">
        <f t="shared" ref="AN23:AN24" si="16">IFERROR(IF(OR(AND(AJ23="Muy Baja",AL23="Leve"),AND(AJ23="Muy Baja",AL23="Menor"),AND(AJ23="Baja",AL23="Leve")),"Bajo",IF(OR(AND(AJ23="Muy baja",AL23="Moderado"),AND(AJ23="Baja",AL23="Menor"),AND(AJ23="Baja",AL23="Moderado"),AND(AJ23="Media",AL23="Leve"),AND(AJ23="Media",AL23="Menor"),AND(AJ23="Media",AL23="Moderado"),AND(AJ23="Alta",AL23="Leve"),AND(AJ23="Alta",AL23="Menor")),"Moderado",IF(OR(AND(AJ23="Muy Baja",AL23="Mayor"),AND(AJ23="Baja",AL23="Mayor"),AND(AJ23="Media",AL23="Mayor"),AND(AJ23="Alta",AL23="Moderado"),AND(AJ23="Alta",AL23="Mayor"),AND(AJ23="Muy Alta",AL23="Leve"),AND(AJ23="Muy Alta",AL23="Menor"),AND(AJ23="Muy Alta",AL23="Moderado"),AND(AJ23="Muy Alta",AL23="Mayor")),"Alto",IF(OR(AND(AJ23="Muy Baja",AL23="Catastrófico"),AND(AJ23="Baja",AL23="Catastrófico"),AND(AJ23="Media",AL23="Catastrófico"),AND(AJ23="Alta",AL23="Catastrófico"),AND(AJ23="Muy Alta",AL23="Catastrófico")),"Extremo","")))),"")</f>
        <v/>
      </c>
      <c r="AO23" s="189"/>
      <c r="AP23" s="180"/>
      <c r="AQ23" s="190"/>
      <c r="AR23" s="190"/>
      <c r="AS23" s="191"/>
      <c r="AT23" s="329"/>
      <c r="AU23" s="329"/>
      <c r="AV23" s="329"/>
    </row>
    <row r="24" spans="1:48" ht="37.5" customHeight="1" x14ac:dyDescent="0.2">
      <c r="A24" s="342"/>
      <c r="B24" s="340"/>
      <c r="C24" s="340"/>
      <c r="D24" s="340"/>
      <c r="E24" s="523"/>
      <c r="F24" s="340"/>
      <c r="G24" s="323"/>
      <c r="H24" s="323"/>
      <c r="I24" s="323"/>
      <c r="J24" s="323"/>
      <c r="K24" s="323"/>
      <c r="L24" s="323"/>
      <c r="M24" s="323"/>
      <c r="N24" s="323"/>
      <c r="O24" s="323"/>
      <c r="P24" s="323"/>
      <c r="Q24" s="323"/>
      <c r="R24" s="329"/>
      <c r="S24" s="326"/>
      <c r="T24" s="325"/>
      <c r="U24" s="315"/>
      <c r="V24" s="325">
        <f>IF(NOT(ISERROR(MATCH(U24,_xlfn.ANCHORARRAY(E35),0))),T37&amp;"Por favor no seleccionar los criterios de impacto",U24)</f>
        <v>0</v>
      </c>
      <c r="W24" s="326"/>
      <c r="X24" s="325"/>
      <c r="Y24" s="324"/>
      <c r="Z24" s="208">
        <v>6</v>
      </c>
      <c r="AA24" s="181"/>
      <c r="AB24" s="183" t="str">
        <f t="shared" si="14"/>
        <v/>
      </c>
      <c r="AC24" s="184"/>
      <c r="AD24" s="184"/>
      <c r="AE24" s="185" t="str">
        <f t="shared" si="9"/>
        <v/>
      </c>
      <c r="AF24" s="184"/>
      <c r="AG24" s="184"/>
      <c r="AH24" s="184"/>
      <c r="AI24" s="186" t="str">
        <f t="shared" si="15"/>
        <v/>
      </c>
      <c r="AJ24" s="187" t="str">
        <f t="shared" si="2"/>
        <v/>
      </c>
      <c r="AK24" s="185" t="str">
        <f t="shared" si="10"/>
        <v/>
      </c>
      <c r="AL24" s="187" t="str">
        <f t="shared" si="4"/>
        <v/>
      </c>
      <c r="AM24" s="185" t="str">
        <f t="shared" si="13"/>
        <v/>
      </c>
      <c r="AN24" s="188" t="str">
        <f t="shared" si="16"/>
        <v/>
      </c>
      <c r="AO24" s="189"/>
      <c r="AP24" s="180"/>
      <c r="AQ24" s="190"/>
      <c r="AR24" s="190"/>
      <c r="AS24" s="191"/>
      <c r="AT24" s="329"/>
      <c r="AU24" s="329"/>
      <c r="AV24" s="329"/>
    </row>
    <row r="25" spans="1:48" ht="37.5" customHeight="1" x14ac:dyDescent="0.2">
      <c r="A25" s="342">
        <v>3</v>
      </c>
      <c r="B25" s="340"/>
      <c r="C25" s="340"/>
      <c r="D25" s="340"/>
      <c r="E25" s="523"/>
      <c r="F25" s="340"/>
      <c r="G25" s="321"/>
      <c r="H25" s="321"/>
      <c r="I25" s="321"/>
      <c r="J25" s="321"/>
      <c r="K25" s="321"/>
      <c r="L25" s="321"/>
      <c r="M25" s="321"/>
      <c r="N25" s="321"/>
      <c r="O25" s="321"/>
      <c r="P25" s="321"/>
      <c r="Q25" s="321"/>
      <c r="R25" s="329"/>
      <c r="S25" s="326" t="str">
        <f>IF(R25&lt;=0,"",IF(R25&lt;=2,"Muy Baja",IF(R25&lt;=24,"Baja",IF(R25&lt;=500,"Media",IF(R25&lt;=5000,"Alta","Muy Alta")))))</f>
        <v/>
      </c>
      <c r="T25" s="325" t="str">
        <f>IF(S25="","",IF(S25="Muy Baja",0.2,IF(S25="Baja",0.4,IF(S25="Media",0.6,IF(S25="Alta",0.8,IF(S25="Muy Alta",1,))))))</f>
        <v/>
      </c>
      <c r="U25" s="315"/>
      <c r="V25" s="325">
        <f>IF(NOT(ISERROR(MATCH(U25,'Tabla Impacto'!$B$222:$B$224,0))),'Tabla Impacto'!$F$224&amp;"Por favor no seleccionar los criterios de impacto(Afectación Económica o presupuestal y Pérdida Reputacional)",U25)</f>
        <v>0</v>
      </c>
      <c r="W25" s="326" t="str">
        <f>IF(OR(V25='Tabla Impacto'!$C$12,V25='Tabla Impacto'!$D$12),"Leve",IF(OR(V25='Tabla Impacto'!$C$13,V25='Tabla Impacto'!$D$13),"Menor",IF(OR(V25='Tabla Impacto'!$C$14,V25='Tabla Impacto'!$D$14),"Moderado",IF(OR(V25='Tabla Impacto'!$C$15,V25='Tabla Impacto'!$D$15),"Mayor",IF(OR(V25='Tabla Impacto'!$C$16,V25='Tabla Impacto'!$D$16),"Catastrófico","")))))</f>
        <v/>
      </c>
      <c r="X25" s="325" t="str">
        <f>IF(W25="","",IF(W25="Leve",0.2,IF(W25="Menor",0.4,IF(W25="Moderado",0.6,IF(W25="Mayor",0.8,IF(W25="Catastrófico",1,))))))</f>
        <v/>
      </c>
      <c r="Y25" s="324" t="str">
        <f>IF(OR(AND(S25="Muy Baja",W25="Leve"),AND(S25="Muy Baja",W25="Menor"),AND(S25="Baja",W25="Leve")),"Bajo",IF(OR(AND(S25="Muy baja",W25="Moderado"),AND(S25="Baja",W25="Menor"),AND(S25="Baja",W25="Moderado"),AND(S25="Media",W25="Leve"),AND(S25="Media",W25="Menor"),AND(S25="Media",W25="Moderado"),AND(S25="Alta",W25="Leve"),AND(S25="Alta",W25="Menor")),"Moderado",IF(OR(AND(S25="Muy Baja",W25="Mayor"),AND(S25="Baja",W25="Mayor"),AND(S25="Media",W25="Mayor"),AND(S25="Alta",W25="Moderado"),AND(S25="Alta",W25="Mayor"),AND(S25="Muy Alta",W25="Leve"),AND(S25="Muy Alta",W25="Menor"),AND(S25="Muy Alta",W25="Moderado"),AND(S25="Muy Alta",W25="Mayor")),"Alto",IF(OR(AND(S25="Muy Baja",W25="Catastrófico"),AND(S25="Baja",W25="Catastrófico"),AND(S25="Media",W25="Catastrófico"),AND(S25="Alta",W25="Catastrófico"),AND(S25="Muy Alta",W25="Catastrófico")),"Extremo",""))))</f>
        <v/>
      </c>
      <c r="Z25" s="208">
        <v>1</v>
      </c>
      <c r="AA25" s="181"/>
      <c r="AB25" s="183" t="str">
        <f>IF(OR(AC25="Preventivo",AC25="Detectivo"),"Probabilidad",IF(AC25="Correctivo","Impacto",""))</f>
        <v/>
      </c>
      <c r="AC25" s="184"/>
      <c r="AD25" s="184"/>
      <c r="AE25" s="185" t="str">
        <f>IF(AND(AC25="Preventivo",AD25="Automático"),"50%",IF(AND(AC25="Preventivo",AD25="Manual"),"40%",IF(AND(AC25="Detectivo",AD25="Automático"),"40%",IF(AND(AC25="Detectivo",AD25="Manual"),"30%",IF(AND(AC25="Correctivo",AD25="Automático"),"35%",IF(AND(AC25="Correctivo",AD25="Manual"),"25%",""))))))</f>
        <v/>
      </c>
      <c r="AF25" s="184"/>
      <c r="AG25" s="184"/>
      <c r="AH25" s="184"/>
      <c r="AI25" s="186" t="str">
        <f>IFERROR(IF(AB25="Probabilidad",(T25-(+T25*AE25)),IF(AB25="Impacto",T25,"")),"")</f>
        <v/>
      </c>
      <c r="AJ25" s="187" t="str">
        <f>IFERROR(IF(AI25="","",IF(AI25&lt;=0.2,"Muy Baja",IF(AI25&lt;=0.4,"Baja",IF(AI25&lt;=0.6,"Media",IF(AI25&lt;=0.8,"Alta","Muy Alta"))))),"")</f>
        <v/>
      </c>
      <c r="AK25" s="185" t="str">
        <f>+AI25</f>
        <v/>
      </c>
      <c r="AL25" s="187" t="str">
        <f>IFERROR(IF(AM25="","",IF(AM25&lt;=0.2,"Leve",IF(AM25&lt;=0.4,"Menor",IF(AM25&lt;=0.6,"Moderado",IF(AM25&lt;=0.8,"Mayor","Catastrófico"))))),"")</f>
        <v/>
      </c>
      <c r="AM25" s="185" t="str">
        <f t="shared" ref="AM25" si="17">IFERROR(IF(AB25="Impacto",(X25-(+X25*AE25)),IF(AB25="Probabilidad",X25,"")),"")</f>
        <v/>
      </c>
      <c r="AN25" s="188" t="str">
        <f>IFERROR(IF(OR(AND(AJ25="Muy Baja",AL25="Leve"),AND(AJ25="Muy Baja",AL25="Menor"),AND(AJ25="Baja",AL25="Leve")),"Bajo",IF(OR(AND(AJ25="Muy baja",AL25="Moderado"),AND(AJ25="Baja",AL25="Menor"),AND(AJ25="Baja",AL25="Moderado"),AND(AJ25="Media",AL25="Leve"),AND(AJ25="Media",AL25="Menor"),AND(AJ25="Media",AL25="Moderado"),AND(AJ25="Alta",AL25="Leve"),AND(AJ25="Alta",AL25="Menor")),"Moderado",IF(OR(AND(AJ25="Muy Baja",AL25="Mayor"),AND(AJ25="Baja",AL25="Mayor"),AND(AJ25="Media",AL25="Mayor"),AND(AJ25="Alta",AL25="Moderado"),AND(AJ25="Alta",AL25="Mayor"),AND(AJ25="Muy Alta",AL25="Leve"),AND(AJ25="Muy Alta",AL25="Menor"),AND(AJ25="Muy Alta",AL25="Moderado"),AND(AJ25="Muy Alta",AL25="Mayor")),"Alto",IF(OR(AND(AJ25="Muy Baja",AL25="Catastrófico"),AND(AJ25="Baja",AL25="Catastrófico"),AND(AJ25="Media",AL25="Catastrófico"),AND(AJ25="Alta",AL25="Catastrófico"),AND(AJ25="Muy Alta",AL25="Catastrófico")),"Extremo","")))),"")</f>
        <v/>
      </c>
      <c r="AO25" s="189"/>
      <c r="AP25" s="180"/>
      <c r="AQ25" s="190"/>
      <c r="AR25" s="190"/>
      <c r="AS25" s="191"/>
      <c r="AT25" s="329"/>
      <c r="AU25" s="329"/>
      <c r="AV25" s="329"/>
    </row>
    <row r="26" spans="1:48" ht="37.5" customHeight="1" x14ac:dyDescent="0.2">
      <c r="A26" s="342"/>
      <c r="B26" s="340"/>
      <c r="C26" s="340"/>
      <c r="D26" s="340"/>
      <c r="E26" s="523"/>
      <c r="F26" s="340"/>
      <c r="G26" s="322"/>
      <c r="H26" s="322"/>
      <c r="I26" s="322"/>
      <c r="J26" s="322"/>
      <c r="K26" s="322"/>
      <c r="L26" s="322"/>
      <c r="M26" s="322"/>
      <c r="N26" s="322"/>
      <c r="O26" s="322"/>
      <c r="P26" s="322"/>
      <c r="Q26" s="322"/>
      <c r="R26" s="329"/>
      <c r="S26" s="326"/>
      <c r="T26" s="325"/>
      <c r="U26" s="315"/>
      <c r="V26" s="325">
        <f>IF(NOT(ISERROR(MATCH(U26,_xlfn.ANCHORARRAY(E37),0))),T39&amp;"Por favor no seleccionar los criterios de impacto",U26)</f>
        <v>0</v>
      </c>
      <c r="W26" s="326"/>
      <c r="X26" s="325"/>
      <c r="Y26" s="324"/>
      <c r="Z26" s="208">
        <v>2</v>
      </c>
      <c r="AA26" s="181"/>
      <c r="AB26" s="183" t="str">
        <f>IF(OR(AC26="Preventivo",AC26="Detectivo"),"Probabilidad",IF(AC26="Correctivo","Impacto",""))</f>
        <v/>
      </c>
      <c r="AC26" s="184"/>
      <c r="AD26" s="184"/>
      <c r="AE26" s="185" t="str">
        <f t="shared" ref="AE26:AE30" si="18">IF(AND(AC26="Preventivo",AD26="Automático"),"50%",IF(AND(AC26="Preventivo",AD26="Manual"),"40%",IF(AND(AC26="Detectivo",AD26="Automático"),"40%",IF(AND(AC26="Detectivo",AD26="Manual"),"30%",IF(AND(AC26="Correctivo",AD26="Automático"),"35%",IF(AND(AC26="Correctivo",AD26="Manual"),"25%",""))))))</f>
        <v/>
      </c>
      <c r="AF26" s="184"/>
      <c r="AG26" s="184"/>
      <c r="AH26" s="184"/>
      <c r="AI26" s="186" t="str">
        <f>IFERROR(IF(AND(AB25="Probabilidad",AB26="Probabilidad"),(AK25-(+AK25*AE26)),IF(AB26="Probabilidad",(T25-(+T25*AE26)),IF(AB26="Impacto",AK25,""))),"")</f>
        <v/>
      </c>
      <c r="AJ26" s="187" t="str">
        <f t="shared" si="2"/>
        <v/>
      </c>
      <c r="AK26" s="185" t="str">
        <f t="shared" ref="AK26:AK30" si="19">+AI26</f>
        <v/>
      </c>
      <c r="AL26" s="187" t="str">
        <f t="shared" si="4"/>
        <v/>
      </c>
      <c r="AM26" s="185" t="str">
        <f t="shared" ref="AM26" si="20">IFERROR(IF(AND(AB25="Impacto",AB26="Impacto"),(AM25-(+AM25*AE26)),IF(AB26="Impacto",($X$13-(+$X$13*AE26)),IF(AB26="Probabilidad",AM25,""))),"")</f>
        <v/>
      </c>
      <c r="AN26" s="188" t="str">
        <f t="shared" ref="AN26:AN27" si="21">IFERROR(IF(OR(AND(AJ26="Muy Baja",AL26="Leve"),AND(AJ26="Muy Baja",AL26="Menor"),AND(AJ26="Baja",AL26="Leve")),"Bajo",IF(OR(AND(AJ26="Muy baja",AL26="Moderado"),AND(AJ26="Baja",AL26="Menor"),AND(AJ26="Baja",AL26="Moderado"),AND(AJ26="Media",AL26="Leve"),AND(AJ26="Media",AL26="Menor"),AND(AJ26="Media",AL26="Moderado"),AND(AJ26="Alta",AL26="Leve"),AND(AJ26="Alta",AL26="Menor")),"Moderado",IF(OR(AND(AJ26="Muy Baja",AL26="Mayor"),AND(AJ26="Baja",AL26="Mayor"),AND(AJ26="Media",AL26="Mayor"),AND(AJ26="Alta",AL26="Moderado"),AND(AJ26="Alta",AL26="Mayor"),AND(AJ26="Muy Alta",AL26="Leve"),AND(AJ26="Muy Alta",AL26="Menor"),AND(AJ26="Muy Alta",AL26="Moderado"),AND(AJ26="Muy Alta",AL26="Mayor")),"Alto",IF(OR(AND(AJ26="Muy Baja",AL26="Catastrófico"),AND(AJ26="Baja",AL26="Catastrófico"),AND(AJ26="Media",AL26="Catastrófico"),AND(AJ26="Alta",AL26="Catastrófico"),AND(AJ26="Muy Alta",AL26="Catastrófico")),"Extremo","")))),"")</f>
        <v/>
      </c>
      <c r="AO26" s="189"/>
      <c r="AP26" s="180"/>
      <c r="AQ26" s="190"/>
      <c r="AR26" s="190"/>
      <c r="AS26" s="191"/>
      <c r="AT26" s="329"/>
      <c r="AU26" s="329"/>
      <c r="AV26" s="329"/>
    </row>
    <row r="27" spans="1:48" ht="37.5" customHeight="1" x14ac:dyDescent="0.2">
      <c r="A27" s="342"/>
      <c r="B27" s="340"/>
      <c r="C27" s="340"/>
      <c r="D27" s="340"/>
      <c r="E27" s="523"/>
      <c r="F27" s="340"/>
      <c r="G27" s="322"/>
      <c r="H27" s="322"/>
      <c r="I27" s="322"/>
      <c r="J27" s="322"/>
      <c r="K27" s="322"/>
      <c r="L27" s="322"/>
      <c r="M27" s="322"/>
      <c r="N27" s="322"/>
      <c r="O27" s="322"/>
      <c r="P27" s="322"/>
      <c r="Q27" s="322"/>
      <c r="R27" s="329"/>
      <c r="S27" s="326"/>
      <c r="T27" s="325"/>
      <c r="U27" s="315"/>
      <c r="V27" s="325">
        <f>IF(NOT(ISERROR(MATCH(U27,_xlfn.ANCHORARRAY(E38),0))),T40&amp;"Por favor no seleccionar los criterios de impacto",U27)</f>
        <v>0</v>
      </c>
      <c r="W27" s="326"/>
      <c r="X27" s="325"/>
      <c r="Y27" s="324"/>
      <c r="Z27" s="208">
        <v>3</v>
      </c>
      <c r="AA27" s="181"/>
      <c r="AB27" s="183" t="str">
        <f>IF(OR(AC27="Preventivo",AC27="Detectivo"),"Probabilidad",IF(AC27="Correctivo","Impacto",""))</f>
        <v/>
      </c>
      <c r="AC27" s="184"/>
      <c r="AD27" s="184"/>
      <c r="AE27" s="185" t="str">
        <f t="shared" si="18"/>
        <v/>
      </c>
      <c r="AF27" s="184"/>
      <c r="AG27" s="184"/>
      <c r="AH27" s="184"/>
      <c r="AI27" s="186" t="str">
        <f>IFERROR(IF(AND(AB26="Probabilidad",AB27="Probabilidad"),(AK26-(+AK26*AE27)),IF(AND(AB26="Impacto",AB27="Probabilidad"),(AK25-(+AK25*AE27)),IF(AB27="Impacto",AK26,""))),"")</f>
        <v/>
      </c>
      <c r="AJ27" s="187" t="str">
        <f t="shared" si="2"/>
        <v/>
      </c>
      <c r="AK27" s="185" t="str">
        <f t="shared" si="19"/>
        <v/>
      </c>
      <c r="AL27" s="187" t="str">
        <f t="shared" si="4"/>
        <v/>
      </c>
      <c r="AM27" s="185" t="str">
        <f t="shared" ref="AM27" si="22">IFERROR(IF(AND(AB26="Impacto",AB27="Impacto"),(AM26-(+AM26*AE27)),IF(AND(AB26="Probabilidad",AB27="Impacto"),(AM25-(+AM25*AE27)),IF(AB27="Probabilidad",AM26,""))),"")</f>
        <v/>
      </c>
      <c r="AN27" s="188" t="str">
        <f t="shared" si="21"/>
        <v/>
      </c>
      <c r="AO27" s="189"/>
      <c r="AP27" s="180"/>
      <c r="AQ27" s="190"/>
      <c r="AR27" s="190"/>
      <c r="AS27" s="191"/>
      <c r="AT27" s="329"/>
      <c r="AU27" s="329"/>
      <c r="AV27" s="329"/>
    </row>
    <row r="28" spans="1:48" ht="37.5" customHeight="1" x14ac:dyDescent="0.2">
      <c r="A28" s="342"/>
      <c r="B28" s="340"/>
      <c r="C28" s="340"/>
      <c r="D28" s="340"/>
      <c r="E28" s="523"/>
      <c r="F28" s="340"/>
      <c r="G28" s="322"/>
      <c r="H28" s="322"/>
      <c r="I28" s="322"/>
      <c r="J28" s="322"/>
      <c r="K28" s="322"/>
      <c r="L28" s="322"/>
      <c r="M28" s="322"/>
      <c r="N28" s="322"/>
      <c r="O28" s="322"/>
      <c r="P28" s="322"/>
      <c r="Q28" s="322"/>
      <c r="R28" s="329"/>
      <c r="S28" s="326"/>
      <c r="T28" s="325"/>
      <c r="U28" s="315"/>
      <c r="V28" s="325">
        <f>IF(NOT(ISERROR(MATCH(U28,_xlfn.ANCHORARRAY(E39),0))),T41&amp;"Por favor no seleccionar los criterios de impacto",U28)</f>
        <v>0</v>
      </c>
      <c r="W28" s="326"/>
      <c r="X28" s="325"/>
      <c r="Y28" s="324"/>
      <c r="Z28" s="208">
        <v>4</v>
      </c>
      <c r="AA28" s="181"/>
      <c r="AB28" s="183" t="str">
        <f t="shared" ref="AB28:AB30" si="23">IF(OR(AC28="Preventivo",AC28="Detectivo"),"Probabilidad",IF(AC28="Correctivo","Impacto",""))</f>
        <v/>
      </c>
      <c r="AC28" s="184"/>
      <c r="AD28" s="184"/>
      <c r="AE28" s="185" t="str">
        <f t="shared" si="18"/>
        <v/>
      </c>
      <c r="AF28" s="184"/>
      <c r="AG28" s="184"/>
      <c r="AH28" s="184"/>
      <c r="AI28" s="186" t="str">
        <f t="shared" ref="AI28:AI30" si="24">IFERROR(IF(AND(AB27="Probabilidad",AB28="Probabilidad"),(AK27-(+AK27*AE28)),IF(AND(AB27="Impacto",AB28="Probabilidad"),(AK26-(+AK26*AE28)),IF(AB28="Impacto",AK27,""))),"")</f>
        <v/>
      </c>
      <c r="AJ28" s="187" t="str">
        <f t="shared" si="2"/>
        <v/>
      </c>
      <c r="AK28" s="185" t="str">
        <f t="shared" si="19"/>
        <v/>
      </c>
      <c r="AL28" s="187" t="str">
        <f t="shared" si="4"/>
        <v/>
      </c>
      <c r="AM28" s="185" t="str">
        <f t="shared" si="13"/>
        <v/>
      </c>
      <c r="AN28" s="188" t="str">
        <f>IFERROR(IF(OR(AND(AJ28="Muy Baja",AL28="Leve"),AND(AJ28="Muy Baja",AL28="Menor"),AND(AJ28="Baja",AL28="Leve")),"Bajo",IF(OR(AND(AJ28="Muy baja",AL28="Moderado"),AND(AJ28="Baja",AL28="Menor"),AND(AJ28="Baja",AL28="Moderado"),AND(AJ28="Media",AL28="Leve"),AND(AJ28="Media",AL28="Menor"),AND(AJ28="Media",AL28="Moderado"),AND(AJ28="Alta",AL28="Leve"),AND(AJ28="Alta",AL28="Menor")),"Moderado",IF(OR(AND(AJ28="Muy Baja",AL28="Mayor"),AND(AJ28="Baja",AL28="Mayor"),AND(AJ28="Media",AL28="Mayor"),AND(AJ28="Alta",AL28="Moderado"),AND(AJ28="Alta",AL28="Mayor"),AND(AJ28="Muy Alta",AL28="Leve"),AND(AJ28="Muy Alta",AL28="Menor"),AND(AJ28="Muy Alta",AL28="Moderado"),AND(AJ28="Muy Alta",AL28="Mayor")),"Alto",IF(OR(AND(AJ28="Muy Baja",AL28="Catastrófico"),AND(AJ28="Baja",AL28="Catastrófico"),AND(AJ28="Media",AL28="Catastrófico"),AND(AJ28="Alta",AL28="Catastrófico"),AND(AJ28="Muy Alta",AL28="Catastrófico")),"Extremo","")))),"")</f>
        <v/>
      </c>
      <c r="AO28" s="189"/>
      <c r="AP28" s="180"/>
      <c r="AQ28" s="190"/>
      <c r="AR28" s="190"/>
      <c r="AS28" s="191"/>
      <c r="AT28" s="329"/>
      <c r="AU28" s="329"/>
      <c r="AV28" s="329"/>
    </row>
    <row r="29" spans="1:48" ht="37.5" customHeight="1" x14ac:dyDescent="0.2">
      <c r="A29" s="342"/>
      <c r="B29" s="340"/>
      <c r="C29" s="340"/>
      <c r="D29" s="340"/>
      <c r="E29" s="523"/>
      <c r="F29" s="340"/>
      <c r="G29" s="322"/>
      <c r="H29" s="322"/>
      <c r="I29" s="322"/>
      <c r="J29" s="322"/>
      <c r="K29" s="322"/>
      <c r="L29" s="322"/>
      <c r="M29" s="322"/>
      <c r="N29" s="322"/>
      <c r="O29" s="322"/>
      <c r="P29" s="322"/>
      <c r="Q29" s="322"/>
      <c r="R29" s="329"/>
      <c r="S29" s="326"/>
      <c r="T29" s="325"/>
      <c r="U29" s="315"/>
      <c r="V29" s="325">
        <f>IF(NOT(ISERROR(MATCH(U29,_xlfn.ANCHORARRAY(E40),0))),T42&amp;"Por favor no seleccionar los criterios de impacto",U29)</f>
        <v>0</v>
      </c>
      <c r="W29" s="326"/>
      <c r="X29" s="325"/>
      <c r="Y29" s="324"/>
      <c r="Z29" s="208">
        <v>5</v>
      </c>
      <c r="AA29" s="181"/>
      <c r="AB29" s="183" t="str">
        <f t="shared" si="23"/>
        <v/>
      </c>
      <c r="AC29" s="184"/>
      <c r="AD29" s="184"/>
      <c r="AE29" s="185" t="str">
        <f t="shared" si="18"/>
        <v/>
      </c>
      <c r="AF29" s="184"/>
      <c r="AG29" s="184"/>
      <c r="AH29" s="184"/>
      <c r="AI29" s="186" t="str">
        <f t="shared" si="24"/>
        <v/>
      </c>
      <c r="AJ29" s="187" t="str">
        <f t="shared" si="2"/>
        <v/>
      </c>
      <c r="AK29" s="185" t="str">
        <f t="shared" si="19"/>
        <v/>
      </c>
      <c r="AL29" s="187" t="str">
        <f t="shared" si="4"/>
        <v/>
      </c>
      <c r="AM29" s="185" t="str">
        <f t="shared" si="13"/>
        <v/>
      </c>
      <c r="AN29" s="188" t="str">
        <f t="shared" ref="AN29:AN30" si="25">IFERROR(IF(OR(AND(AJ29="Muy Baja",AL29="Leve"),AND(AJ29="Muy Baja",AL29="Menor"),AND(AJ29="Baja",AL29="Leve")),"Bajo",IF(OR(AND(AJ29="Muy baja",AL29="Moderado"),AND(AJ29="Baja",AL29="Menor"),AND(AJ29="Baja",AL29="Moderado"),AND(AJ29="Media",AL29="Leve"),AND(AJ29="Media",AL29="Menor"),AND(AJ29="Media",AL29="Moderado"),AND(AJ29="Alta",AL29="Leve"),AND(AJ29="Alta",AL29="Menor")),"Moderado",IF(OR(AND(AJ29="Muy Baja",AL29="Mayor"),AND(AJ29="Baja",AL29="Mayor"),AND(AJ29="Media",AL29="Mayor"),AND(AJ29="Alta",AL29="Moderado"),AND(AJ29="Alta",AL29="Mayor"),AND(AJ29="Muy Alta",AL29="Leve"),AND(AJ29="Muy Alta",AL29="Menor"),AND(AJ29="Muy Alta",AL29="Moderado"),AND(AJ29="Muy Alta",AL29="Mayor")),"Alto",IF(OR(AND(AJ29="Muy Baja",AL29="Catastrófico"),AND(AJ29="Baja",AL29="Catastrófico"),AND(AJ29="Media",AL29="Catastrófico"),AND(AJ29="Alta",AL29="Catastrófico"),AND(AJ29="Muy Alta",AL29="Catastrófico")),"Extremo","")))),"")</f>
        <v/>
      </c>
      <c r="AO29" s="189"/>
      <c r="AP29" s="180"/>
      <c r="AQ29" s="190"/>
      <c r="AR29" s="190"/>
      <c r="AS29" s="191"/>
      <c r="AT29" s="329"/>
      <c r="AU29" s="329"/>
      <c r="AV29" s="329"/>
    </row>
    <row r="30" spans="1:48" ht="37.5" customHeight="1" x14ac:dyDescent="0.2">
      <c r="A30" s="342"/>
      <c r="B30" s="340"/>
      <c r="C30" s="340"/>
      <c r="D30" s="340"/>
      <c r="E30" s="523"/>
      <c r="F30" s="340"/>
      <c r="G30" s="323"/>
      <c r="H30" s="323"/>
      <c r="I30" s="323"/>
      <c r="J30" s="323"/>
      <c r="K30" s="323"/>
      <c r="L30" s="323"/>
      <c r="M30" s="323"/>
      <c r="N30" s="323"/>
      <c r="O30" s="323"/>
      <c r="P30" s="323"/>
      <c r="Q30" s="323"/>
      <c r="R30" s="329"/>
      <c r="S30" s="326"/>
      <c r="T30" s="325"/>
      <c r="U30" s="315"/>
      <c r="V30" s="325">
        <f>IF(NOT(ISERROR(MATCH(U30,_xlfn.ANCHORARRAY(E41),0))),T43&amp;"Por favor no seleccionar los criterios de impacto",U30)</f>
        <v>0</v>
      </c>
      <c r="W30" s="326"/>
      <c r="X30" s="325"/>
      <c r="Y30" s="324"/>
      <c r="Z30" s="208">
        <v>6</v>
      </c>
      <c r="AA30" s="181"/>
      <c r="AB30" s="183" t="str">
        <f t="shared" si="23"/>
        <v/>
      </c>
      <c r="AC30" s="184"/>
      <c r="AD30" s="184"/>
      <c r="AE30" s="185" t="str">
        <f t="shared" si="18"/>
        <v/>
      </c>
      <c r="AF30" s="184"/>
      <c r="AG30" s="184"/>
      <c r="AH30" s="184"/>
      <c r="AI30" s="186" t="str">
        <f t="shared" si="24"/>
        <v/>
      </c>
      <c r="AJ30" s="187" t="str">
        <f t="shared" si="2"/>
        <v/>
      </c>
      <c r="AK30" s="185" t="str">
        <f t="shared" si="19"/>
        <v/>
      </c>
      <c r="AL30" s="187" t="str">
        <f t="shared" si="4"/>
        <v/>
      </c>
      <c r="AM30" s="185" t="str">
        <f t="shared" si="13"/>
        <v/>
      </c>
      <c r="AN30" s="188" t="str">
        <f t="shared" si="25"/>
        <v/>
      </c>
      <c r="AO30" s="189"/>
      <c r="AP30" s="180"/>
      <c r="AQ30" s="190"/>
      <c r="AR30" s="190"/>
      <c r="AS30" s="191"/>
      <c r="AT30" s="329"/>
      <c r="AU30" s="329"/>
      <c r="AV30" s="329"/>
    </row>
    <row r="31" spans="1:48" ht="37.5" customHeight="1" x14ac:dyDescent="0.2">
      <c r="A31" s="342">
        <v>4</v>
      </c>
      <c r="B31" s="340"/>
      <c r="C31" s="340"/>
      <c r="D31" s="340"/>
      <c r="E31" s="340"/>
      <c r="F31" s="340"/>
      <c r="G31" s="321"/>
      <c r="H31" s="321"/>
      <c r="I31" s="321"/>
      <c r="J31" s="321"/>
      <c r="K31" s="321"/>
      <c r="L31" s="321"/>
      <c r="M31" s="321"/>
      <c r="N31" s="321"/>
      <c r="O31" s="321"/>
      <c r="P31" s="321"/>
      <c r="Q31" s="321"/>
      <c r="R31" s="329"/>
      <c r="S31" s="326" t="str">
        <f>IF(R31&lt;=0,"",IF(R31&lt;=2,"Muy Baja",IF(R31&lt;=24,"Baja",IF(R31&lt;=500,"Media",IF(R31&lt;=5000,"Alta","Muy Alta")))))</f>
        <v/>
      </c>
      <c r="T31" s="325" t="str">
        <f>IF(S31="","",IF(S31="Muy Baja",0.2,IF(S31="Baja",0.4,IF(S31="Media",0.6,IF(S31="Alta",0.8,IF(S31="Muy Alta",1,))))))</f>
        <v/>
      </c>
      <c r="U31" s="315"/>
      <c r="V31" s="325">
        <f>IF(NOT(ISERROR(MATCH(U31,'Tabla Impacto'!$B$222:$B$224,0))),'Tabla Impacto'!$F$224&amp;"Por favor no seleccionar los criterios de impacto(Afectación Económica o presupuestal y Pérdida Reputacional)",U31)</f>
        <v>0</v>
      </c>
      <c r="W31" s="326" t="str">
        <f>IF(OR(V31='Tabla Impacto'!$C$12,V31='Tabla Impacto'!$D$12),"Leve",IF(OR(V31='Tabla Impacto'!$C$13,V31='Tabla Impacto'!$D$13),"Menor",IF(OR(V31='Tabla Impacto'!$C$14,V31='Tabla Impacto'!$D$14),"Moderado",IF(OR(V31='Tabla Impacto'!$C$15,V31='Tabla Impacto'!$D$15),"Mayor",IF(OR(V31='Tabla Impacto'!$C$16,V31='Tabla Impacto'!$D$16),"Catastrófico","")))))</f>
        <v/>
      </c>
      <c r="X31" s="325" t="str">
        <f>IF(W31="","",IF(W31="Leve",0.2,IF(W31="Menor",0.4,IF(W31="Moderado",0.6,IF(W31="Mayor",0.8,IF(W31="Catastrófico",1,))))))</f>
        <v/>
      </c>
      <c r="Y31" s="324" t="str">
        <f>IF(OR(AND(S31="Muy Baja",W31="Leve"),AND(S31="Muy Baja",W31="Menor"),AND(S31="Baja",W31="Leve")),"Bajo",IF(OR(AND(S31="Muy baja",W31="Moderado"),AND(S31="Baja",W31="Menor"),AND(S31="Baja",W31="Moderado"),AND(S31="Media",W31="Leve"),AND(S31="Media",W31="Menor"),AND(S31="Media",W31="Moderado"),AND(S31="Alta",W31="Leve"),AND(S31="Alta",W31="Menor")),"Moderado",IF(OR(AND(S31="Muy Baja",W31="Mayor"),AND(S31="Baja",W31="Mayor"),AND(S31="Media",W31="Mayor"),AND(S31="Alta",W31="Moderado"),AND(S31="Alta",W31="Mayor"),AND(S31="Muy Alta",W31="Leve"),AND(S31="Muy Alta",W31="Menor"),AND(S31="Muy Alta",W31="Moderado"),AND(S31="Muy Alta",W31="Mayor")),"Alto",IF(OR(AND(S31="Muy Baja",W31="Catastrófico"),AND(S31="Baja",W31="Catastrófico"),AND(S31="Media",W31="Catastrófico"),AND(S31="Alta",W31="Catastrófico"),AND(S31="Muy Alta",W31="Catastrófico")),"Extremo",""))))</f>
        <v/>
      </c>
      <c r="Z31" s="208">
        <v>1</v>
      </c>
      <c r="AA31" s="181"/>
      <c r="AB31" s="183" t="str">
        <f>IF(OR(AC31="Preventivo",AC31="Detectivo"),"Probabilidad",IF(AC31="Correctivo","Impacto",""))</f>
        <v/>
      </c>
      <c r="AC31" s="184"/>
      <c r="AD31" s="184"/>
      <c r="AE31" s="185" t="str">
        <f>IF(AND(AC31="Preventivo",AD31="Automático"),"50%",IF(AND(AC31="Preventivo",AD31="Manual"),"40%",IF(AND(AC31="Detectivo",AD31="Automático"),"40%",IF(AND(AC31="Detectivo",AD31="Manual"),"30%",IF(AND(AC31="Correctivo",AD31="Automático"),"35%",IF(AND(AC31="Correctivo",AD31="Manual"),"25%",""))))))</f>
        <v/>
      </c>
      <c r="AF31" s="184"/>
      <c r="AG31" s="184"/>
      <c r="AH31" s="184"/>
      <c r="AI31" s="186" t="str">
        <f>IFERROR(IF(AB31="Probabilidad",(T31-(+T31*AE31)),IF(AB31="Impacto",T31,"")),"")</f>
        <v/>
      </c>
      <c r="AJ31" s="187" t="str">
        <f>IFERROR(IF(AI31="","",IF(AI31&lt;=0.2,"Muy Baja",IF(AI31&lt;=0.4,"Baja",IF(AI31&lt;=0.6,"Media",IF(AI31&lt;=0.8,"Alta","Muy Alta"))))),"")</f>
        <v/>
      </c>
      <c r="AK31" s="185" t="str">
        <f>+AI31</f>
        <v/>
      </c>
      <c r="AL31" s="187" t="str">
        <f>IFERROR(IF(AM31="","",IF(AM31&lt;=0.2,"Leve",IF(AM31&lt;=0.4,"Menor",IF(AM31&lt;=0.6,"Moderado",IF(AM31&lt;=0.8,"Mayor","Catastrófico"))))),"")</f>
        <v/>
      </c>
      <c r="AM31" s="185" t="str">
        <f t="shared" ref="AM31" si="26">IFERROR(IF(AB31="Impacto",(X31-(+X31*AE31)),IF(AB31="Probabilidad",X31,"")),"")</f>
        <v/>
      </c>
      <c r="AN31" s="188" t="str">
        <f>IFERROR(IF(OR(AND(AJ31="Muy Baja",AL31="Leve"),AND(AJ31="Muy Baja",AL31="Menor"),AND(AJ31="Baja",AL31="Leve")),"Bajo",IF(OR(AND(AJ31="Muy baja",AL31="Moderado"),AND(AJ31="Baja",AL31="Menor"),AND(AJ31="Baja",AL31="Moderado"),AND(AJ31="Media",AL31="Leve"),AND(AJ31="Media",AL31="Menor"),AND(AJ31="Media",AL31="Moderado"),AND(AJ31="Alta",AL31="Leve"),AND(AJ31="Alta",AL31="Menor")),"Moderado",IF(OR(AND(AJ31="Muy Baja",AL31="Mayor"),AND(AJ31="Baja",AL31="Mayor"),AND(AJ31="Media",AL31="Mayor"),AND(AJ31="Alta",AL31="Moderado"),AND(AJ31="Alta",AL31="Mayor"),AND(AJ31="Muy Alta",AL31="Leve"),AND(AJ31="Muy Alta",AL31="Menor"),AND(AJ31="Muy Alta",AL31="Moderado"),AND(AJ31="Muy Alta",AL31="Mayor")),"Alto",IF(OR(AND(AJ31="Muy Baja",AL31="Catastrófico"),AND(AJ31="Baja",AL31="Catastrófico"),AND(AJ31="Media",AL31="Catastrófico"),AND(AJ31="Alta",AL31="Catastrófico"),AND(AJ31="Muy Alta",AL31="Catastrófico")),"Extremo","")))),"")</f>
        <v/>
      </c>
      <c r="AO31" s="189"/>
      <c r="AP31" s="180"/>
      <c r="AQ31" s="190"/>
      <c r="AR31" s="190"/>
      <c r="AS31" s="191"/>
      <c r="AT31" s="329"/>
      <c r="AU31" s="329"/>
      <c r="AV31" s="329"/>
    </row>
    <row r="32" spans="1:48" ht="37.5" customHeight="1" x14ac:dyDescent="0.2">
      <c r="A32" s="342"/>
      <c r="B32" s="340"/>
      <c r="C32" s="340"/>
      <c r="D32" s="340"/>
      <c r="E32" s="340"/>
      <c r="F32" s="340"/>
      <c r="G32" s="322"/>
      <c r="H32" s="322"/>
      <c r="I32" s="322"/>
      <c r="J32" s="322"/>
      <c r="K32" s="322"/>
      <c r="L32" s="322"/>
      <c r="M32" s="322"/>
      <c r="N32" s="322"/>
      <c r="O32" s="322"/>
      <c r="P32" s="322"/>
      <c r="Q32" s="322"/>
      <c r="R32" s="329"/>
      <c r="S32" s="326"/>
      <c r="T32" s="325"/>
      <c r="U32" s="315"/>
      <c r="V32" s="325">
        <f>IF(NOT(ISERROR(MATCH(U32,_xlfn.ANCHORARRAY(E43),0))),T45&amp;"Por favor no seleccionar los criterios de impacto",U32)</f>
        <v>0</v>
      </c>
      <c r="W32" s="326"/>
      <c r="X32" s="325"/>
      <c r="Y32" s="324"/>
      <c r="Z32" s="208">
        <v>2</v>
      </c>
      <c r="AA32" s="181"/>
      <c r="AB32" s="183" t="str">
        <f>IF(OR(AC32="Preventivo",AC32="Detectivo"),"Probabilidad",IF(AC32="Correctivo","Impacto",""))</f>
        <v/>
      </c>
      <c r="AC32" s="184"/>
      <c r="AD32" s="184"/>
      <c r="AE32" s="185" t="str">
        <f t="shared" ref="AE32:AE36" si="27">IF(AND(AC32="Preventivo",AD32="Automático"),"50%",IF(AND(AC32="Preventivo",AD32="Manual"),"40%",IF(AND(AC32="Detectivo",AD32="Automático"),"40%",IF(AND(AC32="Detectivo",AD32="Manual"),"30%",IF(AND(AC32="Correctivo",AD32="Automático"),"35%",IF(AND(AC32="Correctivo",AD32="Manual"),"25%",""))))))</f>
        <v/>
      </c>
      <c r="AF32" s="184"/>
      <c r="AG32" s="184"/>
      <c r="AH32" s="184"/>
      <c r="AI32" s="186" t="str">
        <f>IFERROR(IF(AND(AB31="Probabilidad",AB32="Probabilidad"),(AK31-(+AK31*AE32)),IF(AB32="Probabilidad",(T31-(+T31*AE32)),IF(AB32="Impacto",AK31,""))),"")</f>
        <v/>
      </c>
      <c r="AJ32" s="187" t="str">
        <f t="shared" si="2"/>
        <v/>
      </c>
      <c r="AK32" s="185" t="str">
        <f t="shared" ref="AK32:AK36" si="28">+AI32</f>
        <v/>
      </c>
      <c r="AL32" s="187" t="str">
        <f t="shared" si="4"/>
        <v/>
      </c>
      <c r="AM32" s="185" t="str">
        <f t="shared" ref="AM32" si="29">IFERROR(IF(AND(AB31="Impacto",AB32="Impacto"),(AM31-(+AM31*AE32)),IF(AB32="Impacto",($X$13-(+$X$13*AE32)),IF(AB32="Probabilidad",AM31,""))),"")</f>
        <v/>
      </c>
      <c r="AN32" s="188" t="str">
        <f t="shared" ref="AN32:AN33" si="30">IFERROR(IF(OR(AND(AJ32="Muy Baja",AL32="Leve"),AND(AJ32="Muy Baja",AL32="Menor"),AND(AJ32="Baja",AL32="Leve")),"Bajo",IF(OR(AND(AJ32="Muy baja",AL32="Moderado"),AND(AJ32="Baja",AL32="Menor"),AND(AJ32="Baja",AL32="Moderado"),AND(AJ32="Media",AL32="Leve"),AND(AJ32="Media",AL32="Menor"),AND(AJ32="Media",AL32="Moderado"),AND(AJ32="Alta",AL32="Leve"),AND(AJ32="Alta",AL32="Menor")),"Moderado",IF(OR(AND(AJ32="Muy Baja",AL32="Mayor"),AND(AJ32="Baja",AL32="Mayor"),AND(AJ32="Media",AL32="Mayor"),AND(AJ32="Alta",AL32="Moderado"),AND(AJ32="Alta",AL32="Mayor"),AND(AJ32="Muy Alta",AL32="Leve"),AND(AJ32="Muy Alta",AL32="Menor"),AND(AJ32="Muy Alta",AL32="Moderado"),AND(AJ32="Muy Alta",AL32="Mayor")),"Alto",IF(OR(AND(AJ32="Muy Baja",AL32="Catastrófico"),AND(AJ32="Baja",AL32="Catastrófico"),AND(AJ32="Media",AL32="Catastrófico"),AND(AJ32="Alta",AL32="Catastrófico"),AND(AJ32="Muy Alta",AL32="Catastrófico")),"Extremo","")))),"")</f>
        <v/>
      </c>
      <c r="AO32" s="189"/>
      <c r="AP32" s="180"/>
      <c r="AQ32" s="190"/>
      <c r="AR32" s="190"/>
      <c r="AS32" s="191"/>
      <c r="AT32" s="329"/>
      <c r="AU32" s="329"/>
      <c r="AV32" s="329"/>
    </row>
    <row r="33" spans="1:48" ht="37.5" customHeight="1" x14ac:dyDescent="0.2">
      <c r="A33" s="342"/>
      <c r="B33" s="340"/>
      <c r="C33" s="340"/>
      <c r="D33" s="340"/>
      <c r="E33" s="340"/>
      <c r="F33" s="340"/>
      <c r="G33" s="322"/>
      <c r="H33" s="322"/>
      <c r="I33" s="322"/>
      <c r="J33" s="322"/>
      <c r="K33" s="322"/>
      <c r="L33" s="322"/>
      <c r="M33" s="322"/>
      <c r="N33" s="322"/>
      <c r="O33" s="322"/>
      <c r="P33" s="322"/>
      <c r="Q33" s="322"/>
      <c r="R33" s="329"/>
      <c r="S33" s="326"/>
      <c r="T33" s="325"/>
      <c r="U33" s="315"/>
      <c r="V33" s="325">
        <f>IF(NOT(ISERROR(MATCH(U33,_xlfn.ANCHORARRAY(E44),0))),T46&amp;"Por favor no seleccionar los criterios de impacto",U33)</f>
        <v>0</v>
      </c>
      <c r="W33" s="326"/>
      <c r="X33" s="325"/>
      <c r="Y33" s="324"/>
      <c r="Z33" s="208">
        <v>3</v>
      </c>
      <c r="AA33" s="182"/>
      <c r="AB33" s="183" t="str">
        <f>IF(OR(AC33="Preventivo",AC33="Detectivo"),"Probabilidad",IF(AC33="Correctivo","Impacto",""))</f>
        <v/>
      </c>
      <c r="AC33" s="184"/>
      <c r="AD33" s="184"/>
      <c r="AE33" s="185" t="str">
        <f t="shared" si="27"/>
        <v/>
      </c>
      <c r="AF33" s="184"/>
      <c r="AG33" s="184"/>
      <c r="AH33" s="184"/>
      <c r="AI33" s="186" t="str">
        <f>IFERROR(IF(AND(AB32="Probabilidad",AB33="Probabilidad"),(AK32-(+AK32*AE33)),IF(AND(AB32="Impacto",AB33="Probabilidad"),(AK31-(+AK31*AE33)),IF(AB33="Impacto",AK32,""))),"")</f>
        <v/>
      </c>
      <c r="AJ33" s="187" t="str">
        <f t="shared" si="2"/>
        <v/>
      </c>
      <c r="AK33" s="185" t="str">
        <f t="shared" si="28"/>
        <v/>
      </c>
      <c r="AL33" s="187" t="str">
        <f t="shared" si="4"/>
        <v/>
      </c>
      <c r="AM33" s="185" t="str">
        <f t="shared" ref="AM33" si="31">IFERROR(IF(AND(AB32="Impacto",AB33="Impacto"),(AM32-(+AM32*AE33)),IF(AND(AB32="Probabilidad",AB33="Impacto"),(AM31-(+AM31*AE33)),IF(AB33="Probabilidad",AM32,""))),"")</f>
        <v/>
      </c>
      <c r="AN33" s="188" t="str">
        <f t="shared" si="30"/>
        <v/>
      </c>
      <c r="AO33" s="189"/>
      <c r="AP33" s="180"/>
      <c r="AQ33" s="190"/>
      <c r="AR33" s="190"/>
      <c r="AS33" s="191"/>
      <c r="AT33" s="329"/>
      <c r="AU33" s="329"/>
      <c r="AV33" s="329"/>
    </row>
    <row r="34" spans="1:48" ht="37.5" customHeight="1" x14ac:dyDescent="0.2">
      <c r="A34" s="342"/>
      <c r="B34" s="340"/>
      <c r="C34" s="340"/>
      <c r="D34" s="340"/>
      <c r="E34" s="340"/>
      <c r="F34" s="340"/>
      <c r="G34" s="322"/>
      <c r="H34" s="322"/>
      <c r="I34" s="322"/>
      <c r="J34" s="322"/>
      <c r="K34" s="322"/>
      <c r="L34" s="322"/>
      <c r="M34" s="322"/>
      <c r="N34" s="322"/>
      <c r="O34" s="322"/>
      <c r="P34" s="322"/>
      <c r="Q34" s="322"/>
      <c r="R34" s="329"/>
      <c r="S34" s="326"/>
      <c r="T34" s="325"/>
      <c r="U34" s="315"/>
      <c r="V34" s="325">
        <f>IF(NOT(ISERROR(MATCH(U34,_xlfn.ANCHORARRAY(E45),0))),T47&amp;"Por favor no seleccionar los criterios de impacto",U34)</f>
        <v>0</v>
      </c>
      <c r="W34" s="326"/>
      <c r="X34" s="325"/>
      <c r="Y34" s="324"/>
      <c r="Z34" s="208">
        <v>4</v>
      </c>
      <c r="AA34" s="181"/>
      <c r="AB34" s="183" t="str">
        <f t="shared" ref="AB34:AB36" si="32">IF(OR(AC34="Preventivo",AC34="Detectivo"),"Probabilidad",IF(AC34="Correctivo","Impacto",""))</f>
        <v/>
      </c>
      <c r="AC34" s="184"/>
      <c r="AD34" s="184"/>
      <c r="AE34" s="185" t="str">
        <f t="shared" si="27"/>
        <v/>
      </c>
      <c r="AF34" s="184"/>
      <c r="AG34" s="184"/>
      <c r="AH34" s="184"/>
      <c r="AI34" s="186" t="str">
        <f t="shared" ref="AI34:AI36" si="33">IFERROR(IF(AND(AB33="Probabilidad",AB34="Probabilidad"),(AK33-(+AK33*AE34)),IF(AND(AB33="Impacto",AB34="Probabilidad"),(AK32-(+AK32*AE34)),IF(AB34="Impacto",AK33,""))),"")</f>
        <v/>
      </c>
      <c r="AJ34" s="187" t="str">
        <f t="shared" si="2"/>
        <v/>
      </c>
      <c r="AK34" s="185" t="str">
        <f t="shared" si="28"/>
        <v/>
      </c>
      <c r="AL34" s="187" t="str">
        <f t="shared" si="4"/>
        <v/>
      </c>
      <c r="AM34" s="185" t="str">
        <f t="shared" si="13"/>
        <v/>
      </c>
      <c r="AN34" s="188" t="str">
        <f>IFERROR(IF(OR(AND(AJ34="Muy Baja",AL34="Leve"),AND(AJ34="Muy Baja",AL34="Menor"),AND(AJ34="Baja",AL34="Leve")),"Bajo",IF(OR(AND(AJ34="Muy baja",AL34="Moderado"),AND(AJ34="Baja",AL34="Menor"),AND(AJ34="Baja",AL34="Moderado"),AND(AJ34="Media",AL34="Leve"),AND(AJ34="Media",AL34="Menor"),AND(AJ34="Media",AL34="Moderado"),AND(AJ34="Alta",AL34="Leve"),AND(AJ34="Alta",AL34="Menor")),"Moderado",IF(OR(AND(AJ34="Muy Baja",AL34="Mayor"),AND(AJ34="Baja",AL34="Mayor"),AND(AJ34="Media",AL34="Mayor"),AND(AJ34="Alta",AL34="Moderado"),AND(AJ34="Alta",AL34="Mayor"),AND(AJ34="Muy Alta",AL34="Leve"),AND(AJ34="Muy Alta",AL34="Menor"),AND(AJ34="Muy Alta",AL34="Moderado"),AND(AJ34="Muy Alta",AL34="Mayor")),"Alto",IF(OR(AND(AJ34="Muy Baja",AL34="Catastrófico"),AND(AJ34="Baja",AL34="Catastrófico"),AND(AJ34="Media",AL34="Catastrófico"),AND(AJ34="Alta",AL34="Catastrófico"),AND(AJ34="Muy Alta",AL34="Catastrófico")),"Extremo","")))),"")</f>
        <v/>
      </c>
      <c r="AO34" s="189"/>
      <c r="AP34" s="180"/>
      <c r="AQ34" s="190"/>
      <c r="AR34" s="190"/>
      <c r="AS34" s="191"/>
      <c r="AT34" s="329"/>
      <c r="AU34" s="329"/>
      <c r="AV34" s="329"/>
    </row>
    <row r="35" spans="1:48" ht="37.5" customHeight="1" x14ac:dyDescent="0.2">
      <c r="A35" s="342"/>
      <c r="B35" s="340"/>
      <c r="C35" s="340"/>
      <c r="D35" s="340"/>
      <c r="E35" s="340"/>
      <c r="F35" s="340"/>
      <c r="G35" s="322"/>
      <c r="H35" s="322"/>
      <c r="I35" s="322"/>
      <c r="J35" s="322"/>
      <c r="K35" s="322"/>
      <c r="L35" s="322"/>
      <c r="M35" s="322"/>
      <c r="N35" s="322"/>
      <c r="O35" s="322"/>
      <c r="P35" s="322"/>
      <c r="Q35" s="322"/>
      <c r="R35" s="329"/>
      <c r="S35" s="326"/>
      <c r="T35" s="325"/>
      <c r="U35" s="315"/>
      <c r="V35" s="325">
        <f>IF(NOT(ISERROR(MATCH(U35,_xlfn.ANCHORARRAY(E46),0))),T48&amp;"Por favor no seleccionar los criterios de impacto",U35)</f>
        <v>0</v>
      </c>
      <c r="W35" s="326"/>
      <c r="X35" s="325"/>
      <c r="Y35" s="324"/>
      <c r="Z35" s="208">
        <v>5</v>
      </c>
      <c r="AA35" s="181"/>
      <c r="AB35" s="183" t="str">
        <f t="shared" si="32"/>
        <v/>
      </c>
      <c r="AC35" s="184"/>
      <c r="AD35" s="184"/>
      <c r="AE35" s="185" t="str">
        <f t="shared" si="27"/>
        <v/>
      </c>
      <c r="AF35" s="184"/>
      <c r="AG35" s="184"/>
      <c r="AH35" s="184"/>
      <c r="AI35" s="186" t="str">
        <f t="shared" si="33"/>
        <v/>
      </c>
      <c r="AJ35" s="187" t="str">
        <f>IFERROR(IF(AI35="","",IF(AI35&lt;=0.2,"Muy Baja",IF(AI35&lt;=0.4,"Baja",IF(AI35&lt;=0.6,"Media",IF(AI35&lt;=0.8,"Alta","Muy Alta"))))),"")</f>
        <v/>
      </c>
      <c r="AK35" s="185" t="str">
        <f t="shared" si="28"/>
        <v/>
      </c>
      <c r="AL35" s="187" t="str">
        <f t="shared" si="4"/>
        <v/>
      </c>
      <c r="AM35" s="185" t="str">
        <f t="shared" si="13"/>
        <v/>
      </c>
      <c r="AN35" s="188" t="str">
        <f t="shared" ref="AN35:AN36" si="34">IFERROR(IF(OR(AND(AJ35="Muy Baja",AL35="Leve"),AND(AJ35="Muy Baja",AL35="Menor"),AND(AJ35="Baja",AL35="Leve")),"Bajo",IF(OR(AND(AJ35="Muy baja",AL35="Moderado"),AND(AJ35="Baja",AL35="Menor"),AND(AJ35="Baja",AL35="Moderado"),AND(AJ35="Media",AL35="Leve"),AND(AJ35="Media",AL35="Menor"),AND(AJ35="Media",AL35="Moderado"),AND(AJ35="Alta",AL35="Leve"),AND(AJ35="Alta",AL35="Menor")),"Moderado",IF(OR(AND(AJ35="Muy Baja",AL35="Mayor"),AND(AJ35="Baja",AL35="Mayor"),AND(AJ35="Media",AL35="Mayor"),AND(AJ35="Alta",AL35="Moderado"),AND(AJ35="Alta",AL35="Mayor"),AND(AJ35="Muy Alta",AL35="Leve"),AND(AJ35="Muy Alta",AL35="Menor"),AND(AJ35="Muy Alta",AL35="Moderado"),AND(AJ35="Muy Alta",AL35="Mayor")),"Alto",IF(OR(AND(AJ35="Muy Baja",AL35="Catastrófico"),AND(AJ35="Baja",AL35="Catastrófico"),AND(AJ35="Media",AL35="Catastrófico"),AND(AJ35="Alta",AL35="Catastrófico"),AND(AJ35="Muy Alta",AL35="Catastrófico")),"Extremo","")))),"")</f>
        <v/>
      </c>
      <c r="AO35" s="189"/>
      <c r="AP35" s="180"/>
      <c r="AQ35" s="190"/>
      <c r="AR35" s="190"/>
      <c r="AS35" s="191"/>
      <c r="AT35" s="329"/>
      <c r="AU35" s="329"/>
      <c r="AV35" s="329"/>
    </row>
    <row r="36" spans="1:48" ht="37.5" customHeight="1" x14ac:dyDescent="0.2">
      <c r="A36" s="342"/>
      <c r="B36" s="340"/>
      <c r="C36" s="340"/>
      <c r="D36" s="340"/>
      <c r="E36" s="340"/>
      <c r="F36" s="340"/>
      <c r="G36" s="323"/>
      <c r="H36" s="323"/>
      <c r="I36" s="323"/>
      <c r="J36" s="323"/>
      <c r="K36" s="323"/>
      <c r="L36" s="323"/>
      <c r="M36" s="323"/>
      <c r="N36" s="323"/>
      <c r="O36" s="323"/>
      <c r="P36" s="323"/>
      <c r="Q36" s="323"/>
      <c r="R36" s="329"/>
      <c r="S36" s="326"/>
      <c r="T36" s="325"/>
      <c r="U36" s="315"/>
      <c r="V36" s="325">
        <f>IF(NOT(ISERROR(MATCH(U36,_xlfn.ANCHORARRAY(E47),0))),T49&amp;"Por favor no seleccionar los criterios de impacto",U36)</f>
        <v>0</v>
      </c>
      <c r="W36" s="326"/>
      <c r="X36" s="325"/>
      <c r="Y36" s="324"/>
      <c r="Z36" s="208">
        <v>6</v>
      </c>
      <c r="AA36" s="181"/>
      <c r="AB36" s="183" t="str">
        <f t="shared" si="32"/>
        <v/>
      </c>
      <c r="AC36" s="184"/>
      <c r="AD36" s="184"/>
      <c r="AE36" s="185" t="str">
        <f t="shared" si="27"/>
        <v/>
      </c>
      <c r="AF36" s="184"/>
      <c r="AG36" s="184"/>
      <c r="AH36" s="184"/>
      <c r="AI36" s="186" t="str">
        <f t="shared" si="33"/>
        <v/>
      </c>
      <c r="AJ36" s="187" t="str">
        <f t="shared" si="2"/>
        <v/>
      </c>
      <c r="AK36" s="185" t="str">
        <f t="shared" si="28"/>
        <v/>
      </c>
      <c r="AL36" s="187" t="str">
        <f t="shared" si="4"/>
        <v/>
      </c>
      <c r="AM36" s="185" t="str">
        <f t="shared" si="13"/>
        <v/>
      </c>
      <c r="AN36" s="188" t="str">
        <f t="shared" si="34"/>
        <v/>
      </c>
      <c r="AO36" s="189"/>
      <c r="AP36" s="180"/>
      <c r="AQ36" s="190"/>
      <c r="AR36" s="190"/>
      <c r="AS36" s="191"/>
      <c r="AT36" s="329"/>
      <c r="AU36" s="329"/>
      <c r="AV36" s="329"/>
    </row>
    <row r="37" spans="1:48" ht="37.5" customHeight="1" x14ac:dyDescent="0.2">
      <c r="A37" s="342">
        <v>5</v>
      </c>
      <c r="B37" s="340"/>
      <c r="C37" s="340"/>
      <c r="D37" s="340"/>
      <c r="E37" s="340"/>
      <c r="F37" s="340"/>
      <c r="G37" s="321"/>
      <c r="H37" s="321"/>
      <c r="I37" s="321"/>
      <c r="J37" s="321"/>
      <c r="K37" s="321"/>
      <c r="L37" s="321"/>
      <c r="M37" s="321"/>
      <c r="N37" s="321"/>
      <c r="O37" s="321"/>
      <c r="P37" s="321"/>
      <c r="Q37" s="321"/>
      <c r="R37" s="329"/>
      <c r="S37" s="326" t="str">
        <f>IF(R37&lt;=0,"",IF(R37&lt;=2,"Muy Baja",IF(R37&lt;=24,"Baja",IF(R37&lt;=500,"Media",IF(R37&lt;=5000,"Alta","Muy Alta")))))</f>
        <v/>
      </c>
      <c r="T37" s="325" t="str">
        <f>IF(S37="","",IF(S37="Muy Baja",0.2,IF(S37="Baja",0.4,IF(S37="Media",0.6,IF(S37="Alta",0.8,IF(S37="Muy Alta",1,))))))</f>
        <v/>
      </c>
      <c r="U37" s="315"/>
      <c r="V37" s="325">
        <f>IF(NOT(ISERROR(MATCH(U37,'Tabla Impacto'!$B$222:$B$224,0))),'Tabla Impacto'!$F$224&amp;"Por favor no seleccionar los criterios de impacto(Afectación Económica o presupuestal y Pérdida Reputacional)",U37)</f>
        <v>0</v>
      </c>
      <c r="W37" s="326" t="str">
        <f>IF(OR(V37='Tabla Impacto'!$C$12,V37='Tabla Impacto'!$D$12),"Leve",IF(OR(V37='Tabla Impacto'!$C$13,V37='Tabla Impacto'!$D$13),"Menor",IF(OR(V37='Tabla Impacto'!$C$14,V37='Tabla Impacto'!$D$14),"Moderado",IF(OR(V37='Tabla Impacto'!$C$15,V37='Tabla Impacto'!$D$15),"Mayor",IF(OR(V37='Tabla Impacto'!$C$16,V37='Tabla Impacto'!$D$16),"Catastrófico","")))))</f>
        <v/>
      </c>
      <c r="X37" s="325" t="str">
        <f>IF(W37="","",IF(W37="Leve",0.2,IF(W37="Menor",0.4,IF(W37="Moderado",0.6,IF(W37="Mayor",0.8,IF(W37="Catastrófico",1,))))))</f>
        <v/>
      </c>
      <c r="Y37" s="324" t="str">
        <f>IF(OR(AND(S37="Muy Baja",W37="Leve"),AND(S37="Muy Baja",W37="Menor"),AND(S37="Baja",W37="Leve")),"Bajo",IF(OR(AND(S37="Muy baja",W37="Moderado"),AND(S37="Baja",W37="Menor"),AND(S37="Baja",W37="Moderado"),AND(S37="Media",W37="Leve"),AND(S37="Media",W37="Menor"),AND(S37="Media",W37="Moderado"),AND(S37="Alta",W37="Leve"),AND(S37="Alta",W37="Menor")),"Moderado",IF(OR(AND(S37="Muy Baja",W37="Mayor"),AND(S37="Baja",W37="Mayor"),AND(S37="Media",W37="Mayor"),AND(S37="Alta",W37="Moderado"),AND(S37="Alta",W37="Mayor"),AND(S37="Muy Alta",W37="Leve"),AND(S37="Muy Alta",W37="Menor"),AND(S37="Muy Alta",W37="Moderado"),AND(S37="Muy Alta",W37="Mayor")),"Alto",IF(OR(AND(S37="Muy Baja",W37="Catastrófico"),AND(S37="Baja",W37="Catastrófico"),AND(S37="Media",W37="Catastrófico"),AND(S37="Alta",W37="Catastrófico"),AND(S37="Muy Alta",W37="Catastrófico")),"Extremo",""))))</f>
        <v/>
      </c>
      <c r="Z37" s="208">
        <v>1</v>
      </c>
      <c r="AA37" s="181"/>
      <c r="AB37" s="183" t="str">
        <f>IF(OR(AC37="Preventivo",AC37="Detectivo"),"Probabilidad",IF(AC37="Correctivo","Impacto",""))</f>
        <v/>
      </c>
      <c r="AC37" s="184"/>
      <c r="AD37" s="184"/>
      <c r="AE37" s="185" t="str">
        <f>IF(AND(AC37="Preventivo",AD37="Automático"),"50%",IF(AND(AC37="Preventivo",AD37="Manual"),"40%",IF(AND(AC37="Detectivo",AD37="Automático"),"40%",IF(AND(AC37="Detectivo",AD37="Manual"),"30%",IF(AND(AC37="Correctivo",AD37="Automático"),"35%",IF(AND(AC37="Correctivo",AD37="Manual"),"25%",""))))))</f>
        <v/>
      </c>
      <c r="AF37" s="184"/>
      <c r="AG37" s="184"/>
      <c r="AH37" s="184"/>
      <c r="AI37" s="186" t="str">
        <f>IFERROR(IF(AB37="Probabilidad",(T37-(+T37*AE37)),IF(AB37="Impacto",T37,"")),"")</f>
        <v/>
      </c>
      <c r="AJ37" s="187" t="str">
        <f>IFERROR(IF(AI37="","",IF(AI37&lt;=0.2,"Muy Baja",IF(AI37&lt;=0.4,"Baja",IF(AI37&lt;=0.6,"Media",IF(AI37&lt;=0.8,"Alta","Muy Alta"))))),"")</f>
        <v/>
      </c>
      <c r="AK37" s="185" t="str">
        <f>+AI37</f>
        <v/>
      </c>
      <c r="AL37" s="187" t="str">
        <f>IFERROR(IF(AM37="","",IF(AM37&lt;=0.2,"Leve",IF(AM37&lt;=0.4,"Menor",IF(AM37&lt;=0.6,"Moderado",IF(AM37&lt;=0.8,"Mayor","Catastrófico"))))),"")</f>
        <v/>
      </c>
      <c r="AM37" s="185" t="str">
        <f t="shared" ref="AM37" si="35">IFERROR(IF(AB37="Impacto",(X37-(+X37*AE37)),IF(AB37="Probabilidad",X37,"")),"")</f>
        <v/>
      </c>
      <c r="AN37" s="188" t="str">
        <f>IFERROR(IF(OR(AND(AJ37="Muy Baja",AL37="Leve"),AND(AJ37="Muy Baja",AL37="Menor"),AND(AJ37="Baja",AL37="Leve")),"Bajo",IF(OR(AND(AJ37="Muy baja",AL37="Moderado"),AND(AJ37="Baja",AL37="Menor"),AND(AJ37="Baja",AL37="Moderado"),AND(AJ37="Media",AL37="Leve"),AND(AJ37="Media",AL37="Menor"),AND(AJ37="Media",AL37="Moderado"),AND(AJ37="Alta",AL37="Leve"),AND(AJ37="Alta",AL37="Menor")),"Moderado",IF(OR(AND(AJ37="Muy Baja",AL37="Mayor"),AND(AJ37="Baja",AL37="Mayor"),AND(AJ37="Media",AL37="Mayor"),AND(AJ37="Alta",AL37="Moderado"),AND(AJ37="Alta",AL37="Mayor"),AND(AJ37="Muy Alta",AL37="Leve"),AND(AJ37="Muy Alta",AL37="Menor"),AND(AJ37="Muy Alta",AL37="Moderado"),AND(AJ37="Muy Alta",AL37="Mayor")),"Alto",IF(OR(AND(AJ37="Muy Baja",AL37="Catastrófico"),AND(AJ37="Baja",AL37="Catastrófico"),AND(AJ37="Media",AL37="Catastrófico"),AND(AJ37="Alta",AL37="Catastrófico"),AND(AJ37="Muy Alta",AL37="Catastrófico")),"Extremo","")))),"")</f>
        <v/>
      </c>
      <c r="AO37" s="189"/>
      <c r="AP37" s="180"/>
      <c r="AQ37" s="190"/>
      <c r="AR37" s="190"/>
      <c r="AS37" s="191"/>
      <c r="AT37" s="329"/>
      <c r="AU37" s="329"/>
      <c r="AV37" s="329"/>
    </row>
    <row r="38" spans="1:48" ht="37.5" customHeight="1" x14ac:dyDescent="0.2">
      <c r="A38" s="342"/>
      <c r="B38" s="340"/>
      <c r="C38" s="340"/>
      <c r="D38" s="340"/>
      <c r="E38" s="340"/>
      <c r="F38" s="340"/>
      <c r="G38" s="322"/>
      <c r="H38" s="322"/>
      <c r="I38" s="322"/>
      <c r="J38" s="322"/>
      <c r="K38" s="322"/>
      <c r="L38" s="322"/>
      <c r="M38" s="322"/>
      <c r="N38" s="322"/>
      <c r="O38" s="322"/>
      <c r="P38" s="322"/>
      <c r="Q38" s="322"/>
      <c r="R38" s="329"/>
      <c r="S38" s="326"/>
      <c r="T38" s="325"/>
      <c r="U38" s="315"/>
      <c r="V38" s="325">
        <f>IF(NOT(ISERROR(MATCH(U38,_xlfn.ANCHORARRAY(E49),0))),T51&amp;"Por favor no seleccionar los criterios de impacto",U38)</f>
        <v>0</v>
      </c>
      <c r="W38" s="326"/>
      <c r="X38" s="325"/>
      <c r="Y38" s="324"/>
      <c r="Z38" s="208">
        <v>2</v>
      </c>
      <c r="AA38" s="181"/>
      <c r="AB38" s="183" t="str">
        <f>IF(OR(AC38="Preventivo",AC38="Detectivo"),"Probabilidad",IF(AC38="Correctivo","Impacto",""))</f>
        <v/>
      </c>
      <c r="AC38" s="184"/>
      <c r="AD38" s="184"/>
      <c r="AE38" s="185" t="str">
        <f t="shared" ref="AE38:AE42" si="36">IF(AND(AC38="Preventivo",AD38="Automático"),"50%",IF(AND(AC38="Preventivo",AD38="Manual"),"40%",IF(AND(AC38="Detectivo",AD38="Automático"),"40%",IF(AND(AC38="Detectivo",AD38="Manual"),"30%",IF(AND(AC38="Correctivo",AD38="Automático"),"35%",IF(AND(AC38="Correctivo",AD38="Manual"),"25%",""))))))</f>
        <v/>
      </c>
      <c r="AF38" s="184"/>
      <c r="AG38" s="184"/>
      <c r="AH38" s="184"/>
      <c r="AI38" s="186" t="str">
        <f>IFERROR(IF(AND(AB37="Probabilidad",AB38="Probabilidad"),(AK37-(+AK37*AE38)),IF(AB38="Probabilidad",(T37-(+T37*AE38)),IF(AB38="Impacto",AK37,""))),"")</f>
        <v/>
      </c>
      <c r="AJ38" s="187" t="str">
        <f t="shared" si="2"/>
        <v/>
      </c>
      <c r="AK38" s="185" t="str">
        <f t="shared" ref="AK38:AK42" si="37">+AI38</f>
        <v/>
      </c>
      <c r="AL38" s="187" t="str">
        <f t="shared" si="4"/>
        <v/>
      </c>
      <c r="AM38" s="185" t="str">
        <f t="shared" ref="AM38" si="38">IFERROR(IF(AND(AB37="Impacto",AB38="Impacto"),(AM37-(+AM37*AE38)),IF(AB38="Impacto",($X$13-(+$X$13*AE38)),IF(AB38="Probabilidad",AM37,""))),"")</f>
        <v/>
      </c>
      <c r="AN38" s="188" t="str">
        <f t="shared" ref="AN38:AN39" si="39">IFERROR(IF(OR(AND(AJ38="Muy Baja",AL38="Leve"),AND(AJ38="Muy Baja",AL38="Menor"),AND(AJ38="Baja",AL38="Leve")),"Bajo",IF(OR(AND(AJ38="Muy baja",AL38="Moderado"),AND(AJ38="Baja",AL38="Menor"),AND(AJ38="Baja",AL38="Moderado"),AND(AJ38="Media",AL38="Leve"),AND(AJ38="Media",AL38="Menor"),AND(AJ38="Media",AL38="Moderado"),AND(AJ38="Alta",AL38="Leve"),AND(AJ38="Alta",AL38="Menor")),"Moderado",IF(OR(AND(AJ38="Muy Baja",AL38="Mayor"),AND(AJ38="Baja",AL38="Mayor"),AND(AJ38="Media",AL38="Mayor"),AND(AJ38="Alta",AL38="Moderado"),AND(AJ38="Alta",AL38="Mayor"),AND(AJ38="Muy Alta",AL38="Leve"),AND(AJ38="Muy Alta",AL38="Menor"),AND(AJ38="Muy Alta",AL38="Moderado"),AND(AJ38="Muy Alta",AL38="Mayor")),"Alto",IF(OR(AND(AJ38="Muy Baja",AL38="Catastrófico"),AND(AJ38="Baja",AL38="Catastrófico"),AND(AJ38="Media",AL38="Catastrófico"),AND(AJ38="Alta",AL38="Catastrófico"),AND(AJ38="Muy Alta",AL38="Catastrófico")),"Extremo","")))),"")</f>
        <v/>
      </c>
      <c r="AO38" s="189"/>
      <c r="AP38" s="180"/>
      <c r="AQ38" s="190"/>
      <c r="AR38" s="190"/>
      <c r="AS38" s="191"/>
      <c r="AT38" s="329"/>
      <c r="AU38" s="329"/>
      <c r="AV38" s="329"/>
    </row>
    <row r="39" spans="1:48" ht="37.5" customHeight="1" x14ac:dyDescent="0.2">
      <c r="A39" s="342"/>
      <c r="B39" s="340"/>
      <c r="C39" s="340"/>
      <c r="D39" s="340"/>
      <c r="E39" s="340"/>
      <c r="F39" s="340"/>
      <c r="G39" s="322"/>
      <c r="H39" s="322"/>
      <c r="I39" s="322"/>
      <c r="J39" s="322"/>
      <c r="K39" s="322"/>
      <c r="L39" s="322"/>
      <c r="M39" s="322"/>
      <c r="N39" s="322"/>
      <c r="O39" s="322"/>
      <c r="P39" s="322"/>
      <c r="Q39" s="322"/>
      <c r="R39" s="329"/>
      <c r="S39" s="326"/>
      <c r="T39" s="325"/>
      <c r="U39" s="315"/>
      <c r="V39" s="325">
        <f>IF(NOT(ISERROR(MATCH(U39,_xlfn.ANCHORARRAY(E50),0))),T52&amp;"Por favor no seleccionar los criterios de impacto",U39)</f>
        <v>0</v>
      </c>
      <c r="W39" s="326"/>
      <c r="X39" s="325"/>
      <c r="Y39" s="324"/>
      <c r="Z39" s="208">
        <v>3</v>
      </c>
      <c r="AA39" s="182"/>
      <c r="AB39" s="183" t="str">
        <f>IF(OR(AC39="Preventivo",AC39="Detectivo"),"Probabilidad",IF(AC39="Correctivo","Impacto",""))</f>
        <v/>
      </c>
      <c r="AC39" s="184"/>
      <c r="AD39" s="184"/>
      <c r="AE39" s="185" t="str">
        <f t="shared" si="36"/>
        <v/>
      </c>
      <c r="AF39" s="184"/>
      <c r="AG39" s="184"/>
      <c r="AH39" s="184"/>
      <c r="AI39" s="186" t="str">
        <f>IFERROR(IF(AND(AB38="Probabilidad",AB39="Probabilidad"),(AK38-(+AK38*AE39)),IF(AND(AB38="Impacto",AB39="Probabilidad"),(AK37-(+AK37*AE39)),IF(AB39="Impacto",AK38,""))),"")</f>
        <v/>
      </c>
      <c r="AJ39" s="187" t="str">
        <f t="shared" si="2"/>
        <v/>
      </c>
      <c r="AK39" s="185" t="str">
        <f t="shared" si="37"/>
        <v/>
      </c>
      <c r="AL39" s="187" t="str">
        <f t="shared" si="4"/>
        <v/>
      </c>
      <c r="AM39" s="185" t="str">
        <f t="shared" ref="AM39" si="40">IFERROR(IF(AND(AB38="Impacto",AB39="Impacto"),(AM38-(+AM38*AE39)),IF(AND(AB38="Probabilidad",AB39="Impacto"),(AM37-(+AM37*AE39)),IF(AB39="Probabilidad",AM38,""))),"")</f>
        <v/>
      </c>
      <c r="AN39" s="188" t="str">
        <f t="shared" si="39"/>
        <v/>
      </c>
      <c r="AO39" s="189"/>
      <c r="AP39" s="180"/>
      <c r="AQ39" s="190"/>
      <c r="AR39" s="190"/>
      <c r="AS39" s="191"/>
      <c r="AT39" s="329"/>
      <c r="AU39" s="329"/>
      <c r="AV39" s="329"/>
    </row>
    <row r="40" spans="1:48" ht="37.5" customHeight="1" x14ac:dyDescent="0.2">
      <c r="A40" s="342"/>
      <c r="B40" s="340"/>
      <c r="C40" s="340"/>
      <c r="D40" s="340"/>
      <c r="E40" s="340"/>
      <c r="F40" s="340"/>
      <c r="G40" s="322"/>
      <c r="H40" s="322"/>
      <c r="I40" s="322"/>
      <c r="J40" s="322"/>
      <c r="K40" s="322"/>
      <c r="L40" s="322"/>
      <c r="M40" s="322"/>
      <c r="N40" s="322"/>
      <c r="O40" s="322"/>
      <c r="P40" s="322"/>
      <c r="Q40" s="322"/>
      <c r="R40" s="329"/>
      <c r="S40" s="326"/>
      <c r="T40" s="325"/>
      <c r="U40" s="315"/>
      <c r="V40" s="325">
        <f>IF(NOT(ISERROR(MATCH(U40,_xlfn.ANCHORARRAY(E51),0))),T53&amp;"Por favor no seleccionar los criterios de impacto",U40)</f>
        <v>0</v>
      </c>
      <c r="W40" s="326"/>
      <c r="X40" s="325"/>
      <c r="Y40" s="324"/>
      <c r="Z40" s="208">
        <v>4</v>
      </c>
      <c r="AA40" s="181"/>
      <c r="AB40" s="183" t="str">
        <f t="shared" ref="AB40:AB42" si="41">IF(OR(AC40="Preventivo",AC40="Detectivo"),"Probabilidad",IF(AC40="Correctivo","Impacto",""))</f>
        <v/>
      </c>
      <c r="AC40" s="184"/>
      <c r="AD40" s="184"/>
      <c r="AE40" s="185" t="str">
        <f t="shared" si="36"/>
        <v/>
      </c>
      <c r="AF40" s="184"/>
      <c r="AG40" s="184"/>
      <c r="AH40" s="184"/>
      <c r="AI40" s="186" t="str">
        <f t="shared" ref="AI40:AI42" si="42">IFERROR(IF(AND(AB39="Probabilidad",AB40="Probabilidad"),(AK39-(+AK39*AE40)),IF(AND(AB39="Impacto",AB40="Probabilidad"),(AK38-(+AK38*AE40)),IF(AB40="Impacto",AK39,""))),"")</f>
        <v/>
      </c>
      <c r="AJ40" s="187" t="str">
        <f t="shared" si="2"/>
        <v/>
      </c>
      <c r="AK40" s="185" t="str">
        <f t="shared" si="37"/>
        <v/>
      </c>
      <c r="AL40" s="187" t="str">
        <f t="shared" si="4"/>
        <v/>
      </c>
      <c r="AM40" s="185" t="str">
        <f t="shared" si="13"/>
        <v/>
      </c>
      <c r="AN40" s="188" t="str">
        <f>IFERROR(IF(OR(AND(AJ40="Muy Baja",AL40="Leve"),AND(AJ40="Muy Baja",AL40="Menor"),AND(AJ40="Baja",AL40="Leve")),"Bajo",IF(OR(AND(AJ40="Muy baja",AL40="Moderado"),AND(AJ40="Baja",AL40="Menor"),AND(AJ40="Baja",AL40="Moderado"),AND(AJ40="Media",AL40="Leve"),AND(AJ40="Media",AL40="Menor"),AND(AJ40="Media",AL40="Moderado"),AND(AJ40="Alta",AL40="Leve"),AND(AJ40="Alta",AL40="Menor")),"Moderado",IF(OR(AND(AJ40="Muy Baja",AL40="Mayor"),AND(AJ40="Baja",AL40="Mayor"),AND(AJ40="Media",AL40="Mayor"),AND(AJ40="Alta",AL40="Moderado"),AND(AJ40="Alta",AL40="Mayor"),AND(AJ40="Muy Alta",AL40="Leve"),AND(AJ40="Muy Alta",AL40="Menor"),AND(AJ40="Muy Alta",AL40="Moderado"),AND(AJ40="Muy Alta",AL40="Mayor")),"Alto",IF(OR(AND(AJ40="Muy Baja",AL40="Catastrófico"),AND(AJ40="Baja",AL40="Catastrófico"),AND(AJ40="Media",AL40="Catastrófico"),AND(AJ40="Alta",AL40="Catastrófico"),AND(AJ40="Muy Alta",AL40="Catastrófico")),"Extremo","")))),"")</f>
        <v/>
      </c>
      <c r="AO40" s="189"/>
      <c r="AP40" s="180"/>
      <c r="AQ40" s="190"/>
      <c r="AR40" s="190"/>
      <c r="AS40" s="191"/>
      <c r="AT40" s="329"/>
      <c r="AU40" s="329"/>
      <c r="AV40" s="329"/>
    </row>
    <row r="41" spans="1:48" ht="37.5" customHeight="1" x14ac:dyDescent="0.2">
      <c r="A41" s="342"/>
      <c r="B41" s="340"/>
      <c r="C41" s="340"/>
      <c r="D41" s="340"/>
      <c r="E41" s="340"/>
      <c r="F41" s="340"/>
      <c r="G41" s="322"/>
      <c r="H41" s="322"/>
      <c r="I41" s="322"/>
      <c r="J41" s="322"/>
      <c r="K41" s="322"/>
      <c r="L41" s="322"/>
      <c r="M41" s="322"/>
      <c r="N41" s="322"/>
      <c r="O41" s="322"/>
      <c r="P41" s="322"/>
      <c r="Q41" s="322"/>
      <c r="R41" s="329"/>
      <c r="S41" s="326"/>
      <c r="T41" s="325"/>
      <c r="U41" s="315"/>
      <c r="V41" s="325">
        <f>IF(NOT(ISERROR(MATCH(U41,_xlfn.ANCHORARRAY(E52),0))),T54&amp;"Por favor no seleccionar los criterios de impacto",U41)</f>
        <v>0</v>
      </c>
      <c r="W41" s="326"/>
      <c r="X41" s="325"/>
      <c r="Y41" s="324"/>
      <c r="Z41" s="208">
        <v>5</v>
      </c>
      <c r="AA41" s="181"/>
      <c r="AB41" s="183" t="str">
        <f t="shared" si="41"/>
        <v/>
      </c>
      <c r="AC41" s="184"/>
      <c r="AD41" s="184"/>
      <c r="AE41" s="185" t="str">
        <f t="shared" si="36"/>
        <v/>
      </c>
      <c r="AF41" s="184"/>
      <c r="AG41" s="184"/>
      <c r="AH41" s="184"/>
      <c r="AI41" s="186" t="str">
        <f t="shared" si="42"/>
        <v/>
      </c>
      <c r="AJ41" s="187" t="str">
        <f t="shared" si="2"/>
        <v/>
      </c>
      <c r="AK41" s="185" t="str">
        <f t="shared" si="37"/>
        <v/>
      </c>
      <c r="AL41" s="187" t="str">
        <f t="shared" si="4"/>
        <v/>
      </c>
      <c r="AM41" s="185" t="str">
        <f t="shared" si="13"/>
        <v/>
      </c>
      <c r="AN41" s="188" t="str">
        <f t="shared" ref="AN41:AN42" si="43">IFERROR(IF(OR(AND(AJ41="Muy Baja",AL41="Leve"),AND(AJ41="Muy Baja",AL41="Menor"),AND(AJ41="Baja",AL41="Leve")),"Bajo",IF(OR(AND(AJ41="Muy baja",AL41="Moderado"),AND(AJ41="Baja",AL41="Menor"),AND(AJ41="Baja",AL41="Moderado"),AND(AJ41="Media",AL41="Leve"),AND(AJ41="Media",AL41="Menor"),AND(AJ41="Media",AL41="Moderado"),AND(AJ41="Alta",AL41="Leve"),AND(AJ41="Alta",AL41="Menor")),"Moderado",IF(OR(AND(AJ41="Muy Baja",AL41="Mayor"),AND(AJ41="Baja",AL41="Mayor"),AND(AJ41="Media",AL41="Mayor"),AND(AJ41="Alta",AL41="Moderado"),AND(AJ41="Alta",AL41="Mayor"),AND(AJ41="Muy Alta",AL41="Leve"),AND(AJ41="Muy Alta",AL41="Menor"),AND(AJ41="Muy Alta",AL41="Moderado"),AND(AJ41="Muy Alta",AL41="Mayor")),"Alto",IF(OR(AND(AJ41="Muy Baja",AL41="Catastrófico"),AND(AJ41="Baja",AL41="Catastrófico"),AND(AJ41="Media",AL41="Catastrófico"),AND(AJ41="Alta",AL41="Catastrófico"),AND(AJ41="Muy Alta",AL41="Catastrófico")),"Extremo","")))),"")</f>
        <v/>
      </c>
      <c r="AO41" s="189"/>
      <c r="AP41" s="180"/>
      <c r="AQ41" s="190"/>
      <c r="AR41" s="190"/>
      <c r="AS41" s="191"/>
      <c r="AT41" s="329"/>
      <c r="AU41" s="329"/>
      <c r="AV41" s="329"/>
    </row>
    <row r="42" spans="1:48" ht="37.5" customHeight="1" x14ac:dyDescent="0.2">
      <c r="A42" s="342"/>
      <c r="B42" s="340"/>
      <c r="C42" s="340"/>
      <c r="D42" s="340"/>
      <c r="E42" s="340"/>
      <c r="F42" s="340"/>
      <c r="G42" s="323"/>
      <c r="H42" s="323"/>
      <c r="I42" s="323"/>
      <c r="J42" s="323"/>
      <c r="K42" s="323"/>
      <c r="L42" s="323"/>
      <c r="M42" s="323"/>
      <c r="N42" s="323"/>
      <c r="O42" s="323"/>
      <c r="P42" s="323"/>
      <c r="Q42" s="323"/>
      <c r="R42" s="329"/>
      <c r="S42" s="326"/>
      <c r="T42" s="325"/>
      <c r="U42" s="315"/>
      <c r="V42" s="325">
        <f>IF(NOT(ISERROR(MATCH(U42,_xlfn.ANCHORARRAY(E53),0))),T55&amp;"Por favor no seleccionar los criterios de impacto",U42)</f>
        <v>0</v>
      </c>
      <c r="W42" s="326"/>
      <c r="X42" s="325"/>
      <c r="Y42" s="324"/>
      <c r="Z42" s="208">
        <v>6</v>
      </c>
      <c r="AA42" s="181"/>
      <c r="AB42" s="183" t="str">
        <f t="shared" si="41"/>
        <v/>
      </c>
      <c r="AC42" s="184"/>
      <c r="AD42" s="184"/>
      <c r="AE42" s="185" t="str">
        <f t="shared" si="36"/>
        <v/>
      </c>
      <c r="AF42" s="184"/>
      <c r="AG42" s="184"/>
      <c r="AH42" s="184"/>
      <c r="AI42" s="186" t="str">
        <f t="shared" si="42"/>
        <v/>
      </c>
      <c r="AJ42" s="187" t="str">
        <f t="shared" si="2"/>
        <v/>
      </c>
      <c r="AK42" s="185" t="str">
        <f t="shared" si="37"/>
        <v/>
      </c>
      <c r="AL42" s="187" t="str">
        <f t="shared" si="4"/>
        <v/>
      </c>
      <c r="AM42" s="185" t="str">
        <f t="shared" si="13"/>
        <v/>
      </c>
      <c r="AN42" s="188" t="str">
        <f t="shared" si="43"/>
        <v/>
      </c>
      <c r="AO42" s="189"/>
      <c r="AP42" s="180"/>
      <c r="AQ42" s="190"/>
      <c r="AR42" s="190"/>
      <c r="AS42" s="191"/>
      <c r="AT42" s="329"/>
      <c r="AU42" s="329"/>
      <c r="AV42" s="329"/>
    </row>
    <row r="43" spans="1:48" ht="37.5" customHeight="1" x14ac:dyDescent="0.2">
      <c r="A43" s="342">
        <v>6</v>
      </c>
      <c r="B43" s="340"/>
      <c r="C43" s="340"/>
      <c r="D43" s="340"/>
      <c r="E43" s="321"/>
      <c r="F43" s="340"/>
      <c r="G43" s="321"/>
      <c r="H43" s="321"/>
      <c r="I43" s="321"/>
      <c r="J43" s="321"/>
      <c r="K43" s="321"/>
      <c r="L43" s="321"/>
      <c r="M43" s="321"/>
      <c r="N43" s="321"/>
      <c r="O43" s="321"/>
      <c r="P43" s="321"/>
      <c r="Q43" s="321"/>
      <c r="R43" s="329"/>
      <c r="S43" s="326" t="str">
        <f>IF(R43&lt;=0,"",IF(R43&lt;=2,"Muy Baja",IF(R43&lt;=24,"Baja",IF(R43&lt;=500,"Media",IF(R43&lt;=5000,"Alta","Muy Alta")))))</f>
        <v/>
      </c>
      <c r="T43" s="325" t="str">
        <f>IF(S43="","",IF(S43="Muy Baja",0.2,IF(S43="Baja",0.4,IF(S43="Media",0.6,IF(S43="Alta",0.8,IF(S43="Muy Alta",1,))))))</f>
        <v/>
      </c>
      <c r="U43" s="315"/>
      <c r="V43" s="325">
        <f>IF(NOT(ISERROR(MATCH(U43,'Tabla Impacto'!$B$222:$B$224,0))),'Tabla Impacto'!$F$224&amp;"Por favor no seleccionar los criterios de impacto(Afectación Económica o presupuestal y Pérdida Reputacional)",U43)</f>
        <v>0</v>
      </c>
      <c r="W43" s="326" t="str">
        <f>IF(OR(V43='Tabla Impacto'!$C$12,V43='Tabla Impacto'!$D$12),"Leve",IF(OR(V43='Tabla Impacto'!$C$13,V43='Tabla Impacto'!$D$13),"Menor",IF(OR(V43='Tabla Impacto'!$C$14,V43='Tabla Impacto'!$D$14),"Moderado",IF(OR(V43='Tabla Impacto'!$C$15,V43='Tabla Impacto'!$D$15),"Mayor",IF(OR(V43='Tabla Impacto'!$C$16,V43='Tabla Impacto'!$D$16),"Catastrófico","")))))</f>
        <v/>
      </c>
      <c r="X43" s="325" t="str">
        <f>IF(W43="","",IF(W43="Leve",0.2,IF(W43="Menor",0.4,IF(W43="Moderado",0.6,IF(W43="Mayor",0.8,IF(W43="Catastrófico",1,))))))</f>
        <v/>
      </c>
      <c r="Y43" s="324" t="str">
        <f>IF(OR(AND(S43="Muy Baja",W43="Leve"),AND(S43="Muy Baja",W43="Menor"),AND(S43="Baja",W43="Leve")),"Bajo",IF(OR(AND(S43="Muy baja",W43="Moderado"),AND(S43="Baja",W43="Menor"),AND(S43="Baja",W43="Moderado"),AND(S43="Media",W43="Leve"),AND(S43="Media",W43="Menor"),AND(S43="Media",W43="Moderado"),AND(S43="Alta",W43="Leve"),AND(S43="Alta",W43="Menor")),"Moderado",IF(OR(AND(S43="Muy Baja",W43="Mayor"),AND(S43="Baja",W43="Mayor"),AND(S43="Media",W43="Mayor"),AND(S43="Alta",W43="Moderado"),AND(S43="Alta",W43="Mayor"),AND(S43="Muy Alta",W43="Leve"),AND(S43="Muy Alta",W43="Menor"),AND(S43="Muy Alta",W43="Moderado"),AND(S43="Muy Alta",W43="Mayor")),"Alto",IF(OR(AND(S43="Muy Baja",W43="Catastrófico"),AND(S43="Baja",W43="Catastrófico"),AND(S43="Media",W43="Catastrófico"),AND(S43="Alta",W43="Catastrófico"),AND(S43="Muy Alta",W43="Catastrófico")),"Extremo",""))))</f>
        <v/>
      </c>
      <c r="Z43" s="208">
        <v>1</v>
      </c>
      <c r="AA43" s="181"/>
      <c r="AB43" s="183" t="str">
        <f>IF(OR(AC43="Preventivo",AC43="Detectivo"),"Probabilidad",IF(AC43="Correctivo","Impacto",""))</f>
        <v/>
      </c>
      <c r="AC43" s="184"/>
      <c r="AD43" s="184"/>
      <c r="AE43" s="185" t="str">
        <f>IF(AND(AC43="Preventivo",AD43="Automático"),"50%",IF(AND(AC43="Preventivo",AD43="Manual"),"40%",IF(AND(AC43="Detectivo",AD43="Automático"),"40%",IF(AND(AC43="Detectivo",AD43="Manual"),"30%",IF(AND(AC43="Correctivo",AD43="Automático"),"35%",IF(AND(AC43="Correctivo",AD43="Manual"),"25%",""))))))</f>
        <v/>
      </c>
      <c r="AF43" s="184"/>
      <c r="AG43" s="184"/>
      <c r="AH43" s="184"/>
      <c r="AI43" s="186" t="str">
        <f>IFERROR(IF(AB43="Probabilidad",(T43-(+T43*AE43)),IF(AB43="Impacto",T43,"")),"")</f>
        <v/>
      </c>
      <c r="AJ43" s="187" t="str">
        <f>IFERROR(IF(AI43="","",IF(AI43&lt;=0.2,"Muy Baja",IF(AI43&lt;=0.4,"Baja",IF(AI43&lt;=0.6,"Media",IF(AI43&lt;=0.8,"Alta","Muy Alta"))))),"")</f>
        <v/>
      </c>
      <c r="AK43" s="185" t="str">
        <f>+AI43</f>
        <v/>
      </c>
      <c r="AL43" s="187" t="str">
        <f>IFERROR(IF(AM43="","",IF(AM43&lt;=0.2,"Leve",IF(AM43&lt;=0.4,"Menor",IF(AM43&lt;=0.6,"Moderado",IF(AM43&lt;=0.8,"Mayor","Catastrófico"))))),"")</f>
        <v/>
      </c>
      <c r="AM43" s="185" t="str">
        <f t="shared" ref="AM43" si="44">IFERROR(IF(AB43="Impacto",(X43-(+X43*AE43)),IF(AB43="Probabilidad",X43,"")),"")</f>
        <v/>
      </c>
      <c r="AN43" s="188" t="str">
        <f>IFERROR(IF(OR(AND(AJ43="Muy Baja",AL43="Leve"),AND(AJ43="Muy Baja",AL43="Menor"),AND(AJ43="Baja",AL43="Leve")),"Bajo",IF(OR(AND(AJ43="Muy baja",AL43="Moderado"),AND(AJ43="Baja",AL43="Menor"),AND(AJ43="Baja",AL43="Moderado"),AND(AJ43="Media",AL43="Leve"),AND(AJ43="Media",AL43="Menor"),AND(AJ43="Media",AL43="Moderado"),AND(AJ43="Alta",AL43="Leve"),AND(AJ43="Alta",AL43="Menor")),"Moderado",IF(OR(AND(AJ43="Muy Baja",AL43="Mayor"),AND(AJ43="Baja",AL43="Mayor"),AND(AJ43="Media",AL43="Mayor"),AND(AJ43="Alta",AL43="Moderado"),AND(AJ43="Alta",AL43="Mayor"),AND(AJ43="Muy Alta",AL43="Leve"),AND(AJ43="Muy Alta",AL43="Menor"),AND(AJ43="Muy Alta",AL43="Moderado"),AND(AJ43="Muy Alta",AL43="Mayor")),"Alto",IF(OR(AND(AJ43="Muy Baja",AL43="Catastrófico"),AND(AJ43="Baja",AL43="Catastrófico"),AND(AJ43="Media",AL43="Catastrófico"),AND(AJ43="Alta",AL43="Catastrófico"),AND(AJ43="Muy Alta",AL43="Catastrófico")),"Extremo","")))),"")</f>
        <v/>
      </c>
      <c r="AO43" s="184"/>
      <c r="AP43" s="180"/>
      <c r="AQ43" s="190"/>
      <c r="AR43" s="190"/>
      <c r="AS43" s="191"/>
      <c r="AT43" s="329"/>
      <c r="AU43" s="329"/>
      <c r="AV43" s="329"/>
    </row>
    <row r="44" spans="1:48" ht="37.5" customHeight="1" x14ac:dyDescent="0.2">
      <c r="A44" s="342"/>
      <c r="B44" s="340"/>
      <c r="C44" s="340"/>
      <c r="D44" s="340"/>
      <c r="E44" s="322"/>
      <c r="F44" s="340"/>
      <c r="G44" s="322"/>
      <c r="H44" s="322"/>
      <c r="I44" s="322"/>
      <c r="J44" s="322"/>
      <c r="K44" s="322"/>
      <c r="L44" s="322"/>
      <c r="M44" s="322"/>
      <c r="N44" s="322"/>
      <c r="O44" s="322"/>
      <c r="P44" s="322"/>
      <c r="Q44" s="322"/>
      <c r="R44" s="329"/>
      <c r="S44" s="326"/>
      <c r="T44" s="325"/>
      <c r="U44" s="315"/>
      <c r="V44" s="325">
        <f>IF(NOT(ISERROR(MATCH(U44,_xlfn.ANCHORARRAY(E55),0))),T57&amp;"Por favor no seleccionar los criterios de impacto",U44)</f>
        <v>0</v>
      </c>
      <c r="W44" s="326"/>
      <c r="X44" s="325"/>
      <c r="Y44" s="324"/>
      <c r="Z44" s="208">
        <v>2</v>
      </c>
      <c r="AA44" s="181"/>
      <c r="AB44" s="183" t="str">
        <f>IF(OR(AC44="Preventivo",AC44="Detectivo"),"Probabilidad",IF(AC44="Correctivo","Impacto",""))</f>
        <v/>
      </c>
      <c r="AC44" s="184"/>
      <c r="AD44" s="184"/>
      <c r="AE44" s="185" t="str">
        <f t="shared" ref="AE44:AE48" si="45">IF(AND(AC44="Preventivo",AD44="Automático"),"50%",IF(AND(AC44="Preventivo",AD44="Manual"),"40%",IF(AND(AC44="Detectivo",AD44="Automático"),"40%",IF(AND(AC44="Detectivo",AD44="Manual"),"30%",IF(AND(AC44="Correctivo",AD44="Automático"),"35%",IF(AND(AC44="Correctivo",AD44="Manual"),"25%",""))))))</f>
        <v/>
      </c>
      <c r="AF44" s="184"/>
      <c r="AG44" s="184"/>
      <c r="AH44" s="184"/>
      <c r="AI44" s="186" t="str">
        <f>IFERROR(IF(AND(AB43="Probabilidad",AB44="Probabilidad"),(AK43-(+AK43*AE44)),IF(AB44="Probabilidad",(T43-(+T43*AE44)),IF(AB44="Impacto",AK43,""))),"")</f>
        <v/>
      </c>
      <c r="AJ44" s="187" t="str">
        <f t="shared" si="2"/>
        <v/>
      </c>
      <c r="AK44" s="185" t="str">
        <f t="shared" ref="AK44:AK48" si="46">+AI44</f>
        <v/>
      </c>
      <c r="AL44" s="187" t="str">
        <f t="shared" si="4"/>
        <v/>
      </c>
      <c r="AM44" s="185" t="str">
        <f t="shared" ref="AM44" si="47">IFERROR(IF(AND(AB43="Impacto",AB44="Impacto"),(AM43-(+AM43*AE44)),IF(AB44="Impacto",($X$13-(+$X$13*AE44)),IF(AB44="Probabilidad",AM43,""))),"")</f>
        <v/>
      </c>
      <c r="AN44" s="188" t="str">
        <f t="shared" ref="AN44:AN45" si="48">IFERROR(IF(OR(AND(AJ44="Muy Baja",AL44="Leve"),AND(AJ44="Muy Baja",AL44="Menor"),AND(AJ44="Baja",AL44="Leve")),"Bajo",IF(OR(AND(AJ44="Muy baja",AL44="Moderado"),AND(AJ44="Baja",AL44="Menor"),AND(AJ44="Baja",AL44="Moderado"),AND(AJ44="Media",AL44="Leve"),AND(AJ44="Media",AL44="Menor"),AND(AJ44="Media",AL44="Moderado"),AND(AJ44="Alta",AL44="Leve"),AND(AJ44="Alta",AL44="Menor")),"Moderado",IF(OR(AND(AJ44="Muy Baja",AL44="Mayor"),AND(AJ44="Baja",AL44="Mayor"),AND(AJ44="Media",AL44="Mayor"),AND(AJ44="Alta",AL44="Moderado"),AND(AJ44="Alta",AL44="Mayor"),AND(AJ44="Muy Alta",AL44="Leve"),AND(AJ44="Muy Alta",AL44="Menor"),AND(AJ44="Muy Alta",AL44="Moderado"),AND(AJ44="Muy Alta",AL44="Mayor")),"Alto",IF(OR(AND(AJ44="Muy Baja",AL44="Catastrófico"),AND(AJ44="Baja",AL44="Catastrófico"),AND(AJ44="Media",AL44="Catastrófico"),AND(AJ44="Alta",AL44="Catastrófico"),AND(AJ44="Muy Alta",AL44="Catastrófico")),"Extremo","")))),"")</f>
        <v/>
      </c>
      <c r="AO44" s="189"/>
      <c r="AP44" s="180"/>
      <c r="AQ44" s="190"/>
      <c r="AR44" s="190"/>
      <c r="AS44" s="191"/>
      <c r="AT44" s="329"/>
      <c r="AU44" s="329"/>
      <c r="AV44" s="329"/>
    </row>
    <row r="45" spans="1:48" ht="37.5" customHeight="1" x14ac:dyDescent="0.2">
      <c r="A45" s="342"/>
      <c r="B45" s="340"/>
      <c r="C45" s="340"/>
      <c r="D45" s="340"/>
      <c r="E45" s="322"/>
      <c r="F45" s="340"/>
      <c r="G45" s="322"/>
      <c r="H45" s="322"/>
      <c r="I45" s="322"/>
      <c r="J45" s="322"/>
      <c r="K45" s="322"/>
      <c r="L45" s="322"/>
      <c r="M45" s="322"/>
      <c r="N45" s="322"/>
      <c r="O45" s="322"/>
      <c r="P45" s="322"/>
      <c r="Q45" s="322"/>
      <c r="R45" s="329"/>
      <c r="S45" s="326"/>
      <c r="T45" s="325"/>
      <c r="U45" s="315"/>
      <c r="V45" s="325">
        <f>IF(NOT(ISERROR(MATCH(U45,_xlfn.ANCHORARRAY(E56),0))),T58&amp;"Por favor no seleccionar los criterios de impacto",U45)</f>
        <v>0</v>
      </c>
      <c r="W45" s="326"/>
      <c r="X45" s="325"/>
      <c r="Y45" s="324"/>
      <c r="Z45" s="208">
        <v>3</v>
      </c>
      <c r="AA45" s="182"/>
      <c r="AB45" s="183" t="str">
        <f>IF(OR(AC45="Preventivo",AC45="Detectivo"),"Probabilidad",IF(AC45="Correctivo","Impacto",""))</f>
        <v/>
      </c>
      <c r="AC45" s="184"/>
      <c r="AD45" s="184"/>
      <c r="AE45" s="185" t="str">
        <f t="shared" si="45"/>
        <v/>
      </c>
      <c r="AF45" s="184"/>
      <c r="AG45" s="184"/>
      <c r="AH45" s="184"/>
      <c r="AI45" s="186" t="str">
        <f>IFERROR(IF(AND(AB44="Probabilidad",AB45="Probabilidad"),(AK44-(+AK44*AE45)),IF(AND(AB44="Impacto",AB45="Probabilidad"),(AK43-(+AK43*AE45)),IF(AB45="Impacto",AK44,""))),"")</f>
        <v/>
      </c>
      <c r="AJ45" s="187" t="str">
        <f t="shared" si="2"/>
        <v/>
      </c>
      <c r="AK45" s="185" t="str">
        <f t="shared" si="46"/>
        <v/>
      </c>
      <c r="AL45" s="187" t="str">
        <f t="shared" si="4"/>
        <v/>
      </c>
      <c r="AM45" s="185" t="str">
        <f t="shared" ref="AM45" si="49">IFERROR(IF(AND(AB44="Impacto",AB45="Impacto"),(AM44-(+AM44*AE45)),IF(AND(AB44="Probabilidad",AB45="Impacto"),(AM43-(+AM43*AE45)),IF(AB45="Probabilidad",AM44,""))),"")</f>
        <v/>
      </c>
      <c r="AN45" s="188" t="str">
        <f t="shared" si="48"/>
        <v/>
      </c>
      <c r="AO45" s="189"/>
      <c r="AP45" s="180"/>
      <c r="AQ45" s="190"/>
      <c r="AR45" s="190"/>
      <c r="AS45" s="191"/>
      <c r="AT45" s="329"/>
      <c r="AU45" s="329"/>
      <c r="AV45" s="329"/>
    </row>
    <row r="46" spans="1:48" ht="37.5" customHeight="1" x14ac:dyDescent="0.2">
      <c r="A46" s="342"/>
      <c r="B46" s="340"/>
      <c r="C46" s="340"/>
      <c r="D46" s="340"/>
      <c r="E46" s="322"/>
      <c r="F46" s="340"/>
      <c r="G46" s="322"/>
      <c r="H46" s="322"/>
      <c r="I46" s="322"/>
      <c r="J46" s="322"/>
      <c r="K46" s="322"/>
      <c r="L46" s="322"/>
      <c r="M46" s="322"/>
      <c r="N46" s="322"/>
      <c r="O46" s="322"/>
      <c r="P46" s="322"/>
      <c r="Q46" s="322"/>
      <c r="R46" s="329"/>
      <c r="S46" s="326"/>
      <c r="T46" s="325"/>
      <c r="U46" s="315"/>
      <c r="V46" s="325">
        <f>IF(NOT(ISERROR(MATCH(U46,_xlfn.ANCHORARRAY(E57),0))),T59&amp;"Por favor no seleccionar los criterios de impacto",U46)</f>
        <v>0</v>
      </c>
      <c r="W46" s="326"/>
      <c r="X46" s="325"/>
      <c r="Y46" s="324"/>
      <c r="Z46" s="208">
        <v>4</v>
      </c>
      <c r="AA46" s="181"/>
      <c r="AB46" s="183" t="str">
        <f t="shared" ref="AB46:AB48" si="50">IF(OR(AC46="Preventivo",AC46="Detectivo"),"Probabilidad",IF(AC46="Correctivo","Impacto",""))</f>
        <v/>
      </c>
      <c r="AC46" s="184"/>
      <c r="AD46" s="184"/>
      <c r="AE46" s="185" t="str">
        <f t="shared" si="45"/>
        <v/>
      </c>
      <c r="AF46" s="184"/>
      <c r="AG46" s="184"/>
      <c r="AH46" s="184"/>
      <c r="AI46" s="186" t="str">
        <f t="shared" ref="AI46:AI48" si="51">IFERROR(IF(AND(AB45="Probabilidad",AB46="Probabilidad"),(AK45-(+AK45*AE46)),IF(AND(AB45="Impacto",AB46="Probabilidad"),(AK44-(+AK44*AE46)),IF(AB46="Impacto",AK45,""))),"")</f>
        <v/>
      </c>
      <c r="AJ46" s="187" t="str">
        <f t="shared" si="2"/>
        <v/>
      </c>
      <c r="AK46" s="185" t="str">
        <f t="shared" si="46"/>
        <v/>
      </c>
      <c r="AL46" s="187" t="str">
        <f t="shared" si="4"/>
        <v/>
      </c>
      <c r="AM46" s="185" t="str">
        <f t="shared" si="13"/>
        <v/>
      </c>
      <c r="AN46" s="188" t="str">
        <f>IFERROR(IF(OR(AND(AJ46="Muy Baja",AL46="Leve"),AND(AJ46="Muy Baja",AL46="Menor"),AND(AJ46="Baja",AL46="Leve")),"Bajo",IF(OR(AND(AJ46="Muy baja",AL46="Moderado"),AND(AJ46="Baja",AL46="Menor"),AND(AJ46="Baja",AL46="Moderado"),AND(AJ46="Media",AL46="Leve"),AND(AJ46="Media",AL46="Menor"),AND(AJ46="Media",AL46="Moderado"),AND(AJ46="Alta",AL46="Leve"),AND(AJ46="Alta",AL46="Menor")),"Moderado",IF(OR(AND(AJ46="Muy Baja",AL46="Mayor"),AND(AJ46="Baja",AL46="Mayor"),AND(AJ46="Media",AL46="Mayor"),AND(AJ46="Alta",AL46="Moderado"),AND(AJ46="Alta",AL46="Mayor"),AND(AJ46="Muy Alta",AL46="Leve"),AND(AJ46="Muy Alta",AL46="Menor"),AND(AJ46="Muy Alta",AL46="Moderado"),AND(AJ46="Muy Alta",AL46="Mayor")),"Alto",IF(OR(AND(AJ46="Muy Baja",AL46="Catastrófico"),AND(AJ46="Baja",AL46="Catastrófico"),AND(AJ46="Media",AL46="Catastrófico"),AND(AJ46="Alta",AL46="Catastrófico"),AND(AJ46="Muy Alta",AL46="Catastrófico")),"Extremo","")))),"")</f>
        <v/>
      </c>
      <c r="AO46" s="189"/>
      <c r="AP46" s="180"/>
      <c r="AQ46" s="190"/>
      <c r="AR46" s="190"/>
      <c r="AS46" s="191"/>
      <c r="AT46" s="329"/>
      <c r="AU46" s="329"/>
      <c r="AV46" s="329"/>
    </row>
    <row r="47" spans="1:48" ht="37.5" customHeight="1" x14ac:dyDescent="0.2">
      <c r="A47" s="342"/>
      <c r="B47" s="340"/>
      <c r="C47" s="340"/>
      <c r="D47" s="340"/>
      <c r="E47" s="322"/>
      <c r="F47" s="340"/>
      <c r="G47" s="322"/>
      <c r="H47" s="322"/>
      <c r="I47" s="322"/>
      <c r="J47" s="322"/>
      <c r="K47" s="322"/>
      <c r="L47" s="322"/>
      <c r="M47" s="322"/>
      <c r="N47" s="322"/>
      <c r="O47" s="322"/>
      <c r="P47" s="322"/>
      <c r="Q47" s="322"/>
      <c r="R47" s="329"/>
      <c r="S47" s="326"/>
      <c r="T47" s="325"/>
      <c r="U47" s="315"/>
      <c r="V47" s="325">
        <f>IF(NOT(ISERROR(MATCH(U47,_xlfn.ANCHORARRAY(E58),0))),T60&amp;"Por favor no seleccionar los criterios de impacto",U47)</f>
        <v>0</v>
      </c>
      <c r="W47" s="326"/>
      <c r="X47" s="325"/>
      <c r="Y47" s="324"/>
      <c r="Z47" s="208">
        <v>5</v>
      </c>
      <c r="AA47" s="181"/>
      <c r="AB47" s="183" t="str">
        <f t="shared" si="50"/>
        <v/>
      </c>
      <c r="AC47" s="184"/>
      <c r="AD47" s="184"/>
      <c r="AE47" s="185" t="str">
        <f t="shared" si="45"/>
        <v/>
      </c>
      <c r="AF47" s="184"/>
      <c r="AG47" s="184"/>
      <c r="AH47" s="184"/>
      <c r="AI47" s="186" t="str">
        <f t="shared" si="51"/>
        <v/>
      </c>
      <c r="AJ47" s="187" t="str">
        <f t="shared" si="2"/>
        <v/>
      </c>
      <c r="AK47" s="185" t="str">
        <f t="shared" si="46"/>
        <v/>
      </c>
      <c r="AL47" s="187" t="str">
        <f t="shared" si="4"/>
        <v/>
      </c>
      <c r="AM47" s="185" t="str">
        <f t="shared" si="13"/>
        <v/>
      </c>
      <c r="AN47" s="188" t="str">
        <f t="shared" ref="AN47" si="52">IFERROR(IF(OR(AND(AJ47="Muy Baja",AL47="Leve"),AND(AJ47="Muy Baja",AL47="Menor"),AND(AJ47="Baja",AL47="Leve")),"Bajo",IF(OR(AND(AJ47="Muy baja",AL47="Moderado"),AND(AJ47="Baja",AL47="Menor"),AND(AJ47="Baja",AL47="Moderado"),AND(AJ47="Media",AL47="Leve"),AND(AJ47="Media",AL47="Menor"),AND(AJ47="Media",AL47="Moderado"),AND(AJ47="Alta",AL47="Leve"),AND(AJ47="Alta",AL47="Menor")),"Moderado",IF(OR(AND(AJ47="Muy Baja",AL47="Mayor"),AND(AJ47="Baja",AL47="Mayor"),AND(AJ47="Media",AL47="Mayor"),AND(AJ47="Alta",AL47="Moderado"),AND(AJ47="Alta",AL47="Mayor"),AND(AJ47="Muy Alta",AL47="Leve"),AND(AJ47="Muy Alta",AL47="Menor"),AND(AJ47="Muy Alta",AL47="Moderado"),AND(AJ47="Muy Alta",AL47="Mayor")),"Alto",IF(OR(AND(AJ47="Muy Baja",AL47="Catastrófico"),AND(AJ47="Baja",AL47="Catastrófico"),AND(AJ47="Media",AL47="Catastrófico"),AND(AJ47="Alta",AL47="Catastrófico"),AND(AJ47="Muy Alta",AL47="Catastrófico")),"Extremo","")))),"")</f>
        <v/>
      </c>
      <c r="AO47" s="189"/>
      <c r="AP47" s="180"/>
      <c r="AQ47" s="190"/>
      <c r="AR47" s="190"/>
      <c r="AS47" s="191"/>
      <c r="AT47" s="329"/>
      <c r="AU47" s="329"/>
      <c r="AV47" s="329"/>
    </row>
    <row r="48" spans="1:48" ht="37.5" customHeight="1" x14ac:dyDescent="0.2">
      <c r="A48" s="342"/>
      <c r="B48" s="340"/>
      <c r="C48" s="340"/>
      <c r="D48" s="340"/>
      <c r="E48" s="323"/>
      <c r="F48" s="340"/>
      <c r="G48" s="323"/>
      <c r="H48" s="323"/>
      <c r="I48" s="323"/>
      <c r="J48" s="323"/>
      <c r="K48" s="323"/>
      <c r="L48" s="323"/>
      <c r="M48" s="323"/>
      <c r="N48" s="323"/>
      <c r="O48" s="323"/>
      <c r="P48" s="323"/>
      <c r="Q48" s="323"/>
      <c r="R48" s="329"/>
      <c r="S48" s="326"/>
      <c r="T48" s="325"/>
      <c r="U48" s="315"/>
      <c r="V48" s="325">
        <f>IF(NOT(ISERROR(MATCH(U48,_xlfn.ANCHORARRAY(E59),0))),T61&amp;"Por favor no seleccionar los criterios de impacto",U48)</f>
        <v>0</v>
      </c>
      <c r="W48" s="326"/>
      <c r="X48" s="325"/>
      <c r="Y48" s="324"/>
      <c r="Z48" s="208">
        <v>6</v>
      </c>
      <c r="AA48" s="181"/>
      <c r="AB48" s="183" t="str">
        <f t="shared" si="50"/>
        <v/>
      </c>
      <c r="AC48" s="184"/>
      <c r="AD48" s="184"/>
      <c r="AE48" s="185" t="str">
        <f t="shared" si="45"/>
        <v/>
      </c>
      <c r="AF48" s="184"/>
      <c r="AG48" s="184"/>
      <c r="AH48" s="184"/>
      <c r="AI48" s="186" t="str">
        <f t="shared" si="51"/>
        <v/>
      </c>
      <c r="AJ48" s="187" t="str">
        <f t="shared" si="2"/>
        <v/>
      </c>
      <c r="AK48" s="185" t="str">
        <f t="shared" si="46"/>
        <v/>
      </c>
      <c r="AL48" s="187" t="str">
        <f>IFERROR(IF(AM48="","",IF(AM48&lt;=0.2,"Leve",IF(AM48&lt;=0.4,"Menor",IF(AM48&lt;=0.6,"Moderado",IF(AM48&lt;=0.8,"Mayor","Catastrófico"))))),"")</f>
        <v/>
      </c>
      <c r="AM48" s="185" t="str">
        <f t="shared" si="13"/>
        <v/>
      </c>
      <c r="AN48" s="188" t="str">
        <f>IFERROR(IF(OR(AND(AJ48="Muy Baja",AL48="Leve"),AND(AJ48="Muy Baja",AL48="Menor"),AND(AJ48="Baja",AL48="Leve")),"Bajo",IF(OR(AND(AJ48="Muy baja",AL48="Moderado"),AND(AJ48="Baja",AL48="Menor"),AND(AJ48="Baja",AL48="Moderado"),AND(AJ48="Media",AL48="Leve"),AND(AJ48="Media",AL48="Menor"),AND(AJ48="Media",AL48="Moderado"),AND(AJ48="Alta",AL48="Leve"),AND(AJ48="Alta",AL48="Menor")),"Moderado",IF(OR(AND(AJ48="Muy Baja",AL48="Mayor"),AND(AJ48="Baja",AL48="Mayor"),AND(AJ48="Media",AL48="Mayor"),AND(AJ48="Alta",AL48="Moderado"),AND(AJ48="Alta",AL48="Mayor"),AND(AJ48="Muy Alta",AL48="Leve"),AND(AJ48="Muy Alta",AL48="Menor"),AND(AJ48="Muy Alta",AL48="Moderado"),AND(AJ48="Muy Alta",AL48="Mayor")),"Alto",IF(OR(AND(AJ48="Muy Baja",AL48="Catastrófico"),AND(AJ48="Baja",AL48="Catastrófico"),AND(AJ48="Media",AL48="Catastrófico"),AND(AJ48="Alta",AL48="Catastrófico"),AND(AJ48="Muy Alta",AL48="Catastrófico")),"Extremo","")))),"")</f>
        <v/>
      </c>
      <c r="AO48" s="189"/>
      <c r="AP48" s="180"/>
      <c r="AQ48" s="190"/>
      <c r="AR48" s="190"/>
      <c r="AS48" s="191"/>
      <c r="AT48" s="329"/>
      <c r="AU48" s="329"/>
      <c r="AV48" s="329"/>
    </row>
    <row r="49" spans="1:48" ht="37.5" customHeight="1" x14ac:dyDescent="0.2">
      <c r="A49" s="342">
        <v>7</v>
      </c>
      <c r="B49" s="340"/>
      <c r="C49" s="340"/>
      <c r="D49" s="348"/>
      <c r="E49" s="340"/>
      <c r="F49" s="340"/>
      <c r="G49" s="321"/>
      <c r="H49" s="321"/>
      <c r="I49" s="321"/>
      <c r="J49" s="321"/>
      <c r="K49" s="321"/>
      <c r="L49" s="321"/>
      <c r="M49" s="321"/>
      <c r="N49" s="321"/>
      <c r="O49" s="321"/>
      <c r="P49" s="321"/>
      <c r="Q49" s="321"/>
      <c r="R49" s="329"/>
      <c r="S49" s="326" t="str">
        <f>IF(R49&lt;=0,"",IF(R49&lt;=2,"Muy Baja",IF(R49&lt;=24,"Baja",IF(R49&lt;=500,"Media",IF(R49&lt;=5000,"Alta","Muy Alta")))))</f>
        <v/>
      </c>
      <c r="T49" s="325" t="str">
        <f>IF(S49="","",IF(S49="Muy Baja",0.2,IF(S49="Baja",0.4,IF(S49="Media",0.6,IF(S49="Alta",0.8,IF(S49="Muy Alta",1,))))))</f>
        <v/>
      </c>
      <c r="U49" s="315"/>
      <c r="V49" s="325">
        <f>IF(NOT(ISERROR(MATCH(U49,'Tabla Impacto'!$B$222:$B$224,0))),'Tabla Impacto'!$F$224&amp;"Por favor no seleccionar los criterios de impacto(Afectación Económica o presupuestal y Pérdida Reputacional)",U49)</f>
        <v>0</v>
      </c>
      <c r="W49" s="326" t="str">
        <f>IF(OR(V49='Tabla Impacto'!$C$12,V49='Tabla Impacto'!$D$12),"Leve",IF(OR(V49='Tabla Impacto'!$C$13,V49='Tabla Impacto'!$D$13),"Menor",IF(OR(V49='Tabla Impacto'!$C$14,V49='Tabla Impacto'!$D$14),"Moderado",IF(OR(V49='Tabla Impacto'!$C$15,V49='Tabla Impacto'!$D$15),"Mayor",IF(OR(V49='Tabla Impacto'!$C$16,V49='Tabla Impacto'!$D$16),"Catastrófico","")))))</f>
        <v/>
      </c>
      <c r="X49" s="325" t="str">
        <f>IF(W49="","",IF(W49="Leve",0.2,IF(W49="Menor",0.4,IF(W49="Moderado",0.6,IF(W49="Mayor",0.8,IF(W49="Catastrófico",1,))))))</f>
        <v/>
      </c>
      <c r="Y49" s="324" t="str">
        <f>IF(OR(AND(S49="Muy Baja",W49="Leve"),AND(S49="Muy Baja",W49="Menor"),AND(S49="Baja",W49="Leve")),"Bajo",IF(OR(AND(S49="Muy baja",W49="Moderado"),AND(S49="Baja",W49="Menor"),AND(S49="Baja",W49="Moderado"),AND(S49="Media",W49="Leve"),AND(S49="Media",W49="Menor"),AND(S49="Media",W49="Moderado"),AND(S49="Alta",W49="Leve"),AND(S49="Alta",W49="Menor")),"Moderado",IF(OR(AND(S49="Muy Baja",W49="Mayor"),AND(S49="Baja",W49="Mayor"),AND(S49="Media",W49="Mayor"),AND(S49="Alta",W49="Moderado"),AND(S49="Alta",W49="Mayor"),AND(S49="Muy Alta",W49="Leve"),AND(S49="Muy Alta",W49="Menor"),AND(S49="Muy Alta",W49="Moderado"),AND(S49="Muy Alta",W49="Mayor")),"Alto",IF(OR(AND(S49="Muy Baja",W49="Catastrófico"),AND(S49="Baja",W49="Catastrófico"),AND(S49="Media",W49="Catastrófico"),AND(S49="Alta",W49="Catastrófico"),AND(S49="Muy Alta",W49="Catastrófico")),"Extremo",""))))</f>
        <v/>
      </c>
      <c r="Z49" s="208">
        <v>1</v>
      </c>
      <c r="AA49" s="193"/>
      <c r="AB49" s="183" t="str">
        <f>IF(OR(AC49="Preventivo",AC49="Detectivo"),"Probabilidad",IF(AC49="Correctivo","Impacto",""))</f>
        <v/>
      </c>
      <c r="AC49" s="184"/>
      <c r="AD49" s="184"/>
      <c r="AE49" s="185" t="str">
        <f>IF(AND(AC49="Preventivo",AD49="Automático"),"50%",IF(AND(AC49="Preventivo",AD49="Manual"),"40%",IF(AND(AC49="Detectivo",AD49="Automático"),"40%",IF(AND(AC49="Detectivo",AD49="Manual"),"30%",IF(AND(AC49="Correctivo",AD49="Automático"),"35%",IF(AND(AC49="Correctivo",AD49="Manual"),"25%",""))))))</f>
        <v/>
      </c>
      <c r="AF49" s="184"/>
      <c r="AG49" s="184"/>
      <c r="AH49" s="184"/>
      <c r="AI49" s="186" t="str">
        <f>IFERROR(IF(AB49="Probabilidad",(T49-(+T49*AE49)),IF(AB49="Impacto",T49,"")),"")</f>
        <v/>
      </c>
      <c r="AJ49" s="187" t="str">
        <f>IFERROR(IF(AI49="","",IF(AI49&lt;=0.2,"Muy Baja",IF(AI49&lt;=0.4,"Baja",IF(AI49&lt;=0.6,"Media",IF(AI49&lt;=0.8,"Alta","Muy Alta"))))),"")</f>
        <v/>
      </c>
      <c r="AK49" s="185" t="str">
        <f>+AI49</f>
        <v/>
      </c>
      <c r="AL49" s="187" t="str">
        <f>IFERROR(IF(AM49="","",IF(AM49&lt;=0.2,"Leve",IF(AM49&lt;=0.4,"Menor",IF(AM49&lt;=0.6,"Moderado",IF(AM49&lt;=0.8,"Mayor","Catastrófico"))))),"")</f>
        <v/>
      </c>
      <c r="AM49" s="185" t="str">
        <f t="shared" ref="AM49" si="53">IFERROR(IF(AB49="Impacto",(X49-(+X49*AE49)),IF(AB49="Probabilidad",X49,"")),"")</f>
        <v/>
      </c>
      <c r="AN49" s="188" t="str">
        <f>IFERROR(IF(OR(AND(AJ49="Muy Baja",AL49="Leve"),AND(AJ49="Muy Baja",AL49="Menor"),AND(AJ49="Baja",AL49="Leve")),"Bajo",IF(OR(AND(AJ49="Muy baja",AL49="Moderado"),AND(AJ49="Baja",AL49="Menor"),AND(AJ49="Baja",AL49="Moderado"),AND(AJ49="Media",AL49="Leve"),AND(AJ49="Media",AL49="Menor"),AND(AJ49="Media",AL49="Moderado"),AND(AJ49="Alta",AL49="Leve"),AND(AJ49="Alta",AL49="Menor")),"Moderado",IF(OR(AND(AJ49="Muy Baja",AL49="Mayor"),AND(AJ49="Baja",AL49="Mayor"),AND(AJ49="Media",AL49="Mayor"),AND(AJ49="Alta",AL49="Moderado"),AND(AJ49="Alta",AL49="Mayor"),AND(AJ49="Muy Alta",AL49="Leve"),AND(AJ49="Muy Alta",AL49="Menor"),AND(AJ49="Muy Alta",AL49="Moderado"),AND(AJ49="Muy Alta",AL49="Mayor")),"Alto",IF(OR(AND(AJ49="Muy Baja",AL49="Catastrófico"),AND(AJ49="Baja",AL49="Catastrófico"),AND(AJ49="Media",AL49="Catastrófico"),AND(AJ49="Alta",AL49="Catastrófico"),AND(AJ49="Muy Alta",AL49="Catastrófico")),"Extremo","")))),"")</f>
        <v/>
      </c>
      <c r="AO49" s="189"/>
      <c r="AP49" s="180"/>
      <c r="AQ49" s="190"/>
      <c r="AR49" s="190"/>
      <c r="AS49" s="191"/>
      <c r="AT49" s="329"/>
      <c r="AU49" s="329"/>
      <c r="AV49" s="329"/>
    </row>
    <row r="50" spans="1:48" ht="37.5" customHeight="1" x14ac:dyDescent="0.2">
      <c r="A50" s="342"/>
      <c r="B50" s="340"/>
      <c r="C50" s="340"/>
      <c r="D50" s="348"/>
      <c r="E50" s="340"/>
      <c r="F50" s="340"/>
      <c r="G50" s="322"/>
      <c r="H50" s="322"/>
      <c r="I50" s="322"/>
      <c r="J50" s="322"/>
      <c r="K50" s="322"/>
      <c r="L50" s="322"/>
      <c r="M50" s="322"/>
      <c r="N50" s="322"/>
      <c r="O50" s="322"/>
      <c r="P50" s="322"/>
      <c r="Q50" s="322"/>
      <c r="R50" s="329"/>
      <c r="S50" s="326"/>
      <c r="T50" s="325"/>
      <c r="U50" s="315"/>
      <c r="V50" s="325">
        <f>IF(NOT(ISERROR(MATCH(U50,_xlfn.ANCHORARRAY(E61),0))),T63&amp;"Por favor no seleccionar los criterios de impacto",U50)</f>
        <v>0</v>
      </c>
      <c r="W50" s="326"/>
      <c r="X50" s="325"/>
      <c r="Y50" s="324"/>
      <c r="Z50" s="208">
        <v>2</v>
      </c>
      <c r="AA50" s="181"/>
      <c r="AB50" s="183" t="str">
        <f>IF(OR(AC50="Preventivo",AC50="Detectivo"),"Probabilidad",IF(AC50="Correctivo","Impacto",""))</f>
        <v/>
      </c>
      <c r="AC50" s="184"/>
      <c r="AD50" s="184"/>
      <c r="AE50" s="185" t="str">
        <f t="shared" ref="AE50:AE54" si="54">IF(AND(AC50="Preventivo",AD50="Automático"),"50%",IF(AND(AC50="Preventivo",AD50="Manual"),"40%",IF(AND(AC50="Detectivo",AD50="Automático"),"40%",IF(AND(AC50="Detectivo",AD50="Manual"),"30%",IF(AND(AC50="Correctivo",AD50="Automático"),"35%",IF(AND(AC50="Correctivo",AD50="Manual"),"25%",""))))))</f>
        <v/>
      </c>
      <c r="AF50" s="184"/>
      <c r="AG50" s="184"/>
      <c r="AH50" s="184"/>
      <c r="AI50" s="186" t="str">
        <f>IFERROR(IF(AND(AB49="Probabilidad",AB50="Probabilidad"),(AK49-(+AK49*AE50)),IF(AB50="Probabilidad",(T49-(+T49*AE50)),IF(AB50="Impacto",AK49,""))),"")</f>
        <v/>
      </c>
      <c r="AJ50" s="187" t="str">
        <f t="shared" si="2"/>
        <v/>
      </c>
      <c r="AK50" s="185" t="str">
        <f t="shared" ref="AK50:AK54" si="55">+AI50</f>
        <v/>
      </c>
      <c r="AL50" s="187" t="str">
        <f t="shared" si="4"/>
        <v/>
      </c>
      <c r="AM50" s="185" t="str">
        <f t="shared" ref="AM50" si="56">IFERROR(IF(AND(AB49="Impacto",AB50="Impacto"),(AM49-(+AM49*AE50)),IF(AB50="Impacto",($X$13-(+$X$13*AE50)),IF(AB50="Probabilidad",AM49,""))),"")</f>
        <v/>
      </c>
      <c r="AN50" s="188" t="str">
        <f t="shared" ref="AN50:AN51" si="57">IFERROR(IF(OR(AND(AJ50="Muy Baja",AL50="Leve"),AND(AJ50="Muy Baja",AL50="Menor"),AND(AJ50="Baja",AL50="Leve")),"Bajo",IF(OR(AND(AJ50="Muy baja",AL50="Moderado"),AND(AJ50="Baja",AL50="Menor"),AND(AJ50="Baja",AL50="Moderado"),AND(AJ50="Media",AL50="Leve"),AND(AJ50="Media",AL50="Menor"),AND(AJ50="Media",AL50="Moderado"),AND(AJ50="Alta",AL50="Leve"),AND(AJ50="Alta",AL50="Menor")),"Moderado",IF(OR(AND(AJ50="Muy Baja",AL50="Mayor"),AND(AJ50="Baja",AL50="Mayor"),AND(AJ50="Media",AL50="Mayor"),AND(AJ50="Alta",AL50="Moderado"),AND(AJ50="Alta",AL50="Mayor"),AND(AJ50="Muy Alta",AL50="Leve"),AND(AJ50="Muy Alta",AL50="Menor"),AND(AJ50="Muy Alta",AL50="Moderado"),AND(AJ50="Muy Alta",AL50="Mayor")),"Alto",IF(OR(AND(AJ50="Muy Baja",AL50="Catastrófico"),AND(AJ50="Baja",AL50="Catastrófico"),AND(AJ50="Media",AL50="Catastrófico"),AND(AJ50="Alta",AL50="Catastrófico"),AND(AJ50="Muy Alta",AL50="Catastrófico")),"Extremo","")))),"")</f>
        <v/>
      </c>
      <c r="AO50" s="189"/>
      <c r="AP50" s="180"/>
      <c r="AQ50" s="190"/>
      <c r="AR50" s="190"/>
      <c r="AS50" s="191"/>
      <c r="AT50" s="329"/>
      <c r="AU50" s="329"/>
      <c r="AV50" s="329"/>
    </row>
    <row r="51" spans="1:48" ht="37.5" customHeight="1" x14ac:dyDescent="0.2">
      <c r="A51" s="342"/>
      <c r="B51" s="340"/>
      <c r="C51" s="340"/>
      <c r="D51" s="348"/>
      <c r="E51" s="340"/>
      <c r="F51" s="340"/>
      <c r="G51" s="322"/>
      <c r="H51" s="322"/>
      <c r="I51" s="322"/>
      <c r="J51" s="322"/>
      <c r="K51" s="322"/>
      <c r="L51" s="322"/>
      <c r="M51" s="322"/>
      <c r="N51" s="322"/>
      <c r="O51" s="322"/>
      <c r="P51" s="322"/>
      <c r="Q51" s="322"/>
      <c r="R51" s="329"/>
      <c r="S51" s="326"/>
      <c r="T51" s="325"/>
      <c r="U51" s="315"/>
      <c r="V51" s="325">
        <f>IF(NOT(ISERROR(MATCH(U51,_xlfn.ANCHORARRAY(E62),0))),T64&amp;"Por favor no seleccionar los criterios de impacto",U51)</f>
        <v>0</v>
      </c>
      <c r="W51" s="326"/>
      <c r="X51" s="325"/>
      <c r="Y51" s="324"/>
      <c r="Z51" s="208">
        <v>3</v>
      </c>
      <c r="AA51" s="182"/>
      <c r="AB51" s="183" t="str">
        <f>IF(OR(AC51="Preventivo",AC51="Detectivo"),"Probabilidad",IF(AC51="Correctivo","Impacto",""))</f>
        <v/>
      </c>
      <c r="AC51" s="184"/>
      <c r="AD51" s="184"/>
      <c r="AE51" s="185" t="str">
        <f t="shared" si="54"/>
        <v/>
      </c>
      <c r="AF51" s="184"/>
      <c r="AG51" s="184"/>
      <c r="AH51" s="184"/>
      <c r="AI51" s="186" t="str">
        <f>IFERROR(IF(AND(AB50="Probabilidad",AB51="Probabilidad"),(AK50-(+AK50*AE51)),IF(AND(AB50="Impacto",AB51="Probabilidad"),(AK49-(+AK49*AE51)),IF(AB51="Impacto",AK50,""))),"")</f>
        <v/>
      </c>
      <c r="AJ51" s="187" t="str">
        <f t="shared" si="2"/>
        <v/>
      </c>
      <c r="AK51" s="185" t="str">
        <f t="shared" si="55"/>
        <v/>
      </c>
      <c r="AL51" s="187" t="str">
        <f t="shared" si="4"/>
        <v/>
      </c>
      <c r="AM51" s="185" t="str">
        <f t="shared" ref="AM51" si="58">IFERROR(IF(AND(AB50="Impacto",AB51="Impacto"),(AM50-(+AM50*AE51)),IF(AND(AB50="Probabilidad",AB51="Impacto"),(AM49-(+AM49*AE51)),IF(AB51="Probabilidad",AM50,""))),"")</f>
        <v/>
      </c>
      <c r="AN51" s="188" t="str">
        <f t="shared" si="57"/>
        <v/>
      </c>
      <c r="AO51" s="189"/>
      <c r="AP51" s="180"/>
      <c r="AQ51" s="190"/>
      <c r="AR51" s="190"/>
      <c r="AS51" s="191"/>
      <c r="AT51" s="329"/>
      <c r="AU51" s="329"/>
      <c r="AV51" s="329"/>
    </row>
    <row r="52" spans="1:48" ht="37.5" customHeight="1" x14ac:dyDescent="0.2">
      <c r="A52" s="342"/>
      <c r="B52" s="340"/>
      <c r="C52" s="340"/>
      <c r="D52" s="348"/>
      <c r="E52" s="340"/>
      <c r="F52" s="340"/>
      <c r="G52" s="322"/>
      <c r="H52" s="322"/>
      <c r="I52" s="322"/>
      <c r="J52" s="322"/>
      <c r="K52" s="322"/>
      <c r="L52" s="322"/>
      <c r="M52" s="322"/>
      <c r="N52" s="322"/>
      <c r="O52" s="322"/>
      <c r="P52" s="322"/>
      <c r="Q52" s="322"/>
      <c r="R52" s="329"/>
      <c r="S52" s="326"/>
      <c r="T52" s="325"/>
      <c r="U52" s="315"/>
      <c r="V52" s="325">
        <f>IF(NOT(ISERROR(MATCH(U52,_xlfn.ANCHORARRAY(E63),0))),T65&amp;"Por favor no seleccionar los criterios de impacto",U52)</f>
        <v>0</v>
      </c>
      <c r="W52" s="326"/>
      <c r="X52" s="325"/>
      <c r="Y52" s="324"/>
      <c r="Z52" s="208">
        <v>4</v>
      </c>
      <c r="AA52" s="181"/>
      <c r="AB52" s="183" t="str">
        <f t="shared" ref="AB52:AB54" si="59">IF(OR(AC52="Preventivo",AC52="Detectivo"),"Probabilidad",IF(AC52="Correctivo","Impacto",""))</f>
        <v/>
      </c>
      <c r="AC52" s="184"/>
      <c r="AD52" s="184"/>
      <c r="AE52" s="185" t="str">
        <f t="shared" si="54"/>
        <v/>
      </c>
      <c r="AF52" s="184"/>
      <c r="AG52" s="184"/>
      <c r="AH52" s="184"/>
      <c r="AI52" s="186" t="str">
        <f t="shared" ref="AI52:AI54" si="60">IFERROR(IF(AND(AB51="Probabilidad",AB52="Probabilidad"),(AK51-(+AK51*AE52)),IF(AND(AB51="Impacto",AB52="Probabilidad"),(AK50-(+AK50*AE52)),IF(AB52="Impacto",AK51,""))),"")</f>
        <v/>
      </c>
      <c r="AJ52" s="187" t="str">
        <f t="shared" si="2"/>
        <v/>
      </c>
      <c r="AK52" s="185" t="str">
        <f t="shared" si="55"/>
        <v/>
      </c>
      <c r="AL52" s="187" t="str">
        <f t="shared" si="4"/>
        <v/>
      </c>
      <c r="AM52" s="185" t="str">
        <f t="shared" si="13"/>
        <v/>
      </c>
      <c r="AN52" s="188" t="str">
        <f>IFERROR(IF(OR(AND(AJ52="Muy Baja",AL52="Leve"),AND(AJ52="Muy Baja",AL52="Menor"),AND(AJ52="Baja",AL52="Leve")),"Bajo",IF(OR(AND(AJ52="Muy baja",AL52="Moderado"),AND(AJ52="Baja",AL52="Menor"),AND(AJ52="Baja",AL52="Moderado"),AND(AJ52="Media",AL52="Leve"),AND(AJ52="Media",AL52="Menor"),AND(AJ52="Media",AL52="Moderado"),AND(AJ52="Alta",AL52="Leve"),AND(AJ52="Alta",AL52="Menor")),"Moderado",IF(OR(AND(AJ52="Muy Baja",AL52="Mayor"),AND(AJ52="Baja",AL52="Mayor"),AND(AJ52="Media",AL52="Mayor"),AND(AJ52="Alta",AL52="Moderado"),AND(AJ52="Alta",AL52="Mayor"),AND(AJ52="Muy Alta",AL52="Leve"),AND(AJ52="Muy Alta",AL52="Menor"),AND(AJ52="Muy Alta",AL52="Moderado"),AND(AJ52="Muy Alta",AL52="Mayor")),"Alto",IF(OR(AND(AJ52="Muy Baja",AL52="Catastrófico"),AND(AJ52="Baja",AL52="Catastrófico"),AND(AJ52="Media",AL52="Catastrófico"),AND(AJ52="Alta",AL52="Catastrófico"),AND(AJ52="Muy Alta",AL52="Catastrófico")),"Extremo","")))),"")</f>
        <v/>
      </c>
      <c r="AO52" s="189"/>
      <c r="AP52" s="180"/>
      <c r="AQ52" s="190"/>
      <c r="AR52" s="190"/>
      <c r="AS52" s="191"/>
      <c r="AT52" s="329"/>
      <c r="AU52" s="329"/>
      <c r="AV52" s="329"/>
    </row>
    <row r="53" spans="1:48" ht="37.5" customHeight="1" x14ac:dyDescent="0.2">
      <c r="A53" s="342"/>
      <c r="B53" s="340"/>
      <c r="C53" s="340"/>
      <c r="D53" s="348"/>
      <c r="E53" s="340"/>
      <c r="F53" s="340"/>
      <c r="G53" s="322"/>
      <c r="H53" s="322"/>
      <c r="I53" s="322"/>
      <c r="J53" s="322"/>
      <c r="K53" s="322"/>
      <c r="L53" s="322"/>
      <c r="M53" s="322"/>
      <c r="N53" s="322"/>
      <c r="O53" s="322"/>
      <c r="P53" s="322"/>
      <c r="Q53" s="322"/>
      <c r="R53" s="329"/>
      <c r="S53" s="326"/>
      <c r="T53" s="325"/>
      <c r="U53" s="315"/>
      <c r="V53" s="325">
        <f>IF(NOT(ISERROR(MATCH(U53,_xlfn.ANCHORARRAY(E64),0))),T66&amp;"Por favor no seleccionar los criterios de impacto",U53)</f>
        <v>0</v>
      </c>
      <c r="W53" s="326"/>
      <c r="X53" s="325"/>
      <c r="Y53" s="324"/>
      <c r="Z53" s="208">
        <v>5</v>
      </c>
      <c r="AA53" s="181"/>
      <c r="AB53" s="183" t="str">
        <f t="shared" si="59"/>
        <v/>
      </c>
      <c r="AC53" s="184"/>
      <c r="AD53" s="184"/>
      <c r="AE53" s="185" t="str">
        <f t="shared" si="54"/>
        <v/>
      </c>
      <c r="AF53" s="184"/>
      <c r="AG53" s="184"/>
      <c r="AH53" s="184"/>
      <c r="AI53" s="186" t="str">
        <f t="shared" si="60"/>
        <v/>
      </c>
      <c r="AJ53" s="187" t="str">
        <f t="shared" si="2"/>
        <v/>
      </c>
      <c r="AK53" s="185" t="str">
        <f t="shared" si="55"/>
        <v/>
      </c>
      <c r="AL53" s="187" t="str">
        <f t="shared" si="4"/>
        <v/>
      </c>
      <c r="AM53" s="185" t="str">
        <f t="shared" si="13"/>
        <v/>
      </c>
      <c r="AN53" s="188" t="str">
        <f t="shared" ref="AN53:AN54" si="61">IFERROR(IF(OR(AND(AJ53="Muy Baja",AL53="Leve"),AND(AJ53="Muy Baja",AL53="Menor"),AND(AJ53="Baja",AL53="Leve")),"Bajo",IF(OR(AND(AJ53="Muy baja",AL53="Moderado"),AND(AJ53="Baja",AL53="Menor"),AND(AJ53="Baja",AL53="Moderado"),AND(AJ53="Media",AL53="Leve"),AND(AJ53="Media",AL53="Menor"),AND(AJ53="Media",AL53="Moderado"),AND(AJ53="Alta",AL53="Leve"),AND(AJ53="Alta",AL53="Menor")),"Moderado",IF(OR(AND(AJ53="Muy Baja",AL53="Mayor"),AND(AJ53="Baja",AL53="Mayor"),AND(AJ53="Media",AL53="Mayor"),AND(AJ53="Alta",AL53="Moderado"),AND(AJ53="Alta",AL53="Mayor"),AND(AJ53="Muy Alta",AL53="Leve"),AND(AJ53="Muy Alta",AL53="Menor"),AND(AJ53="Muy Alta",AL53="Moderado"),AND(AJ53="Muy Alta",AL53="Mayor")),"Alto",IF(OR(AND(AJ53="Muy Baja",AL53="Catastrófico"),AND(AJ53="Baja",AL53="Catastrófico"),AND(AJ53="Media",AL53="Catastrófico"),AND(AJ53="Alta",AL53="Catastrófico"),AND(AJ53="Muy Alta",AL53="Catastrófico")),"Extremo","")))),"")</f>
        <v/>
      </c>
      <c r="AO53" s="189"/>
      <c r="AP53" s="180"/>
      <c r="AQ53" s="190"/>
      <c r="AR53" s="190"/>
      <c r="AS53" s="191"/>
      <c r="AT53" s="329"/>
      <c r="AU53" s="329"/>
      <c r="AV53" s="329"/>
    </row>
    <row r="54" spans="1:48" ht="37.5" customHeight="1" x14ac:dyDescent="0.2">
      <c r="A54" s="342"/>
      <c r="B54" s="340"/>
      <c r="C54" s="340"/>
      <c r="D54" s="348"/>
      <c r="E54" s="340"/>
      <c r="F54" s="340"/>
      <c r="G54" s="323"/>
      <c r="H54" s="323"/>
      <c r="I54" s="323"/>
      <c r="J54" s="323"/>
      <c r="K54" s="323"/>
      <c r="L54" s="323"/>
      <c r="M54" s="323"/>
      <c r="N54" s="323"/>
      <c r="O54" s="323"/>
      <c r="P54" s="323"/>
      <c r="Q54" s="323"/>
      <c r="R54" s="329"/>
      <c r="S54" s="326"/>
      <c r="T54" s="325"/>
      <c r="U54" s="315"/>
      <c r="V54" s="325">
        <f>IF(NOT(ISERROR(MATCH(U54,_xlfn.ANCHORARRAY(E65),0))),T67&amp;"Por favor no seleccionar los criterios de impacto",U54)</f>
        <v>0</v>
      </c>
      <c r="W54" s="326"/>
      <c r="X54" s="325"/>
      <c r="Y54" s="324"/>
      <c r="Z54" s="208">
        <v>6</v>
      </c>
      <c r="AA54" s="181"/>
      <c r="AB54" s="183" t="str">
        <f t="shared" si="59"/>
        <v/>
      </c>
      <c r="AC54" s="184"/>
      <c r="AD54" s="184"/>
      <c r="AE54" s="185" t="str">
        <f t="shared" si="54"/>
        <v/>
      </c>
      <c r="AF54" s="184"/>
      <c r="AG54" s="184"/>
      <c r="AH54" s="184"/>
      <c r="AI54" s="186" t="str">
        <f t="shared" si="60"/>
        <v/>
      </c>
      <c r="AJ54" s="187" t="str">
        <f t="shared" si="2"/>
        <v/>
      </c>
      <c r="AK54" s="185" t="str">
        <f t="shared" si="55"/>
        <v/>
      </c>
      <c r="AL54" s="187" t="str">
        <f t="shared" si="4"/>
        <v/>
      </c>
      <c r="AM54" s="185" t="str">
        <f t="shared" si="13"/>
        <v/>
      </c>
      <c r="AN54" s="188" t="str">
        <f t="shared" si="61"/>
        <v/>
      </c>
      <c r="AO54" s="189"/>
      <c r="AP54" s="180"/>
      <c r="AQ54" s="190"/>
      <c r="AR54" s="190"/>
      <c r="AS54" s="191"/>
      <c r="AT54" s="329"/>
      <c r="AU54" s="329"/>
      <c r="AV54" s="329"/>
    </row>
    <row r="55" spans="1:48" ht="37.5" customHeight="1" x14ac:dyDescent="0.2">
      <c r="A55" s="342">
        <v>8</v>
      </c>
      <c r="B55" s="340"/>
      <c r="C55" s="340"/>
      <c r="D55" s="340"/>
      <c r="E55" s="340"/>
      <c r="F55" s="340"/>
      <c r="G55" s="321"/>
      <c r="H55" s="321"/>
      <c r="I55" s="321"/>
      <c r="J55" s="321"/>
      <c r="K55" s="321"/>
      <c r="L55" s="321"/>
      <c r="M55" s="321"/>
      <c r="N55" s="321"/>
      <c r="O55" s="321"/>
      <c r="P55" s="321"/>
      <c r="Q55" s="321"/>
      <c r="R55" s="329"/>
      <c r="S55" s="326" t="str">
        <f>IF(R55&lt;=0,"",IF(R55&lt;=2,"Muy Baja",IF(R55&lt;=24,"Baja",IF(R55&lt;=500,"Media",IF(R55&lt;=5000,"Alta","Muy Alta")))))</f>
        <v/>
      </c>
      <c r="T55" s="325" t="str">
        <f>IF(S55="","",IF(S55="Muy Baja",0.2,IF(S55="Baja",0.4,IF(S55="Media",0.6,IF(S55="Alta",0.8,IF(S55="Muy Alta",1,))))))</f>
        <v/>
      </c>
      <c r="U55" s="315"/>
      <c r="V55" s="325">
        <f>IF(NOT(ISERROR(MATCH(U55,'Tabla Impacto'!$B$222:$B$224,0))),'Tabla Impacto'!$F$224&amp;"Por favor no seleccionar los criterios de impacto(Afectación Económica o presupuestal y Pérdida Reputacional)",U55)</f>
        <v>0</v>
      </c>
      <c r="W55" s="326" t="str">
        <f>IF(OR(V55='Tabla Impacto'!$C$12,V55='Tabla Impacto'!$D$12),"Leve",IF(OR(V55='Tabla Impacto'!$C$13,V55='Tabla Impacto'!$D$13),"Menor",IF(OR(V55='Tabla Impacto'!$C$14,V55='Tabla Impacto'!$D$14),"Moderado",IF(OR(V55='Tabla Impacto'!$C$15,V55='Tabla Impacto'!$D$15),"Mayor",IF(OR(V55='Tabla Impacto'!$C$16,V55='Tabla Impacto'!$D$16),"Catastrófico","")))))</f>
        <v/>
      </c>
      <c r="X55" s="325" t="str">
        <f>IF(W55="","",IF(W55="Leve",0.2,IF(W55="Menor",0.4,IF(W55="Moderado",0.6,IF(W55="Mayor",0.8,IF(W55="Catastrófico",1,))))))</f>
        <v/>
      </c>
      <c r="Y55" s="324" t="str">
        <f>IF(OR(AND(S55="Muy Baja",W55="Leve"),AND(S55="Muy Baja",W55="Menor"),AND(S55="Baja",W55="Leve")),"Bajo",IF(OR(AND(S55="Muy baja",W55="Moderado"),AND(S55="Baja",W55="Menor"),AND(S55="Baja",W55="Moderado"),AND(S55="Media",W55="Leve"),AND(S55="Media",W55="Menor"),AND(S55="Media",W55="Moderado"),AND(S55="Alta",W55="Leve"),AND(S55="Alta",W55="Menor")),"Moderado",IF(OR(AND(S55="Muy Baja",W55="Mayor"),AND(S55="Baja",W55="Mayor"),AND(S55="Media",W55="Mayor"),AND(S55="Alta",W55="Moderado"),AND(S55="Alta",W55="Mayor"),AND(S55="Muy Alta",W55="Leve"),AND(S55="Muy Alta",W55="Menor"),AND(S55="Muy Alta",W55="Moderado"),AND(S55="Muy Alta",W55="Mayor")),"Alto",IF(OR(AND(S55="Muy Baja",W55="Catastrófico"),AND(S55="Baja",W55="Catastrófico"),AND(S55="Media",W55="Catastrófico"),AND(S55="Alta",W55="Catastrófico"),AND(S55="Muy Alta",W55="Catastrófico")),"Extremo",""))))</f>
        <v/>
      </c>
      <c r="Z55" s="208">
        <v>1</v>
      </c>
      <c r="AA55" s="181"/>
      <c r="AB55" s="183" t="str">
        <f>IF(OR(AC55="Preventivo",AC55="Detectivo"),"Probabilidad",IF(AC55="Correctivo","Impacto",""))</f>
        <v/>
      </c>
      <c r="AC55" s="184"/>
      <c r="AD55" s="184"/>
      <c r="AE55" s="185" t="str">
        <f>IF(AND(AC55="Preventivo",AD55="Automático"),"50%",IF(AND(AC55="Preventivo",AD55="Manual"),"40%",IF(AND(AC55="Detectivo",AD55="Automático"),"40%",IF(AND(AC55="Detectivo",AD55="Manual"),"30%",IF(AND(AC55="Correctivo",AD55="Automático"),"35%",IF(AND(AC55="Correctivo",AD55="Manual"),"25%",""))))))</f>
        <v/>
      </c>
      <c r="AF55" s="184"/>
      <c r="AG55" s="184"/>
      <c r="AH55" s="184"/>
      <c r="AI55" s="186" t="str">
        <f>IFERROR(IF(AB55="Probabilidad",(T55-(+T55*AE55)),IF(AB55="Impacto",T55,"")),"")</f>
        <v/>
      </c>
      <c r="AJ55" s="187" t="str">
        <f>IFERROR(IF(AI55="","",IF(AI55&lt;=0.2,"Muy Baja",IF(AI55&lt;=0.4,"Baja",IF(AI55&lt;=0.6,"Media",IF(AI55&lt;=0.8,"Alta","Muy Alta"))))),"")</f>
        <v/>
      </c>
      <c r="AK55" s="185" t="str">
        <f>+AI55</f>
        <v/>
      </c>
      <c r="AL55" s="187" t="str">
        <f>IFERROR(IF(AM55="","",IF(AM55&lt;=0.2,"Leve",IF(AM55&lt;=0.4,"Menor",IF(AM55&lt;=0.6,"Moderado",IF(AM55&lt;=0.8,"Mayor","Catastrófico"))))),"")</f>
        <v/>
      </c>
      <c r="AM55" s="185" t="str">
        <f t="shared" ref="AM55" si="62">IFERROR(IF(AB55="Impacto",(X55-(+X55*AE55)),IF(AB55="Probabilidad",X55,"")),"")</f>
        <v/>
      </c>
      <c r="AN55" s="188" t="str">
        <f>IFERROR(IF(OR(AND(AJ55="Muy Baja",AL55="Leve"),AND(AJ55="Muy Baja",AL55="Menor"),AND(AJ55="Baja",AL55="Leve")),"Bajo",IF(OR(AND(AJ55="Muy baja",AL55="Moderado"),AND(AJ55="Baja",AL55="Menor"),AND(AJ55="Baja",AL55="Moderado"),AND(AJ55="Media",AL55="Leve"),AND(AJ55="Media",AL55="Menor"),AND(AJ55="Media",AL55="Moderado"),AND(AJ55="Alta",AL55="Leve"),AND(AJ55="Alta",AL55="Menor")),"Moderado",IF(OR(AND(AJ55="Muy Baja",AL55="Mayor"),AND(AJ55="Baja",AL55="Mayor"),AND(AJ55="Media",AL55="Mayor"),AND(AJ55="Alta",AL55="Moderado"),AND(AJ55="Alta",AL55="Mayor"),AND(AJ55="Muy Alta",AL55="Leve"),AND(AJ55="Muy Alta",AL55="Menor"),AND(AJ55="Muy Alta",AL55="Moderado"),AND(AJ55="Muy Alta",AL55="Mayor")),"Alto",IF(OR(AND(AJ55="Muy Baja",AL55="Catastrófico"),AND(AJ55="Baja",AL55="Catastrófico"),AND(AJ55="Media",AL55="Catastrófico"),AND(AJ55="Alta",AL55="Catastrófico"),AND(AJ55="Muy Alta",AL55="Catastrófico")),"Extremo","")))),"")</f>
        <v/>
      </c>
      <c r="AO55" s="189"/>
      <c r="AP55" s="180"/>
      <c r="AQ55" s="190"/>
      <c r="AR55" s="190"/>
      <c r="AS55" s="191"/>
      <c r="AT55" s="329"/>
      <c r="AU55" s="329"/>
      <c r="AV55" s="329"/>
    </row>
    <row r="56" spans="1:48" ht="37.5" customHeight="1" x14ac:dyDescent="0.2">
      <c r="A56" s="342"/>
      <c r="B56" s="340"/>
      <c r="C56" s="340"/>
      <c r="D56" s="340"/>
      <c r="E56" s="340"/>
      <c r="F56" s="340"/>
      <c r="G56" s="322"/>
      <c r="H56" s="322"/>
      <c r="I56" s="322"/>
      <c r="J56" s="322"/>
      <c r="K56" s="322"/>
      <c r="L56" s="322"/>
      <c r="M56" s="322"/>
      <c r="N56" s="322"/>
      <c r="O56" s="322"/>
      <c r="P56" s="322"/>
      <c r="Q56" s="322"/>
      <c r="R56" s="329"/>
      <c r="S56" s="326"/>
      <c r="T56" s="325"/>
      <c r="U56" s="315"/>
      <c r="V56" s="325">
        <f>IF(NOT(ISERROR(MATCH(U56,_xlfn.ANCHORARRAY(E67),0))),T69&amp;"Por favor no seleccionar los criterios de impacto",U56)</f>
        <v>0</v>
      </c>
      <c r="W56" s="326"/>
      <c r="X56" s="325"/>
      <c r="Y56" s="324"/>
      <c r="Z56" s="208">
        <v>2</v>
      </c>
      <c r="AA56" s="181"/>
      <c r="AB56" s="183" t="str">
        <f>IF(OR(AC56="Preventivo",AC56="Detectivo"),"Probabilidad",IF(AC56="Correctivo","Impacto",""))</f>
        <v/>
      </c>
      <c r="AC56" s="184"/>
      <c r="AD56" s="184"/>
      <c r="AE56" s="185" t="str">
        <f t="shared" ref="AE56:AE60" si="63">IF(AND(AC56="Preventivo",AD56="Automático"),"50%",IF(AND(AC56="Preventivo",AD56="Manual"),"40%",IF(AND(AC56="Detectivo",AD56="Automático"),"40%",IF(AND(AC56="Detectivo",AD56="Manual"),"30%",IF(AND(AC56="Correctivo",AD56="Automático"),"35%",IF(AND(AC56="Correctivo",AD56="Manual"),"25%",""))))))</f>
        <v/>
      </c>
      <c r="AF56" s="184"/>
      <c r="AG56" s="184"/>
      <c r="AH56" s="184"/>
      <c r="AI56" s="186" t="str">
        <f>IFERROR(IF(AND(AB55="Probabilidad",AB56="Probabilidad"),(AK55-(+AK55*AE56)),IF(AB56="Probabilidad",(T55-(+T55*AE56)),IF(AB56="Impacto",AK55,""))),"")</f>
        <v/>
      </c>
      <c r="AJ56" s="187" t="str">
        <f t="shared" si="2"/>
        <v/>
      </c>
      <c r="AK56" s="185" t="str">
        <f t="shared" ref="AK56:AK60" si="64">+AI56</f>
        <v/>
      </c>
      <c r="AL56" s="187" t="str">
        <f t="shared" si="4"/>
        <v/>
      </c>
      <c r="AM56" s="185" t="str">
        <f t="shared" ref="AM56" si="65">IFERROR(IF(AND(AB55="Impacto",AB56="Impacto"),(AM55-(+AM55*AE56)),IF(AB56="Impacto",($X$13-(+$X$13*AE56)),IF(AB56="Probabilidad",AM55,""))),"")</f>
        <v/>
      </c>
      <c r="AN56" s="188" t="str">
        <f t="shared" ref="AN56:AN57" si="66">IFERROR(IF(OR(AND(AJ56="Muy Baja",AL56="Leve"),AND(AJ56="Muy Baja",AL56="Menor"),AND(AJ56="Baja",AL56="Leve")),"Bajo",IF(OR(AND(AJ56="Muy baja",AL56="Moderado"),AND(AJ56="Baja",AL56="Menor"),AND(AJ56="Baja",AL56="Moderado"),AND(AJ56="Media",AL56="Leve"),AND(AJ56="Media",AL56="Menor"),AND(AJ56="Media",AL56="Moderado"),AND(AJ56="Alta",AL56="Leve"),AND(AJ56="Alta",AL56="Menor")),"Moderado",IF(OR(AND(AJ56="Muy Baja",AL56="Mayor"),AND(AJ56="Baja",AL56="Mayor"),AND(AJ56="Media",AL56="Mayor"),AND(AJ56="Alta",AL56="Moderado"),AND(AJ56="Alta",AL56="Mayor"),AND(AJ56="Muy Alta",AL56="Leve"),AND(AJ56="Muy Alta",AL56="Menor"),AND(AJ56="Muy Alta",AL56="Moderado"),AND(AJ56="Muy Alta",AL56="Mayor")),"Alto",IF(OR(AND(AJ56="Muy Baja",AL56="Catastrófico"),AND(AJ56="Baja",AL56="Catastrófico"),AND(AJ56="Media",AL56="Catastrófico"),AND(AJ56="Alta",AL56="Catastrófico"),AND(AJ56="Muy Alta",AL56="Catastrófico")),"Extremo","")))),"")</f>
        <v/>
      </c>
      <c r="AO56" s="189"/>
      <c r="AP56" s="180"/>
      <c r="AQ56" s="190"/>
      <c r="AR56" s="190"/>
      <c r="AS56" s="191"/>
      <c r="AT56" s="329"/>
      <c r="AU56" s="329"/>
      <c r="AV56" s="329"/>
    </row>
    <row r="57" spans="1:48" ht="37.5" customHeight="1" x14ac:dyDescent="0.2">
      <c r="A57" s="342"/>
      <c r="B57" s="340"/>
      <c r="C57" s="340"/>
      <c r="D57" s="340"/>
      <c r="E57" s="340"/>
      <c r="F57" s="340"/>
      <c r="G57" s="322"/>
      <c r="H57" s="322"/>
      <c r="I57" s="322"/>
      <c r="J57" s="322"/>
      <c r="K57" s="322"/>
      <c r="L57" s="322"/>
      <c r="M57" s="322"/>
      <c r="N57" s="322"/>
      <c r="O57" s="322"/>
      <c r="P57" s="322"/>
      <c r="Q57" s="322"/>
      <c r="R57" s="329"/>
      <c r="S57" s="326"/>
      <c r="T57" s="325"/>
      <c r="U57" s="315"/>
      <c r="V57" s="325">
        <f>IF(NOT(ISERROR(MATCH(U57,_xlfn.ANCHORARRAY(E68),0))),T70&amp;"Por favor no seleccionar los criterios de impacto",U57)</f>
        <v>0</v>
      </c>
      <c r="W57" s="326"/>
      <c r="X57" s="325"/>
      <c r="Y57" s="324"/>
      <c r="Z57" s="208">
        <v>3</v>
      </c>
      <c r="AA57" s="182"/>
      <c r="AB57" s="183" t="str">
        <f>IF(OR(AC57="Preventivo",AC57="Detectivo"),"Probabilidad",IF(AC57="Correctivo","Impacto",""))</f>
        <v/>
      </c>
      <c r="AC57" s="184"/>
      <c r="AD57" s="184"/>
      <c r="AE57" s="185" t="str">
        <f t="shared" si="63"/>
        <v/>
      </c>
      <c r="AF57" s="184"/>
      <c r="AG57" s="184"/>
      <c r="AH57" s="184"/>
      <c r="AI57" s="186" t="str">
        <f>IFERROR(IF(AND(AB56="Probabilidad",AB57="Probabilidad"),(AK56-(+AK56*AE57)),IF(AND(AB56="Impacto",AB57="Probabilidad"),(AK55-(+AK55*AE57)),IF(AB57="Impacto",AK56,""))),"")</f>
        <v/>
      </c>
      <c r="AJ57" s="187" t="str">
        <f t="shared" si="2"/>
        <v/>
      </c>
      <c r="AK57" s="185" t="str">
        <f t="shared" si="64"/>
        <v/>
      </c>
      <c r="AL57" s="187" t="str">
        <f t="shared" si="4"/>
        <v/>
      </c>
      <c r="AM57" s="185" t="str">
        <f t="shared" ref="AM57" si="67">IFERROR(IF(AND(AB56="Impacto",AB57="Impacto"),(AM56-(+AM56*AE57)),IF(AND(AB56="Probabilidad",AB57="Impacto"),(AM55-(+AM55*AE57)),IF(AB57="Probabilidad",AM56,""))),"")</f>
        <v/>
      </c>
      <c r="AN57" s="188" t="str">
        <f t="shared" si="66"/>
        <v/>
      </c>
      <c r="AO57" s="189"/>
      <c r="AP57" s="180"/>
      <c r="AQ57" s="190"/>
      <c r="AR57" s="190"/>
      <c r="AS57" s="191"/>
      <c r="AT57" s="329"/>
      <c r="AU57" s="329"/>
      <c r="AV57" s="329"/>
    </row>
    <row r="58" spans="1:48" ht="37.5" customHeight="1" x14ac:dyDescent="0.2">
      <c r="A58" s="342"/>
      <c r="B58" s="340"/>
      <c r="C58" s="340"/>
      <c r="D58" s="340"/>
      <c r="E58" s="340"/>
      <c r="F58" s="340"/>
      <c r="G58" s="322"/>
      <c r="H58" s="322"/>
      <c r="I58" s="322"/>
      <c r="J58" s="322"/>
      <c r="K58" s="322"/>
      <c r="L58" s="322"/>
      <c r="M58" s="322"/>
      <c r="N58" s="322"/>
      <c r="O58" s="322"/>
      <c r="P58" s="322"/>
      <c r="Q58" s="322"/>
      <c r="R58" s="329"/>
      <c r="S58" s="326"/>
      <c r="T58" s="325"/>
      <c r="U58" s="315"/>
      <c r="V58" s="325">
        <f>IF(NOT(ISERROR(MATCH(U58,_xlfn.ANCHORARRAY(E69),0))),T71&amp;"Por favor no seleccionar los criterios de impacto",U58)</f>
        <v>0</v>
      </c>
      <c r="W58" s="326"/>
      <c r="X58" s="325"/>
      <c r="Y58" s="324"/>
      <c r="Z58" s="208">
        <v>4</v>
      </c>
      <c r="AA58" s="181"/>
      <c r="AB58" s="183" t="str">
        <f t="shared" ref="AB58:AB60" si="68">IF(OR(AC58="Preventivo",AC58="Detectivo"),"Probabilidad",IF(AC58="Correctivo","Impacto",""))</f>
        <v/>
      </c>
      <c r="AC58" s="184"/>
      <c r="AD58" s="184"/>
      <c r="AE58" s="185" t="str">
        <f t="shared" si="63"/>
        <v/>
      </c>
      <c r="AF58" s="184"/>
      <c r="AG58" s="184"/>
      <c r="AH58" s="184"/>
      <c r="AI58" s="186" t="str">
        <f t="shared" ref="AI58:AI60" si="69">IFERROR(IF(AND(AB57="Probabilidad",AB58="Probabilidad"),(AK57-(+AK57*AE58)),IF(AND(AB57="Impacto",AB58="Probabilidad"),(AK56-(+AK56*AE58)),IF(AB58="Impacto",AK57,""))),"")</f>
        <v/>
      </c>
      <c r="AJ58" s="187" t="str">
        <f t="shared" si="2"/>
        <v/>
      </c>
      <c r="AK58" s="185" t="str">
        <f t="shared" si="64"/>
        <v/>
      </c>
      <c r="AL58" s="187" t="str">
        <f t="shared" si="4"/>
        <v/>
      </c>
      <c r="AM58" s="185" t="str">
        <f t="shared" si="13"/>
        <v/>
      </c>
      <c r="AN58" s="188" t="str">
        <f>IFERROR(IF(OR(AND(AJ58="Muy Baja",AL58="Leve"),AND(AJ58="Muy Baja",AL58="Menor"),AND(AJ58="Baja",AL58="Leve")),"Bajo",IF(OR(AND(AJ58="Muy baja",AL58="Moderado"),AND(AJ58="Baja",AL58="Menor"),AND(AJ58="Baja",AL58="Moderado"),AND(AJ58="Media",AL58="Leve"),AND(AJ58="Media",AL58="Menor"),AND(AJ58="Media",AL58="Moderado"),AND(AJ58="Alta",AL58="Leve"),AND(AJ58="Alta",AL58="Menor")),"Moderado",IF(OR(AND(AJ58="Muy Baja",AL58="Mayor"),AND(AJ58="Baja",AL58="Mayor"),AND(AJ58="Media",AL58="Mayor"),AND(AJ58="Alta",AL58="Moderado"),AND(AJ58="Alta",AL58="Mayor"),AND(AJ58="Muy Alta",AL58="Leve"),AND(AJ58="Muy Alta",AL58="Menor"),AND(AJ58="Muy Alta",AL58="Moderado"),AND(AJ58="Muy Alta",AL58="Mayor")),"Alto",IF(OR(AND(AJ58="Muy Baja",AL58="Catastrófico"),AND(AJ58="Baja",AL58="Catastrófico"),AND(AJ58="Media",AL58="Catastrófico"),AND(AJ58="Alta",AL58="Catastrófico"),AND(AJ58="Muy Alta",AL58="Catastrófico")),"Extremo","")))),"")</f>
        <v/>
      </c>
      <c r="AO58" s="189"/>
      <c r="AP58" s="180"/>
      <c r="AQ58" s="190"/>
      <c r="AR58" s="190"/>
      <c r="AS58" s="191"/>
      <c r="AT58" s="329"/>
      <c r="AU58" s="329"/>
      <c r="AV58" s="329"/>
    </row>
    <row r="59" spans="1:48" ht="37.5" customHeight="1" x14ac:dyDescent="0.2">
      <c r="A59" s="342"/>
      <c r="B59" s="340"/>
      <c r="C59" s="340"/>
      <c r="D59" s="340"/>
      <c r="E59" s="340"/>
      <c r="F59" s="340"/>
      <c r="G59" s="322"/>
      <c r="H59" s="322"/>
      <c r="I59" s="322"/>
      <c r="J59" s="322"/>
      <c r="K59" s="322"/>
      <c r="L59" s="322"/>
      <c r="M59" s="322"/>
      <c r="N59" s="322"/>
      <c r="O59" s="322"/>
      <c r="P59" s="322"/>
      <c r="Q59" s="322"/>
      <c r="R59" s="329"/>
      <c r="S59" s="326"/>
      <c r="T59" s="325"/>
      <c r="U59" s="315"/>
      <c r="V59" s="325">
        <f>IF(NOT(ISERROR(MATCH(U59,_xlfn.ANCHORARRAY(E70),0))),T72&amp;"Por favor no seleccionar los criterios de impacto",U59)</f>
        <v>0</v>
      </c>
      <c r="W59" s="326"/>
      <c r="X59" s="325"/>
      <c r="Y59" s="324"/>
      <c r="Z59" s="208">
        <v>5</v>
      </c>
      <c r="AA59" s="181"/>
      <c r="AB59" s="183" t="str">
        <f t="shared" si="68"/>
        <v/>
      </c>
      <c r="AC59" s="184"/>
      <c r="AD59" s="184"/>
      <c r="AE59" s="185" t="str">
        <f t="shared" si="63"/>
        <v/>
      </c>
      <c r="AF59" s="184"/>
      <c r="AG59" s="184"/>
      <c r="AH59" s="184"/>
      <c r="AI59" s="186" t="str">
        <f t="shared" si="69"/>
        <v/>
      </c>
      <c r="AJ59" s="187" t="str">
        <f t="shared" si="2"/>
        <v/>
      </c>
      <c r="AK59" s="185" t="str">
        <f t="shared" si="64"/>
        <v/>
      </c>
      <c r="AL59" s="187" t="str">
        <f t="shared" si="4"/>
        <v/>
      </c>
      <c r="AM59" s="185" t="str">
        <f t="shared" si="13"/>
        <v/>
      </c>
      <c r="AN59" s="188" t="str">
        <f t="shared" ref="AN59:AN60" si="70">IFERROR(IF(OR(AND(AJ59="Muy Baja",AL59="Leve"),AND(AJ59="Muy Baja",AL59="Menor"),AND(AJ59="Baja",AL59="Leve")),"Bajo",IF(OR(AND(AJ59="Muy baja",AL59="Moderado"),AND(AJ59="Baja",AL59="Menor"),AND(AJ59="Baja",AL59="Moderado"),AND(AJ59="Media",AL59="Leve"),AND(AJ59="Media",AL59="Menor"),AND(AJ59="Media",AL59="Moderado"),AND(AJ59="Alta",AL59="Leve"),AND(AJ59="Alta",AL59="Menor")),"Moderado",IF(OR(AND(AJ59="Muy Baja",AL59="Mayor"),AND(AJ59="Baja",AL59="Mayor"),AND(AJ59="Media",AL59="Mayor"),AND(AJ59="Alta",AL59="Moderado"),AND(AJ59="Alta",AL59="Mayor"),AND(AJ59="Muy Alta",AL59="Leve"),AND(AJ59="Muy Alta",AL59="Menor"),AND(AJ59="Muy Alta",AL59="Moderado"),AND(AJ59="Muy Alta",AL59="Mayor")),"Alto",IF(OR(AND(AJ59="Muy Baja",AL59="Catastrófico"),AND(AJ59="Baja",AL59="Catastrófico"),AND(AJ59="Media",AL59="Catastrófico"),AND(AJ59="Alta",AL59="Catastrófico"),AND(AJ59="Muy Alta",AL59="Catastrófico")),"Extremo","")))),"")</f>
        <v/>
      </c>
      <c r="AO59" s="189"/>
      <c r="AP59" s="180"/>
      <c r="AQ59" s="190"/>
      <c r="AR59" s="190"/>
      <c r="AS59" s="191"/>
      <c r="AT59" s="329"/>
      <c r="AU59" s="329"/>
      <c r="AV59" s="329"/>
    </row>
    <row r="60" spans="1:48" ht="37.5" customHeight="1" x14ac:dyDescent="0.2">
      <c r="A60" s="342"/>
      <c r="B60" s="340"/>
      <c r="C60" s="340"/>
      <c r="D60" s="340"/>
      <c r="E60" s="340"/>
      <c r="F60" s="340"/>
      <c r="G60" s="323"/>
      <c r="H60" s="323"/>
      <c r="I60" s="323"/>
      <c r="J60" s="323"/>
      <c r="K60" s="323"/>
      <c r="L60" s="323"/>
      <c r="M60" s="323"/>
      <c r="N60" s="323"/>
      <c r="O60" s="323"/>
      <c r="P60" s="323"/>
      <c r="Q60" s="323"/>
      <c r="R60" s="329"/>
      <c r="S60" s="326"/>
      <c r="T60" s="325"/>
      <c r="U60" s="315"/>
      <c r="V60" s="325">
        <f>IF(NOT(ISERROR(MATCH(U60,_xlfn.ANCHORARRAY(E71),0))),U73&amp;"Por favor no seleccionar los criterios de impacto",U60)</f>
        <v>0</v>
      </c>
      <c r="W60" s="326"/>
      <c r="X60" s="325"/>
      <c r="Y60" s="324"/>
      <c r="Z60" s="208">
        <v>6</v>
      </c>
      <c r="AA60" s="181"/>
      <c r="AB60" s="183" t="str">
        <f t="shared" si="68"/>
        <v/>
      </c>
      <c r="AC60" s="184"/>
      <c r="AD60" s="184"/>
      <c r="AE60" s="185" t="str">
        <f t="shared" si="63"/>
        <v/>
      </c>
      <c r="AF60" s="184"/>
      <c r="AG60" s="184"/>
      <c r="AH60" s="184"/>
      <c r="AI60" s="186" t="str">
        <f t="shared" si="69"/>
        <v/>
      </c>
      <c r="AJ60" s="187" t="str">
        <f t="shared" si="2"/>
        <v/>
      </c>
      <c r="AK60" s="185" t="str">
        <f t="shared" si="64"/>
        <v/>
      </c>
      <c r="AL60" s="187" t="str">
        <f t="shared" si="4"/>
        <v/>
      </c>
      <c r="AM60" s="185" t="str">
        <f t="shared" si="13"/>
        <v/>
      </c>
      <c r="AN60" s="188" t="str">
        <f t="shared" si="70"/>
        <v/>
      </c>
      <c r="AO60" s="189"/>
      <c r="AP60" s="180"/>
      <c r="AQ60" s="190"/>
      <c r="AR60" s="190"/>
      <c r="AS60" s="191"/>
      <c r="AT60" s="329"/>
      <c r="AU60" s="329"/>
      <c r="AV60" s="329"/>
    </row>
    <row r="61" spans="1:48" ht="37.5" customHeight="1" x14ac:dyDescent="0.2">
      <c r="A61" s="342">
        <v>9</v>
      </c>
      <c r="B61" s="340"/>
      <c r="C61" s="340"/>
      <c r="D61" s="340"/>
      <c r="E61" s="340"/>
      <c r="F61" s="340"/>
      <c r="G61" s="321"/>
      <c r="H61" s="321"/>
      <c r="I61" s="321"/>
      <c r="J61" s="321"/>
      <c r="K61" s="321"/>
      <c r="L61" s="321"/>
      <c r="M61" s="215"/>
      <c r="N61" s="215"/>
      <c r="O61" s="215"/>
      <c r="P61" s="321"/>
      <c r="Q61" s="321"/>
      <c r="R61" s="329"/>
      <c r="S61" s="326" t="str">
        <f>IF(R61&lt;=0,"",IF(R61&lt;=2,"Muy Baja",IF(R61&lt;=24,"Baja",IF(R61&lt;=500,"Media",IF(R61&lt;=5000,"Alta","Muy Alta")))))</f>
        <v/>
      </c>
      <c r="T61" s="325" t="str">
        <f>IF(S61="","",IF(S61="Muy Baja",0.2,IF(S61="Baja",0.4,IF(S61="Media",0.6,IF(S61="Alta",0.8,IF(S61="Muy Alta",1,))))))</f>
        <v/>
      </c>
      <c r="U61" s="315"/>
      <c r="V61" s="325">
        <f>IF(NOT(ISERROR(MATCH(U61,'Tabla Impacto'!$B$222:$B$224,0))),'Tabla Impacto'!$F$224&amp;"Por favor no seleccionar los criterios de impacto(Afectación Económica o presupuestal y Pérdida Reputacional)",U61)</f>
        <v>0</v>
      </c>
      <c r="W61" s="326" t="str">
        <f>IF(OR(V61='Tabla Impacto'!$C$12,V61='Tabla Impacto'!$D$12),"Leve",IF(OR(V61='Tabla Impacto'!$C$13,V61='Tabla Impacto'!$D$13),"Menor",IF(OR(V61='Tabla Impacto'!$C$14,V61='Tabla Impacto'!$D$14),"Moderado",IF(OR(V61='Tabla Impacto'!$C$15,V61='Tabla Impacto'!$D$15),"Mayor",IF(OR(V61='Tabla Impacto'!$C$16,V61='Tabla Impacto'!$D$16),"Catastrófico","")))))</f>
        <v/>
      </c>
      <c r="X61" s="325" t="str">
        <f>IF(W61="","",IF(W61="Leve",0.2,IF(W61="Menor",0.4,IF(W61="Moderado",0.6,IF(W61="Mayor",0.8,IF(W61="Catastrófico",1,))))))</f>
        <v/>
      </c>
      <c r="Y61" s="324" t="str">
        <f>IF(OR(AND(S61="Muy Baja",W61="Leve"),AND(S61="Muy Baja",W61="Menor"),AND(S61="Baja",W61="Leve")),"Bajo",IF(OR(AND(S61="Muy baja",W61="Moderado"),AND(S61="Baja",W61="Menor"),AND(S61="Baja",W61="Moderado"),AND(S61="Media",W61="Leve"),AND(S61="Media",W61="Menor"),AND(S61="Media",W61="Moderado"),AND(S61="Alta",W61="Leve"),AND(S61="Alta",W61="Menor")),"Moderado",IF(OR(AND(S61="Muy Baja",W61="Mayor"),AND(S61="Baja",W61="Mayor"),AND(S61="Media",W61="Mayor"),AND(S61="Alta",W61="Moderado"),AND(S61="Alta",W61="Mayor"),AND(S61="Muy Alta",W61="Leve"),AND(S61="Muy Alta",W61="Menor"),AND(S61="Muy Alta",W61="Moderado"),AND(S61="Muy Alta",W61="Mayor")),"Alto",IF(OR(AND(S61="Muy Baja",W61="Catastrófico"),AND(S61="Baja",W61="Catastrófico"),AND(S61="Media",W61="Catastrófico"),AND(S61="Alta",W61="Catastrófico"),AND(S61="Muy Alta",W61="Catastrófico")),"Extremo",""))))</f>
        <v/>
      </c>
      <c r="Z61" s="208">
        <v>1</v>
      </c>
      <c r="AA61" s="181"/>
      <c r="AB61" s="183" t="str">
        <f>IF(OR(AC61="Preventivo",AC61="Detectivo"),"Probabilidad",IF(AC61="Correctivo","Impacto",""))</f>
        <v/>
      </c>
      <c r="AC61" s="184"/>
      <c r="AD61" s="184"/>
      <c r="AE61" s="185" t="str">
        <f>IF(AND(AC61="Preventivo",AD61="Automático"),"50%",IF(AND(AC61="Preventivo",AD61="Manual"),"40%",IF(AND(AC61="Detectivo",AD61="Automático"),"40%",IF(AND(AC61="Detectivo",AD61="Manual"),"30%",IF(AND(AC61="Correctivo",AD61="Automático"),"35%",IF(AND(AC61="Correctivo",AD61="Manual"),"25%",""))))))</f>
        <v/>
      </c>
      <c r="AF61" s="184"/>
      <c r="AG61" s="184"/>
      <c r="AH61" s="184"/>
      <c r="AI61" s="186" t="str">
        <f>IFERROR(IF(AB61="Probabilidad",(T61-(+T61*AE61)),IF(AB61="Impacto",T61,"")),"")</f>
        <v/>
      </c>
      <c r="AJ61" s="187" t="str">
        <f>IFERROR(IF(AI61="","",IF(AI61&lt;=0.2,"Muy Baja",IF(AI61&lt;=0.4,"Baja",IF(AI61&lt;=0.6,"Media",IF(AI61&lt;=0.8,"Alta","Muy Alta"))))),"")</f>
        <v/>
      </c>
      <c r="AK61" s="185" t="str">
        <f>+AI61</f>
        <v/>
      </c>
      <c r="AL61" s="187" t="str">
        <f>IFERROR(IF(AM61="","",IF(AM61&lt;=0.2,"Leve",IF(AM61&lt;=0.4,"Menor",IF(AM61&lt;=0.6,"Moderado",IF(AM61&lt;=0.8,"Mayor","Catastrófico"))))),"")</f>
        <v/>
      </c>
      <c r="AM61" s="185" t="str">
        <f t="shared" ref="AM61" si="71">IFERROR(IF(AB61="Impacto",(X61-(+X61*AE61)),IF(AB61="Probabilidad",X61,"")),"")</f>
        <v/>
      </c>
      <c r="AN61" s="188" t="str">
        <f>IFERROR(IF(OR(AND(AJ61="Muy Baja",AL61="Leve"),AND(AJ61="Muy Baja",AL61="Menor"),AND(AJ61="Baja",AL61="Leve")),"Bajo",IF(OR(AND(AJ61="Muy baja",AL61="Moderado"),AND(AJ61="Baja",AL61="Menor"),AND(AJ61="Baja",AL61="Moderado"),AND(AJ61="Media",AL61="Leve"),AND(AJ61="Media",AL61="Menor"),AND(AJ61="Media",AL61="Moderado"),AND(AJ61="Alta",AL61="Leve"),AND(AJ61="Alta",AL61="Menor")),"Moderado",IF(OR(AND(AJ61="Muy Baja",AL61="Mayor"),AND(AJ61="Baja",AL61="Mayor"),AND(AJ61="Media",AL61="Mayor"),AND(AJ61="Alta",AL61="Moderado"),AND(AJ61="Alta",AL61="Mayor"),AND(AJ61="Muy Alta",AL61="Leve"),AND(AJ61="Muy Alta",AL61="Menor"),AND(AJ61="Muy Alta",AL61="Moderado"),AND(AJ61="Muy Alta",AL61="Mayor")),"Alto",IF(OR(AND(AJ61="Muy Baja",AL61="Catastrófico"),AND(AJ61="Baja",AL61="Catastrófico"),AND(AJ61="Media",AL61="Catastrófico"),AND(AJ61="Alta",AL61="Catastrófico"),AND(AJ61="Muy Alta",AL61="Catastrófico")),"Extremo","")))),"")</f>
        <v/>
      </c>
      <c r="AO61" s="189"/>
      <c r="AP61" s="180"/>
      <c r="AQ61" s="190"/>
      <c r="AR61" s="190"/>
      <c r="AS61" s="191"/>
      <c r="AT61" s="329"/>
      <c r="AU61" s="329"/>
      <c r="AV61" s="329"/>
    </row>
    <row r="62" spans="1:48" ht="37.5" customHeight="1" x14ac:dyDescent="0.2">
      <c r="A62" s="342"/>
      <c r="B62" s="340"/>
      <c r="C62" s="340"/>
      <c r="D62" s="340"/>
      <c r="E62" s="340"/>
      <c r="F62" s="340"/>
      <c r="G62" s="322"/>
      <c r="H62" s="322"/>
      <c r="I62" s="322"/>
      <c r="J62" s="322"/>
      <c r="K62" s="322"/>
      <c r="L62" s="322"/>
      <c r="M62" s="216"/>
      <c r="N62" s="216"/>
      <c r="O62" s="216"/>
      <c r="P62" s="322"/>
      <c r="Q62" s="322"/>
      <c r="R62" s="329"/>
      <c r="S62" s="326"/>
      <c r="T62" s="325"/>
      <c r="U62" s="315"/>
      <c r="V62" s="325">
        <f>IF(NOT(ISERROR(MATCH(U62,_xlfn.ANCHORARRAY(F73),0))),U75&amp;"Por favor no seleccionar los criterios de impacto",U62)</f>
        <v>0</v>
      </c>
      <c r="W62" s="326"/>
      <c r="X62" s="325"/>
      <c r="Y62" s="324"/>
      <c r="Z62" s="208">
        <v>2</v>
      </c>
      <c r="AA62" s="181"/>
      <c r="AB62" s="183" t="str">
        <f>IF(OR(AC62="Preventivo",AC62="Detectivo"),"Probabilidad",IF(AC62="Correctivo","Impacto",""))</f>
        <v/>
      </c>
      <c r="AC62" s="184"/>
      <c r="AD62" s="184"/>
      <c r="AE62" s="185" t="str">
        <f t="shared" ref="AE62:AE66" si="72">IF(AND(AC62="Preventivo",AD62="Automático"),"50%",IF(AND(AC62="Preventivo",AD62="Manual"),"40%",IF(AND(AC62="Detectivo",AD62="Automático"),"40%",IF(AND(AC62="Detectivo",AD62="Manual"),"30%",IF(AND(AC62="Correctivo",AD62="Automático"),"35%",IF(AND(AC62="Correctivo",AD62="Manual"),"25%",""))))))</f>
        <v/>
      </c>
      <c r="AF62" s="184"/>
      <c r="AG62" s="184"/>
      <c r="AH62" s="184"/>
      <c r="AI62" s="186" t="str">
        <f>IFERROR(IF(AND(AB61="Probabilidad",AB62="Probabilidad"),(AK61-(+AK61*AE62)),IF(AB62="Probabilidad",(T61-(+T61*AE62)),IF(AB62="Impacto",AK61,""))),"")</f>
        <v/>
      </c>
      <c r="AJ62" s="187" t="str">
        <f t="shared" si="2"/>
        <v/>
      </c>
      <c r="AK62" s="185" t="str">
        <f t="shared" ref="AK62:AK66" si="73">+AI62</f>
        <v/>
      </c>
      <c r="AL62" s="187" t="str">
        <f t="shared" si="4"/>
        <v/>
      </c>
      <c r="AM62" s="185" t="str">
        <f t="shared" ref="AM62" si="74">IFERROR(IF(AND(AB61="Impacto",AB62="Impacto"),(AM61-(+AM61*AE62)),IF(AB62="Impacto",($X$13-(+$X$13*AE62)),IF(AB62="Probabilidad",AM61,""))),"")</f>
        <v/>
      </c>
      <c r="AN62" s="188" t="str">
        <f t="shared" ref="AN62:AN63" si="75">IFERROR(IF(OR(AND(AJ62="Muy Baja",AL62="Leve"),AND(AJ62="Muy Baja",AL62="Menor"),AND(AJ62="Baja",AL62="Leve")),"Bajo",IF(OR(AND(AJ62="Muy baja",AL62="Moderado"),AND(AJ62="Baja",AL62="Menor"),AND(AJ62="Baja",AL62="Moderado"),AND(AJ62="Media",AL62="Leve"),AND(AJ62="Media",AL62="Menor"),AND(AJ62="Media",AL62="Moderado"),AND(AJ62="Alta",AL62="Leve"),AND(AJ62="Alta",AL62="Menor")),"Moderado",IF(OR(AND(AJ62="Muy Baja",AL62="Mayor"),AND(AJ62="Baja",AL62="Mayor"),AND(AJ62="Media",AL62="Mayor"),AND(AJ62="Alta",AL62="Moderado"),AND(AJ62="Alta",AL62="Mayor"),AND(AJ62="Muy Alta",AL62="Leve"),AND(AJ62="Muy Alta",AL62="Menor"),AND(AJ62="Muy Alta",AL62="Moderado"),AND(AJ62="Muy Alta",AL62="Mayor")),"Alto",IF(OR(AND(AJ62="Muy Baja",AL62="Catastrófico"),AND(AJ62="Baja",AL62="Catastrófico"),AND(AJ62="Media",AL62="Catastrófico"),AND(AJ62="Alta",AL62="Catastrófico"),AND(AJ62="Muy Alta",AL62="Catastrófico")),"Extremo","")))),"")</f>
        <v/>
      </c>
      <c r="AO62" s="189"/>
      <c r="AP62" s="180"/>
      <c r="AQ62" s="190"/>
      <c r="AR62" s="190"/>
      <c r="AS62" s="191"/>
      <c r="AT62" s="329"/>
      <c r="AU62" s="329"/>
      <c r="AV62" s="329"/>
    </row>
    <row r="63" spans="1:48" ht="37.5" customHeight="1" x14ac:dyDescent="0.2">
      <c r="A63" s="342"/>
      <c r="B63" s="340"/>
      <c r="C63" s="340"/>
      <c r="D63" s="340"/>
      <c r="E63" s="340"/>
      <c r="F63" s="340"/>
      <c r="G63" s="322"/>
      <c r="H63" s="322"/>
      <c r="I63" s="322"/>
      <c r="J63" s="322"/>
      <c r="K63" s="322"/>
      <c r="L63" s="322"/>
      <c r="M63" s="216"/>
      <c r="N63" s="216"/>
      <c r="O63" s="216"/>
      <c r="P63" s="322"/>
      <c r="Q63" s="322"/>
      <c r="R63" s="329"/>
      <c r="S63" s="326"/>
      <c r="T63" s="325"/>
      <c r="U63" s="315"/>
      <c r="V63" s="325">
        <f>IF(NOT(ISERROR(MATCH(U63,_xlfn.ANCHORARRAY(F74),0))),U76&amp;"Por favor no seleccionar los criterios de impacto",U63)</f>
        <v>0</v>
      </c>
      <c r="W63" s="326"/>
      <c r="X63" s="325"/>
      <c r="Y63" s="324"/>
      <c r="Z63" s="208">
        <v>3</v>
      </c>
      <c r="AA63" s="181"/>
      <c r="AB63" s="183" t="str">
        <f>IF(OR(AC63="Preventivo",AC63="Detectivo"),"Probabilidad",IF(AC63="Correctivo","Impacto",""))</f>
        <v/>
      </c>
      <c r="AC63" s="184"/>
      <c r="AD63" s="184"/>
      <c r="AE63" s="185" t="str">
        <f t="shared" si="72"/>
        <v/>
      </c>
      <c r="AF63" s="184"/>
      <c r="AG63" s="184"/>
      <c r="AH63" s="184"/>
      <c r="AI63" s="186" t="str">
        <f>IFERROR(IF(AND(AB62="Probabilidad",AB63="Probabilidad"),(AK62-(+AK62*AE63)),IF(AND(AB62="Impacto",AB63="Probabilidad"),(AK61-(+AK61*AE63)),IF(AB63="Impacto",AK62,""))),"")</f>
        <v/>
      </c>
      <c r="AJ63" s="187" t="str">
        <f t="shared" si="2"/>
        <v/>
      </c>
      <c r="AK63" s="185" t="str">
        <f t="shared" si="73"/>
        <v/>
      </c>
      <c r="AL63" s="187" t="str">
        <f t="shared" si="4"/>
        <v/>
      </c>
      <c r="AM63" s="185" t="str">
        <f t="shared" ref="AM63" si="76">IFERROR(IF(AND(AB62="Impacto",AB63="Impacto"),(AM62-(+AM62*AE63)),IF(AND(AB62="Probabilidad",AB63="Impacto"),(AM61-(+AM61*AE63)),IF(AB63="Probabilidad",AM62,""))),"")</f>
        <v/>
      </c>
      <c r="AN63" s="188" t="str">
        <f t="shared" si="75"/>
        <v/>
      </c>
      <c r="AO63" s="189"/>
      <c r="AP63" s="180"/>
      <c r="AQ63" s="190"/>
      <c r="AR63" s="190"/>
      <c r="AS63" s="191"/>
      <c r="AT63" s="329"/>
      <c r="AU63" s="329"/>
      <c r="AV63" s="329"/>
    </row>
    <row r="64" spans="1:48" ht="37.5" customHeight="1" x14ac:dyDescent="0.2">
      <c r="A64" s="342"/>
      <c r="B64" s="340"/>
      <c r="C64" s="340"/>
      <c r="D64" s="340"/>
      <c r="E64" s="340"/>
      <c r="F64" s="340"/>
      <c r="G64" s="322"/>
      <c r="H64" s="322"/>
      <c r="I64" s="322"/>
      <c r="J64" s="322"/>
      <c r="K64" s="322"/>
      <c r="L64" s="322"/>
      <c r="M64" s="216"/>
      <c r="N64" s="216"/>
      <c r="O64" s="216"/>
      <c r="P64" s="322"/>
      <c r="Q64" s="322"/>
      <c r="R64" s="329"/>
      <c r="S64" s="326"/>
      <c r="T64" s="325"/>
      <c r="U64" s="315"/>
      <c r="V64" s="325">
        <f>IF(NOT(ISERROR(MATCH(U64,_xlfn.ANCHORARRAY(F75),0))),U77&amp;"Por favor no seleccionar los criterios de impacto",U64)</f>
        <v>0</v>
      </c>
      <c r="W64" s="326"/>
      <c r="X64" s="325"/>
      <c r="Y64" s="324"/>
      <c r="Z64" s="208">
        <v>4</v>
      </c>
      <c r="AA64" s="181"/>
      <c r="AB64" s="183" t="str">
        <f t="shared" ref="AB64:AB66" si="77">IF(OR(AC64="Preventivo",AC64="Detectivo"),"Probabilidad",IF(AC64="Correctivo","Impacto",""))</f>
        <v/>
      </c>
      <c r="AC64" s="184"/>
      <c r="AD64" s="184"/>
      <c r="AE64" s="185" t="str">
        <f t="shared" si="72"/>
        <v/>
      </c>
      <c r="AF64" s="184"/>
      <c r="AG64" s="184"/>
      <c r="AH64" s="184"/>
      <c r="AI64" s="186" t="str">
        <f t="shared" ref="AI64:AI66" si="78">IFERROR(IF(AND(AB63="Probabilidad",AB64="Probabilidad"),(AK63-(+AK63*AE64)),IF(AND(AB63="Impacto",AB64="Probabilidad"),(AK62-(+AK62*AE64)),IF(AB64="Impacto",AK63,""))),"")</f>
        <v/>
      </c>
      <c r="AJ64" s="187" t="str">
        <f t="shared" si="2"/>
        <v/>
      </c>
      <c r="AK64" s="185" t="str">
        <f t="shared" si="73"/>
        <v/>
      </c>
      <c r="AL64" s="187" t="str">
        <f t="shared" si="4"/>
        <v/>
      </c>
      <c r="AM64" s="185" t="str">
        <f t="shared" si="13"/>
        <v/>
      </c>
      <c r="AN64" s="188" t="str">
        <f>IFERROR(IF(OR(AND(AJ64="Muy Baja",AL64="Leve"),AND(AJ64="Muy Baja",AL64="Menor"),AND(AJ64="Baja",AL64="Leve")),"Bajo",IF(OR(AND(AJ64="Muy baja",AL64="Moderado"),AND(AJ64="Baja",AL64="Menor"),AND(AJ64="Baja",AL64="Moderado"),AND(AJ64="Media",AL64="Leve"),AND(AJ64="Media",AL64="Menor"),AND(AJ64="Media",AL64="Moderado"),AND(AJ64="Alta",AL64="Leve"),AND(AJ64="Alta",AL64="Menor")),"Moderado",IF(OR(AND(AJ64="Muy Baja",AL64="Mayor"),AND(AJ64="Baja",AL64="Mayor"),AND(AJ64="Media",AL64="Mayor"),AND(AJ64="Alta",AL64="Moderado"),AND(AJ64="Alta",AL64="Mayor"),AND(AJ64="Muy Alta",AL64="Leve"),AND(AJ64="Muy Alta",AL64="Menor"),AND(AJ64="Muy Alta",AL64="Moderado"),AND(AJ64="Muy Alta",AL64="Mayor")),"Alto",IF(OR(AND(AJ64="Muy Baja",AL64="Catastrófico"),AND(AJ64="Baja",AL64="Catastrófico"),AND(AJ64="Media",AL64="Catastrófico"),AND(AJ64="Alta",AL64="Catastrófico"),AND(AJ64="Muy Alta",AL64="Catastrófico")),"Extremo","")))),"")</f>
        <v/>
      </c>
      <c r="AO64" s="189"/>
      <c r="AP64" s="180"/>
      <c r="AQ64" s="190"/>
      <c r="AR64" s="190"/>
      <c r="AS64" s="191"/>
      <c r="AT64" s="329"/>
      <c r="AU64" s="329"/>
      <c r="AV64" s="329"/>
    </row>
    <row r="65" spans="1:48" ht="37.5" customHeight="1" x14ac:dyDescent="0.2">
      <c r="A65" s="342"/>
      <c r="B65" s="340"/>
      <c r="C65" s="340"/>
      <c r="D65" s="340"/>
      <c r="E65" s="340"/>
      <c r="F65" s="340"/>
      <c r="G65" s="322"/>
      <c r="H65" s="322"/>
      <c r="I65" s="322"/>
      <c r="J65" s="322"/>
      <c r="K65" s="322"/>
      <c r="L65" s="322"/>
      <c r="M65" s="216"/>
      <c r="N65" s="216"/>
      <c r="O65" s="216"/>
      <c r="P65" s="322"/>
      <c r="Q65" s="322"/>
      <c r="R65" s="329"/>
      <c r="S65" s="326"/>
      <c r="T65" s="325"/>
      <c r="U65" s="315"/>
      <c r="V65" s="325">
        <f>IF(NOT(ISERROR(MATCH(U65,_xlfn.ANCHORARRAY(F76),0))),U78&amp;"Por favor no seleccionar los criterios de impacto",U65)</f>
        <v>0</v>
      </c>
      <c r="W65" s="326"/>
      <c r="X65" s="325"/>
      <c r="Y65" s="324"/>
      <c r="Z65" s="208">
        <v>5</v>
      </c>
      <c r="AA65" s="181"/>
      <c r="AB65" s="183" t="str">
        <f t="shared" si="77"/>
        <v/>
      </c>
      <c r="AC65" s="184"/>
      <c r="AD65" s="184"/>
      <c r="AE65" s="185" t="str">
        <f t="shared" si="72"/>
        <v/>
      </c>
      <c r="AF65" s="184"/>
      <c r="AG65" s="184"/>
      <c r="AH65" s="184"/>
      <c r="AI65" s="186" t="str">
        <f t="shared" si="78"/>
        <v/>
      </c>
      <c r="AJ65" s="187" t="str">
        <f t="shared" si="2"/>
        <v/>
      </c>
      <c r="AK65" s="185" t="str">
        <f t="shared" si="73"/>
        <v/>
      </c>
      <c r="AL65" s="187" t="str">
        <f t="shared" si="4"/>
        <v/>
      </c>
      <c r="AM65" s="185" t="str">
        <f t="shared" si="13"/>
        <v/>
      </c>
      <c r="AN65" s="188" t="str">
        <f t="shared" ref="AN65:AN66" si="79">IFERROR(IF(OR(AND(AJ65="Muy Baja",AL65="Leve"),AND(AJ65="Muy Baja",AL65="Menor"),AND(AJ65="Baja",AL65="Leve")),"Bajo",IF(OR(AND(AJ65="Muy baja",AL65="Moderado"),AND(AJ65="Baja",AL65="Menor"),AND(AJ65="Baja",AL65="Moderado"),AND(AJ65="Media",AL65="Leve"),AND(AJ65="Media",AL65="Menor"),AND(AJ65="Media",AL65="Moderado"),AND(AJ65="Alta",AL65="Leve"),AND(AJ65="Alta",AL65="Menor")),"Moderado",IF(OR(AND(AJ65="Muy Baja",AL65="Mayor"),AND(AJ65="Baja",AL65="Mayor"),AND(AJ65="Media",AL65="Mayor"),AND(AJ65="Alta",AL65="Moderado"),AND(AJ65="Alta",AL65="Mayor"),AND(AJ65="Muy Alta",AL65="Leve"),AND(AJ65="Muy Alta",AL65="Menor"),AND(AJ65="Muy Alta",AL65="Moderado"),AND(AJ65="Muy Alta",AL65="Mayor")),"Alto",IF(OR(AND(AJ65="Muy Baja",AL65="Catastrófico"),AND(AJ65="Baja",AL65="Catastrófico"),AND(AJ65="Media",AL65="Catastrófico"),AND(AJ65="Alta",AL65="Catastrófico"),AND(AJ65="Muy Alta",AL65="Catastrófico")),"Extremo","")))),"")</f>
        <v/>
      </c>
      <c r="AO65" s="189"/>
      <c r="AP65" s="180"/>
      <c r="AQ65" s="190"/>
      <c r="AR65" s="190"/>
      <c r="AS65" s="191"/>
      <c r="AT65" s="329"/>
      <c r="AU65" s="329"/>
      <c r="AV65" s="329"/>
    </row>
    <row r="66" spans="1:48" ht="37.5" customHeight="1" x14ac:dyDescent="0.2">
      <c r="A66" s="342"/>
      <c r="B66" s="340"/>
      <c r="C66" s="340"/>
      <c r="D66" s="340"/>
      <c r="E66" s="340"/>
      <c r="F66" s="340"/>
      <c r="G66" s="323"/>
      <c r="H66" s="323"/>
      <c r="I66" s="323"/>
      <c r="J66" s="323"/>
      <c r="K66" s="323"/>
      <c r="L66" s="323"/>
      <c r="M66" s="217"/>
      <c r="N66" s="217"/>
      <c r="O66" s="217"/>
      <c r="P66" s="323"/>
      <c r="Q66" s="323"/>
      <c r="R66" s="329"/>
      <c r="S66" s="326"/>
      <c r="T66" s="325"/>
      <c r="U66" s="315"/>
      <c r="V66" s="325">
        <f>IF(NOT(ISERROR(MATCH(U66,_xlfn.ANCHORARRAY(F77),0))),U79&amp;"Por favor no seleccionar los criterios de impacto",U66)</f>
        <v>0</v>
      </c>
      <c r="W66" s="326"/>
      <c r="X66" s="325"/>
      <c r="Y66" s="324"/>
      <c r="Z66" s="208">
        <v>6</v>
      </c>
      <c r="AA66" s="181"/>
      <c r="AB66" s="183" t="str">
        <f t="shared" si="77"/>
        <v/>
      </c>
      <c r="AC66" s="184"/>
      <c r="AD66" s="184"/>
      <c r="AE66" s="185" t="str">
        <f t="shared" si="72"/>
        <v/>
      </c>
      <c r="AF66" s="184"/>
      <c r="AG66" s="184"/>
      <c r="AH66" s="184"/>
      <c r="AI66" s="186" t="str">
        <f t="shared" si="78"/>
        <v/>
      </c>
      <c r="AJ66" s="187" t="str">
        <f t="shared" si="2"/>
        <v/>
      </c>
      <c r="AK66" s="185" t="str">
        <f t="shared" si="73"/>
        <v/>
      </c>
      <c r="AL66" s="187" t="str">
        <f t="shared" si="4"/>
        <v/>
      </c>
      <c r="AM66" s="185" t="str">
        <f t="shared" si="13"/>
        <v/>
      </c>
      <c r="AN66" s="188" t="str">
        <f t="shared" si="79"/>
        <v/>
      </c>
      <c r="AO66" s="189"/>
      <c r="AP66" s="180"/>
      <c r="AQ66" s="190"/>
      <c r="AR66" s="190"/>
      <c r="AS66" s="191"/>
      <c r="AT66" s="329"/>
      <c r="AU66" s="329"/>
      <c r="AV66" s="329"/>
    </row>
    <row r="67" spans="1:48" ht="37.5" customHeight="1" x14ac:dyDescent="0.2">
      <c r="A67" s="342">
        <v>10</v>
      </c>
      <c r="B67" s="340"/>
      <c r="C67" s="340"/>
      <c r="D67" s="340"/>
      <c r="E67" s="340"/>
      <c r="F67" s="340"/>
      <c r="G67" s="321"/>
      <c r="H67" s="321"/>
      <c r="I67" s="321"/>
      <c r="J67" s="321"/>
      <c r="K67" s="321"/>
      <c r="L67" s="321"/>
      <c r="M67" s="215"/>
      <c r="N67" s="215"/>
      <c r="O67" s="215"/>
      <c r="P67" s="321"/>
      <c r="Q67" s="321"/>
      <c r="R67" s="329"/>
      <c r="S67" s="326" t="str">
        <f>IF(R67&lt;=0,"",IF(R67&lt;=2,"Muy Baja",IF(R67&lt;=24,"Baja",IF(R67&lt;=500,"Media",IF(R67&lt;=5000,"Alta","Muy Alta")))))</f>
        <v/>
      </c>
      <c r="T67" s="325" t="str">
        <f>IF(S67="","",IF(S67="Muy Baja",0.2,IF(S67="Baja",0.4,IF(S67="Media",0.6,IF(S67="Alta",0.8,IF(S67="Muy Alta",1,))))))</f>
        <v/>
      </c>
      <c r="U67" s="315"/>
      <c r="V67" s="325">
        <f>IF(NOT(ISERROR(MATCH(U67,'Tabla Impacto'!$B$222:$B$224,0))),'Tabla Impacto'!$F$224&amp;"Por favor no seleccionar los criterios de impacto(Afectación Económica o presupuestal y Pérdida Reputacional)",U67)</f>
        <v>0</v>
      </c>
      <c r="W67" s="326" t="str">
        <f>IF(OR(V67='Tabla Impacto'!$C$12,V67='Tabla Impacto'!$D$12),"Leve",IF(OR(V67='Tabla Impacto'!$C$13,V67='Tabla Impacto'!$D$13),"Menor",IF(OR(V67='Tabla Impacto'!$C$14,V67='Tabla Impacto'!$D$14),"Moderado",IF(OR(V67='Tabla Impacto'!$C$15,V67='Tabla Impacto'!$D$15),"Mayor",IF(OR(V67='Tabla Impacto'!$C$16,V67='Tabla Impacto'!$D$16),"Catastrófico","")))))</f>
        <v/>
      </c>
      <c r="X67" s="325" t="str">
        <f>IF(W67="","",IF(W67="Leve",0.2,IF(W67="Menor",0.4,IF(W67="Moderado",0.6,IF(W67="Mayor",0.8,IF(W67="Catastrófico",1,))))))</f>
        <v/>
      </c>
      <c r="Y67" s="324" t="str">
        <f>IF(OR(AND(S67="Muy Baja",W67="Leve"),AND(S67="Muy Baja",W67="Menor"),AND(S67="Baja",W67="Leve")),"Bajo",IF(OR(AND(S67="Muy baja",W67="Moderado"),AND(S67="Baja",W67="Menor"),AND(S67="Baja",W67="Moderado"),AND(S67="Media",W67="Leve"),AND(S67="Media",W67="Menor"),AND(S67="Media",W67="Moderado"),AND(S67="Alta",W67="Leve"),AND(S67="Alta",W67="Menor")),"Moderado",IF(OR(AND(S67="Muy Baja",W67="Mayor"),AND(S67="Baja",W67="Mayor"),AND(S67="Media",W67="Mayor"),AND(S67="Alta",W67="Moderado"),AND(S67="Alta",W67="Mayor"),AND(S67="Muy Alta",W67="Leve"),AND(S67="Muy Alta",W67="Menor"),AND(S67="Muy Alta",W67="Moderado"),AND(S67="Muy Alta",W67="Mayor")),"Alto",IF(OR(AND(S67="Muy Baja",W67="Catastrófico"),AND(S67="Baja",W67="Catastrófico"),AND(S67="Media",W67="Catastrófico"),AND(S67="Alta",W67="Catastrófico"),AND(S67="Muy Alta",W67="Catastrófico")),"Extremo",""))))</f>
        <v/>
      </c>
      <c r="Z67" s="208">
        <v>1</v>
      </c>
      <c r="AA67" s="181"/>
      <c r="AB67" s="183" t="str">
        <f>IF(OR(AC67="Preventivo",AC67="Detectivo"),"Probabilidad",IF(AC67="Correctivo","Impacto",""))</f>
        <v/>
      </c>
      <c r="AC67" s="184"/>
      <c r="AD67" s="184"/>
      <c r="AE67" s="185" t="str">
        <f>IF(AND(AC67="Preventivo",AD67="Automático"),"50%",IF(AND(AC67="Preventivo",AD67="Manual"),"40%",IF(AND(AC67="Detectivo",AD67="Automático"),"40%",IF(AND(AC67="Detectivo",AD67="Manual"),"30%",IF(AND(AC67="Correctivo",AD67="Automático"),"35%",IF(AND(AC67="Correctivo",AD67="Manual"),"25%",""))))))</f>
        <v/>
      </c>
      <c r="AF67" s="184"/>
      <c r="AG67" s="184"/>
      <c r="AH67" s="184"/>
      <c r="AI67" s="186" t="str">
        <f>IFERROR(IF(AB67="Probabilidad",(T67-(+T67*AE67)),IF(AB67="Impacto",T67,"")),"")</f>
        <v/>
      </c>
      <c r="AJ67" s="187" t="str">
        <f>IFERROR(IF(AI67="","",IF(AI67&lt;=0.2,"Muy Baja",IF(AI67&lt;=0.4,"Baja",IF(AI67&lt;=0.6,"Media",IF(AI67&lt;=0.8,"Alta","Muy Alta"))))),"")</f>
        <v/>
      </c>
      <c r="AK67" s="185" t="str">
        <f>+AI67</f>
        <v/>
      </c>
      <c r="AL67" s="187" t="str">
        <f>IFERROR(IF(AM67="","",IF(AM67&lt;=0.2,"Leve",IF(AM67&lt;=0.4,"Menor",IF(AM67&lt;=0.6,"Moderado",IF(AM67&lt;=0.8,"Mayor","Catastrófico"))))),"")</f>
        <v/>
      </c>
      <c r="AM67" s="185" t="str">
        <f t="shared" ref="AM67" si="80">IFERROR(IF(AB67="Impacto",(X67-(+X67*AE67)),IF(AB67="Probabilidad",X67,"")),"")</f>
        <v/>
      </c>
      <c r="AN67" s="188" t="str">
        <f>IFERROR(IF(OR(AND(AJ67="Muy Baja",AL67="Leve"),AND(AJ67="Muy Baja",AL67="Menor"),AND(AJ67="Baja",AL67="Leve")),"Bajo",IF(OR(AND(AJ67="Muy baja",AL67="Moderado"),AND(AJ67="Baja",AL67="Menor"),AND(AJ67="Baja",AL67="Moderado"),AND(AJ67="Media",AL67="Leve"),AND(AJ67="Media",AL67="Menor"),AND(AJ67="Media",AL67="Moderado"),AND(AJ67="Alta",AL67="Leve"),AND(AJ67="Alta",AL67="Menor")),"Moderado",IF(OR(AND(AJ67="Muy Baja",AL67="Mayor"),AND(AJ67="Baja",AL67="Mayor"),AND(AJ67="Media",AL67="Mayor"),AND(AJ67="Alta",AL67="Moderado"),AND(AJ67="Alta",AL67="Mayor"),AND(AJ67="Muy Alta",AL67="Leve"),AND(AJ67="Muy Alta",AL67="Menor"),AND(AJ67="Muy Alta",AL67="Moderado"),AND(AJ67="Muy Alta",AL67="Mayor")),"Alto",IF(OR(AND(AJ67="Muy Baja",AL67="Catastrófico"),AND(AJ67="Baja",AL67="Catastrófico"),AND(AJ67="Media",AL67="Catastrófico"),AND(AJ67="Alta",AL67="Catastrófico"),AND(AJ67="Muy Alta",AL67="Catastrófico")),"Extremo","")))),"")</f>
        <v/>
      </c>
      <c r="AO67" s="189"/>
      <c r="AP67" s="180"/>
      <c r="AQ67" s="190"/>
      <c r="AR67" s="190"/>
      <c r="AS67" s="191"/>
      <c r="AT67" s="329"/>
      <c r="AU67" s="329"/>
      <c r="AV67" s="329"/>
    </row>
    <row r="68" spans="1:48" ht="37.5" customHeight="1" x14ac:dyDescent="0.2">
      <c r="A68" s="342"/>
      <c r="B68" s="340"/>
      <c r="C68" s="340"/>
      <c r="D68" s="340"/>
      <c r="E68" s="340"/>
      <c r="F68" s="340"/>
      <c r="G68" s="322"/>
      <c r="H68" s="322"/>
      <c r="I68" s="322"/>
      <c r="J68" s="322"/>
      <c r="K68" s="322"/>
      <c r="L68" s="322"/>
      <c r="M68" s="216"/>
      <c r="N68" s="216"/>
      <c r="O68" s="216"/>
      <c r="P68" s="322"/>
      <c r="Q68" s="322"/>
      <c r="R68" s="329"/>
      <c r="S68" s="326"/>
      <c r="T68" s="325"/>
      <c r="U68" s="315"/>
      <c r="V68" s="325">
        <f>IF(NOT(ISERROR(MATCH(U68,_xlfn.ANCHORARRAY(F79),0))),U81&amp;"Por favor no seleccionar los criterios de impacto",U68)</f>
        <v>0</v>
      </c>
      <c r="W68" s="326"/>
      <c r="X68" s="325"/>
      <c r="Y68" s="324"/>
      <c r="Z68" s="208">
        <v>2</v>
      </c>
      <c r="AA68" s="181"/>
      <c r="AB68" s="183" t="str">
        <f>IF(OR(AC68="Preventivo",AC68="Detectivo"),"Probabilidad",IF(AC68="Correctivo","Impacto",""))</f>
        <v/>
      </c>
      <c r="AC68" s="184"/>
      <c r="AD68" s="184"/>
      <c r="AE68" s="185" t="str">
        <f t="shared" ref="AE68:AE72" si="81">IF(AND(AC68="Preventivo",AD68="Automático"),"50%",IF(AND(AC68="Preventivo",AD68="Manual"),"40%",IF(AND(AC68="Detectivo",AD68="Automático"),"40%",IF(AND(AC68="Detectivo",AD68="Manual"),"30%",IF(AND(AC68="Correctivo",AD68="Automático"),"35%",IF(AND(AC68="Correctivo",AD68="Manual"),"25%",""))))))</f>
        <v/>
      </c>
      <c r="AF68" s="184"/>
      <c r="AG68" s="184"/>
      <c r="AH68" s="184"/>
      <c r="AI68" s="186" t="str">
        <f>IFERROR(IF(AND(AB67="Probabilidad",AB68="Probabilidad"),(AK67-(+AK67*AE68)),IF(AB68="Probabilidad",(T67-(+T67*AE68)),IF(AB68="Impacto",AK67,""))),"")</f>
        <v/>
      </c>
      <c r="AJ68" s="187" t="str">
        <f t="shared" si="2"/>
        <v/>
      </c>
      <c r="AK68" s="185" t="str">
        <f t="shared" ref="AK68:AK72" si="82">+AI68</f>
        <v/>
      </c>
      <c r="AL68" s="187" t="str">
        <f t="shared" si="4"/>
        <v/>
      </c>
      <c r="AM68" s="185" t="str">
        <f t="shared" ref="AM68" si="83">IFERROR(IF(AND(AB67="Impacto",AB68="Impacto"),(AM67-(+AM67*AE68)),IF(AB68="Impacto",($X$13-(+$X$13*AE68)),IF(AB68="Probabilidad",AM67,""))),"")</f>
        <v/>
      </c>
      <c r="AN68" s="188" t="str">
        <f t="shared" ref="AN68:AN69" si="84">IFERROR(IF(OR(AND(AJ68="Muy Baja",AL68="Leve"),AND(AJ68="Muy Baja",AL68="Menor"),AND(AJ68="Baja",AL68="Leve")),"Bajo",IF(OR(AND(AJ68="Muy baja",AL68="Moderado"),AND(AJ68="Baja",AL68="Menor"),AND(AJ68="Baja",AL68="Moderado"),AND(AJ68="Media",AL68="Leve"),AND(AJ68="Media",AL68="Menor"),AND(AJ68="Media",AL68="Moderado"),AND(AJ68="Alta",AL68="Leve"),AND(AJ68="Alta",AL68="Menor")),"Moderado",IF(OR(AND(AJ68="Muy Baja",AL68="Mayor"),AND(AJ68="Baja",AL68="Mayor"),AND(AJ68="Media",AL68="Mayor"),AND(AJ68="Alta",AL68="Moderado"),AND(AJ68="Alta",AL68="Mayor"),AND(AJ68="Muy Alta",AL68="Leve"),AND(AJ68="Muy Alta",AL68="Menor"),AND(AJ68="Muy Alta",AL68="Moderado"),AND(AJ68="Muy Alta",AL68="Mayor")),"Alto",IF(OR(AND(AJ68="Muy Baja",AL68="Catastrófico"),AND(AJ68="Baja",AL68="Catastrófico"),AND(AJ68="Media",AL68="Catastrófico"),AND(AJ68="Alta",AL68="Catastrófico"),AND(AJ68="Muy Alta",AL68="Catastrófico")),"Extremo","")))),"")</f>
        <v/>
      </c>
      <c r="AO68" s="189"/>
      <c r="AP68" s="180"/>
      <c r="AQ68" s="190"/>
      <c r="AR68" s="190"/>
      <c r="AS68" s="191"/>
      <c r="AT68" s="329"/>
      <c r="AU68" s="329"/>
      <c r="AV68" s="329"/>
    </row>
    <row r="69" spans="1:48" ht="37.5" customHeight="1" x14ac:dyDescent="0.2">
      <c r="A69" s="342"/>
      <c r="B69" s="340"/>
      <c r="C69" s="340"/>
      <c r="D69" s="340"/>
      <c r="E69" s="340"/>
      <c r="F69" s="340"/>
      <c r="G69" s="322"/>
      <c r="H69" s="322"/>
      <c r="I69" s="322"/>
      <c r="J69" s="322"/>
      <c r="K69" s="322"/>
      <c r="L69" s="322"/>
      <c r="M69" s="216"/>
      <c r="N69" s="216"/>
      <c r="O69" s="216"/>
      <c r="P69" s="322"/>
      <c r="Q69" s="322"/>
      <c r="R69" s="329"/>
      <c r="S69" s="326"/>
      <c r="T69" s="325"/>
      <c r="U69" s="315"/>
      <c r="V69" s="325">
        <f>IF(NOT(ISERROR(MATCH(U69,_xlfn.ANCHORARRAY(F80),0))),U82&amp;"Por favor no seleccionar los criterios de impacto",U69)</f>
        <v>0</v>
      </c>
      <c r="W69" s="326"/>
      <c r="X69" s="325"/>
      <c r="Y69" s="324"/>
      <c r="Z69" s="208">
        <v>3</v>
      </c>
      <c r="AA69" s="181"/>
      <c r="AB69" s="183" t="str">
        <f>IF(OR(AC69="Preventivo",AC69="Detectivo"),"Probabilidad",IF(AC69="Correctivo","Impacto",""))</f>
        <v/>
      </c>
      <c r="AC69" s="184"/>
      <c r="AD69" s="184"/>
      <c r="AE69" s="185" t="str">
        <f t="shared" si="81"/>
        <v/>
      </c>
      <c r="AF69" s="184"/>
      <c r="AG69" s="184"/>
      <c r="AH69" s="184"/>
      <c r="AI69" s="186" t="str">
        <f>IFERROR(IF(AND(AB68="Probabilidad",AB69="Probabilidad"),(AK68-(+AK68*AE69)),IF(AND(AB68="Impacto",AB69="Probabilidad"),(AK67-(+AK67*AE69)),IF(AB69="Impacto",AK68,""))),"")</f>
        <v/>
      </c>
      <c r="AJ69" s="187" t="str">
        <f t="shared" si="2"/>
        <v/>
      </c>
      <c r="AK69" s="185" t="str">
        <f t="shared" si="82"/>
        <v/>
      </c>
      <c r="AL69" s="187" t="str">
        <f t="shared" si="4"/>
        <v/>
      </c>
      <c r="AM69" s="185" t="str">
        <f t="shared" ref="AM69" si="85">IFERROR(IF(AND(AB68="Impacto",AB69="Impacto"),(AM68-(+AM68*AE69)),IF(AND(AB68="Probabilidad",AB69="Impacto"),(AM67-(+AM67*AE69)),IF(AB69="Probabilidad",AM68,""))),"")</f>
        <v/>
      </c>
      <c r="AN69" s="188" t="str">
        <f t="shared" si="84"/>
        <v/>
      </c>
      <c r="AO69" s="189"/>
      <c r="AP69" s="180"/>
      <c r="AQ69" s="190"/>
      <c r="AR69" s="190"/>
      <c r="AS69" s="191"/>
      <c r="AT69" s="329"/>
      <c r="AU69" s="329"/>
      <c r="AV69" s="329"/>
    </row>
    <row r="70" spans="1:48" ht="37.5" customHeight="1" x14ac:dyDescent="0.2">
      <c r="A70" s="342"/>
      <c r="B70" s="340"/>
      <c r="C70" s="340"/>
      <c r="D70" s="340"/>
      <c r="E70" s="340"/>
      <c r="F70" s="340"/>
      <c r="G70" s="322"/>
      <c r="H70" s="322"/>
      <c r="I70" s="322"/>
      <c r="J70" s="322"/>
      <c r="K70" s="322"/>
      <c r="L70" s="322"/>
      <c r="M70" s="216"/>
      <c r="N70" s="216"/>
      <c r="O70" s="216"/>
      <c r="P70" s="322"/>
      <c r="Q70" s="322"/>
      <c r="R70" s="329"/>
      <c r="S70" s="326"/>
      <c r="T70" s="325"/>
      <c r="U70" s="315"/>
      <c r="V70" s="325">
        <f>IF(NOT(ISERROR(MATCH(U70,_xlfn.ANCHORARRAY(F81),0))),U83&amp;"Por favor no seleccionar los criterios de impacto",U70)</f>
        <v>0</v>
      </c>
      <c r="W70" s="326"/>
      <c r="X70" s="325"/>
      <c r="Y70" s="324"/>
      <c r="Z70" s="208">
        <v>4</v>
      </c>
      <c r="AA70" s="181"/>
      <c r="AB70" s="183" t="str">
        <f t="shared" ref="AB70:AB72" si="86">IF(OR(AC70="Preventivo",AC70="Detectivo"),"Probabilidad",IF(AC70="Correctivo","Impacto",""))</f>
        <v/>
      </c>
      <c r="AC70" s="184"/>
      <c r="AD70" s="184"/>
      <c r="AE70" s="185" t="str">
        <f t="shared" si="81"/>
        <v/>
      </c>
      <c r="AF70" s="184"/>
      <c r="AG70" s="184"/>
      <c r="AH70" s="184"/>
      <c r="AI70" s="186" t="str">
        <f t="shared" ref="AI70:AI72" si="87">IFERROR(IF(AND(AB69="Probabilidad",AB70="Probabilidad"),(AK69-(+AK69*AE70)),IF(AND(AB69="Impacto",AB70="Probabilidad"),(AK68-(+AK68*AE70)),IF(AB70="Impacto",AK69,""))),"")</f>
        <v/>
      </c>
      <c r="AJ70" s="187" t="str">
        <f t="shared" si="2"/>
        <v/>
      </c>
      <c r="AK70" s="185" t="str">
        <f t="shared" si="82"/>
        <v/>
      </c>
      <c r="AL70" s="187" t="str">
        <f t="shared" si="4"/>
        <v/>
      </c>
      <c r="AM70" s="185" t="str">
        <f t="shared" si="13"/>
        <v/>
      </c>
      <c r="AN70" s="188" t="str">
        <f>IFERROR(IF(OR(AND(AJ70="Muy Baja",AL70="Leve"),AND(AJ70="Muy Baja",AL70="Menor"),AND(AJ70="Baja",AL70="Leve")),"Bajo",IF(OR(AND(AJ70="Muy baja",AL70="Moderado"),AND(AJ70="Baja",AL70="Menor"),AND(AJ70="Baja",AL70="Moderado"),AND(AJ70="Media",AL70="Leve"),AND(AJ70="Media",AL70="Menor"),AND(AJ70="Media",AL70="Moderado"),AND(AJ70="Alta",AL70="Leve"),AND(AJ70="Alta",AL70="Menor")),"Moderado",IF(OR(AND(AJ70="Muy Baja",AL70="Mayor"),AND(AJ70="Baja",AL70="Mayor"),AND(AJ70="Media",AL70="Mayor"),AND(AJ70="Alta",AL70="Moderado"),AND(AJ70="Alta",AL70="Mayor"),AND(AJ70="Muy Alta",AL70="Leve"),AND(AJ70="Muy Alta",AL70="Menor"),AND(AJ70="Muy Alta",AL70="Moderado"),AND(AJ70="Muy Alta",AL70="Mayor")),"Alto",IF(OR(AND(AJ70="Muy Baja",AL70="Catastrófico"),AND(AJ70="Baja",AL70="Catastrófico"),AND(AJ70="Media",AL70="Catastrófico"),AND(AJ70="Alta",AL70="Catastrófico"),AND(AJ70="Muy Alta",AL70="Catastrófico")),"Extremo","")))),"")</f>
        <v/>
      </c>
      <c r="AO70" s="189"/>
      <c r="AP70" s="180"/>
      <c r="AQ70" s="190"/>
      <c r="AR70" s="190"/>
      <c r="AS70" s="191"/>
      <c r="AT70" s="329"/>
      <c r="AU70" s="329"/>
      <c r="AV70" s="329"/>
    </row>
    <row r="71" spans="1:48" ht="37.5" customHeight="1" x14ac:dyDescent="0.2">
      <c r="A71" s="342"/>
      <c r="B71" s="340"/>
      <c r="C71" s="340"/>
      <c r="D71" s="340"/>
      <c r="E71" s="340"/>
      <c r="F71" s="340"/>
      <c r="G71" s="322"/>
      <c r="H71" s="322"/>
      <c r="I71" s="322"/>
      <c r="J71" s="322"/>
      <c r="K71" s="322"/>
      <c r="L71" s="322"/>
      <c r="M71" s="216"/>
      <c r="N71" s="216"/>
      <c r="O71" s="216"/>
      <c r="P71" s="322"/>
      <c r="Q71" s="322"/>
      <c r="R71" s="329"/>
      <c r="S71" s="326"/>
      <c r="T71" s="325"/>
      <c r="U71" s="315"/>
      <c r="V71" s="325">
        <f>IF(NOT(ISERROR(MATCH(U71,_xlfn.ANCHORARRAY(F82),0))),U84&amp;"Por favor no seleccionar los criterios de impacto",U71)</f>
        <v>0</v>
      </c>
      <c r="W71" s="326"/>
      <c r="X71" s="325"/>
      <c r="Y71" s="324"/>
      <c r="Z71" s="208">
        <v>5</v>
      </c>
      <c r="AA71" s="181"/>
      <c r="AB71" s="183" t="str">
        <f t="shared" si="86"/>
        <v/>
      </c>
      <c r="AC71" s="184"/>
      <c r="AD71" s="184"/>
      <c r="AE71" s="185" t="str">
        <f t="shared" si="81"/>
        <v/>
      </c>
      <c r="AF71" s="184"/>
      <c r="AG71" s="184"/>
      <c r="AH71" s="184"/>
      <c r="AI71" s="186" t="str">
        <f t="shared" si="87"/>
        <v/>
      </c>
      <c r="AJ71" s="187" t="str">
        <f t="shared" si="2"/>
        <v/>
      </c>
      <c r="AK71" s="185" t="str">
        <f t="shared" si="82"/>
        <v/>
      </c>
      <c r="AL71" s="187" t="str">
        <f t="shared" si="4"/>
        <v/>
      </c>
      <c r="AM71" s="185" t="str">
        <f t="shared" si="13"/>
        <v/>
      </c>
      <c r="AN71" s="188" t="str">
        <f t="shared" ref="AN71:AN72" si="88">IFERROR(IF(OR(AND(AJ71="Muy Baja",AL71="Leve"),AND(AJ71="Muy Baja",AL71="Menor"),AND(AJ71="Baja",AL71="Leve")),"Bajo",IF(OR(AND(AJ71="Muy baja",AL71="Moderado"),AND(AJ71="Baja",AL71="Menor"),AND(AJ71="Baja",AL71="Moderado"),AND(AJ71="Media",AL71="Leve"),AND(AJ71="Media",AL71="Menor"),AND(AJ71="Media",AL71="Moderado"),AND(AJ71="Alta",AL71="Leve"),AND(AJ71="Alta",AL71="Menor")),"Moderado",IF(OR(AND(AJ71="Muy Baja",AL71="Mayor"),AND(AJ71="Baja",AL71="Mayor"),AND(AJ71="Media",AL71="Mayor"),AND(AJ71="Alta",AL71="Moderado"),AND(AJ71="Alta",AL71="Mayor"),AND(AJ71="Muy Alta",AL71="Leve"),AND(AJ71="Muy Alta",AL71="Menor"),AND(AJ71="Muy Alta",AL71="Moderado"),AND(AJ71="Muy Alta",AL71="Mayor")),"Alto",IF(OR(AND(AJ71="Muy Baja",AL71="Catastrófico"),AND(AJ71="Baja",AL71="Catastrófico"),AND(AJ71="Media",AL71="Catastrófico"),AND(AJ71="Alta",AL71="Catastrófico"),AND(AJ71="Muy Alta",AL71="Catastrófico")),"Extremo","")))),"")</f>
        <v/>
      </c>
      <c r="AO71" s="189"/>
      <c r="AP71" s="180"/>
      <c r="AQ71" s="190"/>
      <c r="AR71" s="190"/>
      <c r="AS71" s="191"/>
      <c r="AT71" s="329"/>
      <c r="AU71" s="329"/>
      <c r="AV71" s="329"/>
    </row>
    <row r="72" spans="1:48" ht="37.5" customHeight="1" x14ac:dyDescent="0.2">
      <c r="A72" s="342"/>
      <c r="B72" s="340"/>
      <c r="C72" s="340"/>
      <c r="D72" s="340"/>
      <c r="E72" s="340"/>
      <c r="F72" s="340"/>
      <c r="G72" s="323"/>
      <c r="H72" s="323"/>
      <c r="I72" s="323"/>
      <c r="J72" s="323"/>
      <c r="K72" s="323"/>
      <c r="L72" s="323"/>
      <c r="M72" s="217"/>
      <c r="N72" s="217"/>
      <c r="O72" s="217"/>
      <c r="P72" s="323"/>
      <c r="Q72" s="323"/>
      <c r="R72" s="329"/>
      <c r="S72" s="326"/>
      <c r="T72" s="325"/>
      <c r="U72" s="315"/>
      <c r="V72" s="325">
        <f>IF(NOT(ISERROR(MATCH(U72,_xlfn.ANCHORARRAY(F83),0))),U85&amp;"Por favor no seleccionar los criterios de impacto",U72)</f>
        <v>0</v>
      </c>
      <c r="W72" s="326"/>
      <c r="X72" s="325"/>
      <c r="Y72" s="324"/>
      <c r="Z72" s="208">
        <v>6</v>
      </c>
      <c r="AA72" s="181"/>
      <c r="AB72" s="183" t="str">
        <f t="shared" si="86"/>
        <v/>
      </c>
      <c r="AC72" s="184"/>
      <c r="AD72" s="184"/>
      <c r="AE72" s="185" t="str">
        <f t="shared" si="81"/>
        <v/>
      </c>
      <c r="AF72" s="184"/>
      <c r="AG72" s="184"/>
      <c r="AH72" s="184"/>
      <c r="AI72" s="186" t="str">
        <f t="shared" si="87"/>
        <v/>
      </c>
      <c r="AJ72" s="187" t="str">
        <f t="shared" si="2"/>
        <v/>
      </c>
      <c r="AK72" s="185" t="str">
        <f t="shared" si="82"/>
        <v/>
      </c>
      <c r="AL72" s="187" t="str">
        <f t="shared" si="4"/>
        <v/>
      </c>
      <c r="AM72" s="185" t="str">
        <f t="shared" si="13"/>
        <v/>
      </c>
      <c r="AN72" s="188" t="str">
        <f t="shared" si="88"/>
        <v/>
      </c>
      <c r="AO72" s="189"/>
      <c r="AP72" s="180"/>
      <c r="AQ72" s="190"/>
      <c r="AR72" s="190"/>
      <c r="AS72" s="191"/>
      <c r="AT72" s="329"/>
      <c r="AU72" s="329"/>
      <c r="AV72" s="329"/>
    </row>
    <row r="73" spans="1:48" ht="49.5" customHeight="1" x14ac:dyDescent="0.2">
      <c r="A73" s="210"/>
      <c r="B73" s="349" t="s">
        <v>261</v>
      </c>
      <c r="C73" s="350"/>
      <c r="D73" s="350"/>
      <c r="E73" s="350"/>
      <c r="F73" s="350"/>
      <c r="G73" s="350"/>
      <c r="H73" s="350"/>
      <c r="I73" s="350"/>
      <c r="J73" s="350"/>
      <c r="K73" s="350"/>
      <c r="L73" s="350"/>
      <c r="M73" s="350"/>
      <c r="N73" s="350"/>
      <c r="O73" s="350"/>
      <c r="P73" s="350"/>
      <c r="Q73" s="350"/>
      <c r="R73" s="350"/>
      <c r="S73" s="350"/>
      <c r="T73" s="350"/>
      <c r="U73" s="350"/>
      <c r="V73" s="350"/>
      <c r="W73" s="350"/>
      <c r="X73" s="350"/>
      <c r="Y73" s="350"/>
      <c r="Z73" s="350"/>
      <c r="AA73" s="350"/>
      <c r="AB73" s="350"/>
      <c r="AC73" s="350"/>
      <c r="AD73" s="350"/>
      <c r="AE73" s="350"/>
      <c r="AF73" s="350"/>
      <c r="AG73" s="350"/>
      <c r="AH73" s="350"/>
      <c r="AI73" s="350"/>
      <c r="AJ73" s="350"/>
      <c r="AK73" s="350"/>
      <c r="AL73" s="350"/>
      <c r="AM73" s="350"/>
      <c r="AN73" s="350"/>
      <c r="AO73" s="350"/>
      <c r="AP73" s="350"/>
      <c r="AQ73" s="350"/>
      <c r="AR73" s="350"/>
      <c r="AS73" s="350"/>
      <c r="AT73" s="350"/>
    </row>
    <row r="75" spans="1:48" ht="15.75" x14ac:dyDescent="0.2">
      <c r="A75" s="192"/>
      <c r="B75" s="200" t="s">
        <v>262</v>
      </c>
      <c r="C75" s="192"/>
      <c r="D75" s="192"/>
      <c r="E75" s="192"/>
      <c r="R75" s="192"/>
    </row>
  </sheetData>
  <dataConsolidate/>
  <mergeCells count="343">
    <mergeCell ref="C6:T6"/>
    <mergeCell ref="W6:Y6"/>
    <mergeCell ref="Z6:AR6"/>
    <mergeCell ref="C7:T7"/>
    <mergeCell ref="Z7:AR7"/>
    <mergeCell ref="C8:T8"/>
    <mergeCell ref="Z8:AR8"/>
    <mergeCell ref="A6:B6"/>
    <mergeCell ref="A7:B7"/>
    <mergeCell ref="A8:B8"/>
    <mergeCell ref="A1:C4"/>
    <mergeCell ref="D1:T2"/>
    <mergeCell ref="X1:AR2"/>
    <mergeCell ref="D3:I3"/>
    <mergeCell ref="J3:T3"/>
    <mergeCell ref="X3:AL3"/>
    <mergeCell ref="AM3:AR3"/>
    <mergeCell ref="D4:T4"/>
    <mergeCell ref="X4:AR4"/>
    <mergeCell ref="K10:O10"/>
    <mergeCell ref="P10:Q10"/>
    <mergeCell ref="T10:Z10"/>
    <mergeCell ref="AA10:AI10"/>
    <mergeCell ref="AJ10:AN10"/>
    <mergeCell ref="AO10:AS10"/>
    <mergeCell ref="AT10:AV10"/>
    <mergeCell ref="A11:A12"/>
    <mergeCell ref="B11:B12"/>
    <mergeCell ref="C11:C12"/>
    <mergeCell ref="D11:D12"/>
    <mergeCell ref="E11:E12"/>
    <mergeCell ref="F11:F12"/>
    <mergeCell ref="K11:K12"/>
    <mergeCell ref="L11:L12"/>
    <mergeCell ref="M11:M12"/>
    <mergeCell ref="I11:I12"/>
    <mergeCell ref="J11:J12"/>
    <mergeCell ref="AS11:AS12"/>
    <mergeCell ref="AT11:AT12"/>
    <mergeCell ref="AU11:AU12"/>
    <mergeCell ref="AA11:AA12"/>
    <mergeCell ref="N11:N12"/>
    <mergeCell ref="O11:O12"/>
    <mergeCell ref="V11:V12"/>
    <mergeCell ref="W11:W12"/>
    <mergeCell ref="R11:R12"/>
    <mergeCell ref="S11:S12"/>
    <mergeCell ref="T11:T12"/>
    <mergeCell ref="U11:U12"/>
    <mergeCell ref="X11:X12"/>
    <mergeCell ref="Y11:Y12"/>
    <mergeCell ref="Z11:Z12"/>
    <mergeCell ref="AM11:AM12"/>
    <mergeCell ref="AN11:AN12"/>
    <mergeCell ref="AO11:AO12"/>
    <mergeCell ref="AB11:AB12"/>
    <mergeCell ref="AC11:AH11"/>
    <mergeCell ref="AI11:AI12"/>
    <mergeCell ref="AJ11:AJ12"/>
    <mergeCell ref="AK11:AK12"/>
    <mergeCell ref="AL11:AL12"/>
    <mergeCell ref="R13:R18"/>
    <mergeCell ref="S13:S18"/>
    <mergeCell ref="T13:T18"/>
    <mergeCell ref="U13:U18"/>
    <mergeCell ref="V13:V18"/>
    <mergeCell ref="Y13:Y18"/>
    <mergeCell ref="AT13:AT18"/>
    <mergeCell ref="AU13:AU18"/>
    <mergeCell ref="A13:A18"/>
    <mergeCell ref="B13:B18"/>
    <mergeCell ref="C13:C18"/>
    <mergeCell ref="D13:D18"/>
    <mergeCell ref="E13:E18"/>
    <mergeCell ref="F13:F18"/>
    <mergeCell ref="G13:G18"/>
    <mergeCell ref="H13:H18"/>
    <mergeCell ref="I13:I18"/>
    <mergeCell ref="J13:J18"/>
    <mergeCell ref="AV11:AV12"/>
    <mergeCell ref="AP11:AP12"/>
    <mergeCell ref="AQ11:AQ12"/>
    <mergeCell ref="AR11:AR12"/>
    <mergeCell ref="K19:K24"/>
    <mergeCell ref="L19:L24"/>
    <mergeCell ref="M19:M24"/>
    <mergeCell ref="N19:N24"/>
    <mergeCell ref="O19:O24"/>
    <mergeCell ref="P19:P24"/>
    <mergeCell ref="AT19:AT24"/>
    <mergeCell ref="AU19:AU24"/>
    <mergeCell ref="AV19:AV24"/>
    <mergeCell ref="Y19:Y24"/>
    <mergeCell ref="K13:K18"/>
    <mergeCell ref="L13:L18"/>
    <mergeCell ref="M13:M18"/>
    <mergeCell ref="N13:N18"/>
    <mergeCell ref="O13:O18"/>
    <mergeCell ref="P13:P18"/>
    <mergeCell ref="W13:W18"/>
    <mergeCell ref="X13:X18"/>
    <mergeCell ref="AV13:AV18"/>
    <mergeCell ref="Q13:Q18"/>
    <mergeCell ref="A19:A24"/>
    <mergeCell ref="B19:B24"/>
    <mergeCell ref="C19:C24"/>
    <mergeCell ref="D19:D24"/>
    <mergeCell ref="E19:E24"/>
    <mergeCell ref="F19:F24"/>
    <mergeCell ref="W19:W24"/>
    <mergeCell ref="X19:X24"/>
    <mergeCell ref="Q19:Q24"/>
    <mergeCell ref="R19:R24"/>
    <mergeCell ref="S19:S24"/>
    <mergeCell ref="T19:T24"/>
    <mergeCell ref="U19:U24"/>
    <mergeCell ref="V19:V24"/>
    <mergeCell ref="G19:G24"/>
    <mergeCell ref="H19:H24"/>
    <mergeCell ref="I19:I24"/>
    <mergeCell ref="J19:J24"/>
    <mergeCell ref="K25:K30"/>
    <mergeCell ref="L25:L30"/>
    <mergeCell ref="M25:M30"/>
    <mergeCell ref="N25:N30"/>
    <mergeCell ref="O25:O30"/>
    <mergeCell ref="P25:P30"/>
    <mergeCell ref="A25:A30"/>
    <mergeCell ref="B25:B30"/>
    <mergeCell ref="C25:C30"/>
    <mergeCell ref="D25:D30"/>
    <mergeCell ref="E25:E30"/>
    <mergeCell ref="F25:F30"/>
    <mergeCell ref="G25:G30"/>
    <mergeCell ref="H25:H30"/>
    <mergeCell ref="I25:I30"/>
    <mergeCell ref="J25:J30"/>
    <mergeCell ref="W25:W30"/>
    <mergeCell ref="X25:X30"/>
    <mergeCell ref="Y25:Y30"/>
    <mergeCell ref="AT25:AT30"/>
    <mergeCell ref="AU25:AU30"/>
    <mergeCell ref="AV25:AV30"/>
    <mergeCell ref="Q25:Q30"/>
    <mergeCell ref="R25:R30"/>
    <mergeCell ref="S25:S30"/>
    <mergeCell ref="T25:T30"/>
    <mergeCell ref="U25:U30"/>
    <mergeCell ref="V25:V30"/>
    <mergeCell ref="K31:K36"/>
    <mergeCell ref="L31:L36"/>
    <mergeCell ref="M31:M36"/>
    <mergeCell ref="N31:N36"/>
    <mergeCell ref="O31:O36"/>
    <mergeCell ref="P31:P36"/>
    <mergeCell ref="A31:A36"/>
    <mergeCell ref="B31:B36"/>
    <mergeCell ref="C31:C36"/>
    <mergeCell ref="D31:D36"/>
    <mergeCell ref="E31:E36"/>
    <mergeCell ref="F31:F36"/>
    <mergeCell ref="G31:G36"/>
    <mergeCell ref="H31:H36"/>
    <mergeCell ref="I31:I36"/>
    <mergeCell ref="J31:J36"/>
    <mergeCell ref="W31:W36"/>
    <mergeCell ref="X31:X36"/>
    <mergeCell ref="Y31:Y36"/>
    <mergeCell ref="AT31:AT36"/>
    <mergeCell ref="AU31:AU36"/>
    <mergeCell ref="AV31:AV36"/>
    <mergeCell ref="Q31:Q36"/>
    <mergeCell ref="R31:R36"/>
    <mergeCell ref="S31:S36"/>
    <mergeCell ref="T31:T36"/>
    <mergeCell ref="U31:U36"/>
    <mergeCell ref="V31:V36"/>
    <mergeCell ref="K37:K42"/>
    <mergeCell ref="L37:L42"/>
    <mergeCell ref="M37:M42"/>
    <mergeCell ref="N37:N42"/>
    <mergeCell ref="O37:O42"/>
    <mergeCell ref="P37:P42"/>
    <mergeCell ref="A37:A42"/>
    <mergeCell ref="B37:B42"/>
    <mergeCell ref="C37:C42"/>
    <mergeCell ref="D37:D42"/>
    <mergeCell ref="E37:E42"/>
    <mergeCell ref="F37:F42"/>
    <mergeCell ref="G37:G42"/>
    <mergeCell ref="H37:H42"/>
    <mergeCell ref="I37:I42"/>
    <mergeCell ref="J37:J42"/>
    <mergeCell ref="W37:W42"/>
    <mergeCell ref="X37:X42"/>
    <mergeCell ref="Y37:Y42"/>
    <mergeCell ref="AT37:AT42"/>
    <mergeCell ref="AU37:AU42"/>
    <mergeCell ref="AV37:AV42"/>
    <mergeCell ref="Q37:Q42"/>
    <mergeCell ref="R37:R42"/>
    <mergeCell ref="S37:S42"/>
    <mergeCell ref="T37:T42"/>
    <mergeCell ref="U37:U42"/>
    <mergeCell ref="V37:V42"/>
    <mergeCell ref="K43:K48"/>
    <mergeCell ref="L43:L48"/>
    <mergeCell ref="M43:M48"/>
    <mergeCell ref="N43:N48"/>
    <mergeCell ref="O43:O48"/>
    <mergeCell ref="P43:P48"/>
    <mergeCell ref="A43:A48"/>
    <mergeCell ref="B43:B48"/>
    <mergeCell ref="C43:C48"/>
    <mergeCell ref="D43:D48"/>
    <mergeCell ref="E43:E48"/>
    <mergeCell ref="F43:F48"/>
    <mergeCell ref="G43:G48"/>
    <mergeCell ref="H43:H48"/>
    <mergeCell ref="I43:I48"/>
    <mergeCell ref="J43:J48"/>
    <mergeCell ref="W43:W48"/>
    <mergeCell ref="X43:X48"/>
    <mergeCell ref="Y43:Y48"/>
    <mergeCell ref="AT43:AT48"/>
    <mergeCell ref="AU43:AU48"/>
    <mergeCell ref="AV43:AV48"/>
    <mergeCell ref="Q43:Q48"/>
    <mergeCell ref="R43:R48"/>
    <mergeCell ref="S43:S48"/>
    <mergeCell ref="T43:T48"/>
    <mergeCell ref="U43:U48"/>
    <mergeCell ref="V43:V48"/>
    <mergeCell ref="K49:K54"/>
    <mergeCell ref="L49:L54"/>
    <mergeCell ref="M49:M54"/>
    <mergeCell ref="N49:N54"/>
    <mergeCell ref="O49:O54"/>
    <mergeCell ref="P49:P54"/>
    <mergeCell ref="A49:A54"/>
    <mergeCell ref="B49:B54"/>
    <mergeCell ref="C49:C54"/>
    <mergeCell ref="D49:D54"/>
    <mergeCell ref="E49:E54"/>
    <mergeCell ref="F49:F54"/>
    <mergeCell ref="G49:G54"/>
    <mergeCell ref="H49:H54"/>
    <mergeCell ref="I49:I54"/>
    <mergeCell ref="J49:J54"/>
    <mergeCell ref="W49:W54"/>
    <mergeCell ref="X49:X54"/>
    <mergeCell ref="Y49:Y54"/>
    <mergeCell ref="AT49:AT54"/>
    <mergeCell ref="AU49:AU54"/>
    <mergeCell ref="AV49:AV54"/>
    <mergeCell ref="Q49:Q54"/>
    <mergeCell ref="R49:R54"/>
    <mergeCell ref="S49:S54"/>
    <mergeCell ref="T49:T54"/>
    <mergeCell ref="U49:U54"/>
    <mergeCell ref="V49:V54"/>
    <mergeCell ref="K55:K60"/>
    <mergeCell ref="L55:L60"/>
    <mergeCell ref="M55:M60"/>
    <mergeCell ref="N55:N60"/>
    <mergeCell ref="O55:O60"/>
    <mergeCell ref="P55:P60"/>
    <mergeCell ref="A55:A60"/>
    <mergeCell ref="B55:B60"/>
    <mergeCell ref="C55:C60"/>
    <mergeCell ref="D55:D60"/>
    <mergeCell ref="E55:E60"/>
    <mergeCell ref="F55:F60"/>
    <mergeCell ref="G55:G60"/>
    <mergeCell ref="H55:H60"/>
    <mergeCell ref="I55:I60"/>
    <mergeCell ref="J55:J60"/>
    <mergeCell ref="W55:W60"/>
    <mergeCell ref="X55:X60"/>
    <mergeCell ref="Y55:Y60"/>
    <mergeCell ref="AT55:AT60"/>
    <mergeCell ref="AU55:AU60"/>
    <mergeCell ref="AV55:AV60"/>
    <mergeCell ref="Q55:Q60"/>
    <mergeCell ref="R55:R60"/>
    <mergeCell ref="S55:S60"/>
    <mergeCell ref="T55:T60"/>
    <mergeCell ref="U55:U60"/>
    <mergeCell ref="V55:V60"/>
    <mergeCell ref="Y61:Y66"/>
    <mergeCell ref="K61:K66"/>
    <mergeCell ref="L61:L66"/>
    <mergeCell ref="P61:P66"/>
    <mergeCell ref="Q61:Q66"/>
    <mergeCell ref="R61:R66"/>
    <mergeCell ref="S61:S66"/>
    <mergeCell ref="A61:A66"/>
    <mergeCell ref="B61:B66"/>
    <mergeCell ref="C61:C66"/>
    <mergeCell ref="D61:D66"/>
    <mergeCell ref="E61:E66"/>
    <mergeCell ref="F61:F66"/>
    <mergeCell ref="D67:D72"/>
    <mergeCell ref="E67:E72"/>
    <mergeCell ref="F67:F72"/>
    <mergeCell ref="K67:K72"/>
    <mergeCell ref="T61:T66"/>
    <mergeCell ref="U61:U66"/>
    <mergeCell ref="V61:V66"/>
    <mergeCell ref="W61:W66"/>
    <mergeCell ref="X61:X66"/>
    <mergeCell ref="G67:G72"/>
    <mergeCell ref="H67:H72"/>
    <mergeCell ref="I67:I72"/>
    <mergeCell ref="J67:J72"/>
    <mergeCell ref="G61:G66"/>
    <mergeCell ref="H61:H66"/>
    <mergeCell ref="I61:I66"/>
    <mergeCell ref="J61:J66"/>
    <mergeCell ref="AU67:AU72"/>
    <mergeCell ref="AV67:AV72"/>
    <mergeCell ref="B73:AT73"/>
    <mergeCell ref="A10:J10"/>
    <mergeCell ref="G11:G12"/>
    <mergeCell ref="H11:H12"/>
    <mergeCell ref="U67:U72"/>
    <mergeCell ref="V67:V72"/>
    <mergeCell ref="W67:W72"/>
    <mergeCell ref="X67:X72"/>
    <mergeCell ref="Y67:Y72"/>
    <mergeCell ref="AT67:AT72"/>
    <mergeCell ref="L67:L72"/>
    <mergeCell ref="P67:P72"/>
    <mergeCell ref="Q67:Q72"/>
    <mergeCell ref="R67:R72"/>
    <mergeCell ref="S67:S72"/>
    <mergeCell ref="T67:T72"/>
    <mergeCell ref="AT61:AT66"/>
    <mergeCell ref="AU61:AU66"/>
    <mergeCell ref="AV61:AV66"/>
    <mergeCell ref="A67:A72"/>
    <mergeCell ref="B67:B72"/>
    <mergeCell ref="C67:C72"/>
  </mergeCells>
  <conditionalFormatting sqref="S13 S19">
    <cfRule type="cellIs" dxfId="238" priority="227" operator="equal">
      <formula>"Muy Alta"</formula>
    </cfRule>
    <cfRule type="cellIs" dxfId="237" priority="228" operator="equal">
      <formula>"Alta"</formula>
    </cfRule>
    <cfRule type="cellIs" dxfId="236" priority="229" operator="equal">
      <formula>"Media"</formula>
    </cfRule>
    <cfRule type="cellIs" dxfId="235" priority="230" operator="equal">
      <formula>"Baja"</formula>
    </cfRule>
    <cfRule type="cellIs" dxfId="234" priority="231" operator="equal">
      <formula>"Muy Baja"</formula>
    </cfRule>
  </conditionalFormatting>
  <conditionalFormatting sqref="W13 W19 W25 W31 W37 W43 W49 W55 W61 W67">
    <cfRule type="cellIs" dxfId="233" priority="222" operator="equal">
      <formula>"Catastrófico"</formula>
    </cfRule>
    <cfRule type="cellIs" dxfId="232" priority="223" operator="equal">
      <formula>"Mayor"</formula>
    </cfRule>
    <cfRule type="cellIs" dxfId="231" priority="224" operator="equal">
      <formula>"Moderado"</formula>
    </cfRule>
    <cfRule type="cellIs" dxfId="230" priority="225" operator="equal">
      <formula>"Menor"</formula>
    </cfRule>
    <cfRule type="cellIs" dxfId="229" priority="226" operator="equal">
      <formula>"Leve"</formula>
    </cfRule>
  </conditionalFormatting>
  <conditionalFormatting sqref="Y13">
    <cfRule type="cellIs" dxfId="228" priority="218" operator="equal">
      <formula>"Extremo"</formula>
    </cfRule>
    <cfRule type="cellIs" dxfId="227" priority="219" operator="equal">
      <formula>"Alto"</formula>
    </cfRule>
    <cfRule type="cellIs" dxfId="226" priority="220" operator="equal">
      <formula>"Moderado"</formula>
    </cfRule>
    <cfRule type="cellIs" dxfId="225" priority="221" operator="equal">
      <formula>"Bajo"</formula>
    </cfRule>
  </conditionalFormatting>
  <conditionalFormatting sqref="AJ13:AJ18">
    <cfRule type="cellIs" dxfId="224" priority="213" operator="equal">
      <formula>"Muy Alta"</formula>
    </cfRule>
    <cfRule type="cellIs" dxfId="223" priority="214" operator="equal">
      <formula>"Alta"</formula>
    </cfRule>
    <cfRule type="cellIs" dxfId="222" priority="215" operator="equal">
      <formula>"Media"</formula>
    </cfRule>
    <cfRule type="cellIs" dxfId="221" priority="216" operator="equal">
      <formula>"Baja"</formula>
    </cfRule>
    <cfRule type="cellIs" dxfId="220" priority="217" operator="equal">
      <formula>"Muy Baja"</formula>
    </cfRule>
  </conditionalFormatting>
  <conditionalFormatting sqref="AL13:AL18">
    <cfRule type="cellIs" dxfId="219" priority="208" operator="equal">
      <formula>"Catastrófico"</formula>
    </cfRule>
    <cfRule type="cellIs" dxfId="218" priority="209" operator="equal">
      <formula>"Mayor"</formula>
    </cfRule>
    <cfRule type="cellIs" dxfId="217" priority="210" operator="equal">
      <formula>"Moderado"</formula>
    </cfRule>
    <cfRule type="cellIs" dxfId="216" priority="211" operator="equal">
      <formula>"Menor"</formula>
    </cfRule>
    <cfRule type="cellIs" dxfId="215" priority="212" operator="equal">
      <formula>"Leve"</formula>
    </cfRule>
  </conditionalFormatting>
  <conditionalFormatting sqref="AN13:AN18">
    <cfRule type="cellIs" dxfId="214" priority="204" operator="equal">
      <formula>"Extremo"</formula>
    </cfRule>
    <cfRule type="cellIs" dxfId="213" priority="205" operator="equal">
      <formula>"Alto"</formula>
    </cfRule>
    <cfRule type="cellIs" dxfId="212" priority="206" operator="equal">
      <formula>"Moderado"</formula>
    </cfRule>
    <cfRule type="cellIs" dxfId="211" priority="207" operator="equal">
      <formula>"Bajo"</formula>
    </cfRule>
  </conditionalFormatting>
  <conditionalFormatting sqref="S61">
    <cfRule type="cellIs" dxfId="210" priority="48" operator="equal">
      <formula>"Muy Alta"</formula>
    </cfRule>
    <cfRule type="cellIs" dxfId="209" priority="49" operator="equal">
      <formula>"Alta"</formula>
    </cfRule>
    <cfRule type="cellIs" dxfId="208" priority="50" operator="equal">
      <formula>"Media"</formula>
    </cfRule>
    <cfRule type="cellIs" dxfId="207" priority="51" operator="equal">
      <formula>"Baja"</formula>
    </cfRule>
    <cfRule type="cellIs" dxfId="206" priority="52" operator="equal">
      <formula>"Muy Baja"</formula>
    </cfRule>
  </conditionalFormatting>
  <conditionalFormatting sqref="Y19">
    <cfRule type="cellIs" dxfId="205" priority="200" operator="equal">
      <formula>"Extremo"</formula>
    </cfRule>
    <cfRule type="cellIs" dxfId="204" priority="201" operator="equal">
      <formula>"Alto"</formula>
    </cfRule>
    <cfRule type="cellIs" dxfId="203" priority="202" operator="equal">
      <formula>"Moderado"</formula>
    </cfRule>
    <cfRule type="cellIs" dxfId="202" priority="203" operator="equal">
      <formula>"Bajo"</formula>
    </cfRule>
  </conditionalFormatting>
  <conditionalFormatting sqref="AJ19:AJ24">
    <cfRule type="cellIs" dxfId="201" priority="195" operator="equal">
      <formula>"Muy Alta"</formula>
    </cfRule>
    <cfRule type="cellIs" dxfId="200" priority="196" operator="equal">
      <formula>"Alta"</formula>
    </cfRule>
    <cfRule type="cellIs" dxfId="199" priority="197" operator="equal">
      <formula>"Media"</formula>
    </cfRule>
    <cfRule type="cellIs" dxfId="198" priority="198" operator="equal">
      <formula>"Baja"</formula>
    </cfRule>
    <cfRule type="cellIs" dxfId="197" priority="199" operator="equal">
      <formula>"Muy Baja"</formula>
    </cfRule>
  </conditionalFormatting>
  <conditionalFormatting sqref="AL19:AL24">
    <cfRule type="cellIs" dxfId="196" priority="190" operator="equal">
      <formula>"Catastrófico"</formula>
    </cfRule>
    <cfRule type="cellIs" dxfId="195" priority="191" operator="equal">
      <formula>"Mayor"</formula>
    </cfRule>
    <cfRule type="cellIs" dxfId="194" priority="192" operator="equal">
      <formula>"Moderado"</formula>
    </cfRule>
    <cfRule type="cellIs" dxfId="193" priority="193" operator="equal">
      <formula>"Menor"</formula>
    </cfRule>
    <cfRule type="cellIs" dxfId="192" priority="194" operator="equal">
      <formula>"Leve"</formula>
    </cfRule>
  </conditionalFormatting>
  <conditionalFormatting sqref="AN19:AN24">
    <cfRule type="cellIs" dxfId="191" priority="186" operator="equal">
      <formula>"Extremo"</formula>
    </cfRule>
    <cfRule type="cellIs" dxfId="190" priority="187" operator="equal">
      <formula>"Alto"</formula>
    </cfRule>
    <cfRule type="cellIs" dxfId="189" priority="188" operator="equal">
      <formula>"Moderado"</formula>
    </cfRule>
    <cfRule type="cellIs" dxfId="188" priority="189" operator="equal">
      <formula>"Bajo"</formula>
    </cfRule>
  </conditionalFormatting>
  <conditionalFormatting sqref="S25">
    <cfRule type="cellIs" dxfId="187" priority="181" operator="equal">
      <formula>"Muy Alta"</formula>
    </cfRule>
    <cfRule type="cellIs" dxfId="186" priority="182" operator="equal">
      <formula>"Alta"</formula>
    </cfRule>
    <cfRule type="cellIs" dxfId="185" priority="183" operator="equal">
      <formula>"Media"</formula>
    </cfRule>
    <cfRule type="cellIs" dxfId="184" priority="184" operator="equal">
      <formula>"Baja"</formula>
    </cfRule>
    <cfRule type="cellIs" dxfId="183" priority="185" operator="equal">
      <formula>"Muy Baja"</formula>
    </cfRule>
  </conditionalFormatting>
  <conditionalFormatting sqref="Y25">
    <cfRule type="cellIs" dxfId="182" priority="177" operator="equal">
      <formula>"Extremo"</formula>
    </cfRule>
    <cfRule type="cellIs" dxfId="181" priority="178" operator="equal">
      <formula>"Alto"</formula>
    </cfRule>
    <cfRule type="cellIs" dxfId="180" priority="179" operator="equal">
      <formula>"Moderado"</formula>
    </cfRule>
    <cfRule type="cellIs" dxfId="179" priority="180" operator="equal">
      <formula>"Bajo"</formula>
    </cfRule>
  </conditionalFormatting>
  <conditionalFormatting sqref="AJ25:AJ30">
    <cfRule type="cellIs" dxfId="178" priority="172" operator="equal">
      <formula>"Muy Alta"</formula>
    </cfRule>
    <cfRule type="cellIs" dxfId="177" priority="173" operator="equal">
      <formula>"Alta"</formula>
    </cfRule>
    <cfRule type="cellIs" dxfId="176" priority="174" operator="equal">
      <formula>"Media"</formula>
    </cfRule>
    <cfRule type="cellIs" dxfId="175" priority="175" operator="equal">
      <formula>"Baja"</formula>
    </cfRule>
    <cfRule type="cellIs" dxfId="174" priority="176" operator="equal">
      <formula>"Muy Baja"</formula>
    </cfRule>
  </conditionalFormatting>
  <conditionalFormatting sqref="AL25:AL30">
    <cfRule type="cellIs" dxfId="173" priority="167" operator="equal">
      <formula>"Catastrófico"</formula>
    </cfRule>
    <cfRule type="cellIs" dxfId="172" priority="168" operator="equal">
      <formula>"Mayor"</formula>
    </cfRule>
    <cfRule type="cellIs" dxfId="171" priority="169" operator="equal">
      <formula>"Moderado"</formula>
    </cfRule>
    <cfRule type="cellIs" dxfId="170" priority="170" operator="equal">
      <formula>"Menor"</formula>
    </cfRule>
    <cfRule type="cellIs" dxfId="169" priority="171" operator="equal">
      <formula>"Leve"</formula>
    </cfRule>
  </conditionalFormatting>
  <conditionalFormatting sqref="AN25:AN30">
    <cfRule type="cellIs" dxfId="168" priority="163" operator="equal">
      <formula>"Extremo"</formula>
    </cfRule>
    <cfRule type="cellIs" dxfId="167" priority="164" operator="equal">
      <formula>"Alto"</formula>
    </cfRule>
    <cfRule type="cellIs" dxfId="166" priority="165" operator="equal">
      <formula>"Moderado"</formula>
    </cfRule>
    <cfRule type="cellIs" dxfId="165" priority="166" operator="equal">
      <formula>"Bajo"</formula>
    </cfRule>
  </conditionalFormatting>
  <conditionalFormatting sqref="S31">
    <cfRule type="cellIs" dxfId="164" priority="158" operator="equal">
      <formula>"Muy Alta"</formula>
    </cfRule>
    <cfRule type="cellIs" dxfId="163" priority="159" operator="equal">
      <formula>"Alta"</formula>
    </cfRule>
    <cfRule type="cellIs" dxfId="162" priority="160" operator="equal">
      <formula>"Media"</formula>
    </cfRule>
    <cfRule type="cellIs" dxfId="161" priority="161" operator="equal">
      <formula>"Baja"</formula>
    </cfRule>
    <cfRule type="cellIs" dxfId="160" priority="162" operator="equal">
      <formula>"Muy Baja"</formula>
    </cfRule>
  </conditionalFormatting>
  <conditionalFormatting sqref="Y31">
    <cfRule type="cellIs" dxfId="159" priority="154" operator="equal">
      <formula>"Extremo"</formula>
    </cfRule>
    <cfRule type="cellIs" dxfId="158" priority="155" operator="equal">
      <formula>"Alto"</formula>
    </cfRule>
    <cfRule type="cellIs" dxfId="157" priority="156" operator="equal">
      <formula>"Moderado"</formula>
    </cfRule>
    <cfRule type="cellIs" dxfId="156" priority="157" operator="equal">
      <formula>"Bajo"</formula>
    </cfRule>
  </conditionalFormatting>
  <conditionalFormatting sqref="AJ31:AJ36">
    <cfRule type="cellIs" dxfId="155" priority="149" operator="equal">
      <formula>"Muy Alta"</formula>
    </cfRule>
    <cfRule type="cellIs" dxfId="154" priority="150" operator="equal">
      <formula>"Alta"</formula>
    </cfRule>
    <cfRule type="cellIs" dxfId="153" priority="151" operator="equal">
      <formula>"Media"</formula>
    </cfRule>
    <cfRule type="cellIs" dxfId="152" priority="152" operator="equal">
      <formula>"Baja"</formula>
    </cfRule>
    <cfRule type="cellIs" dxfId="151" priority="153" operator="equal">
      <formula>"Muy Baja"</formula>
    </cfRule>
  </conditionalFormatting>
  <conditionalFormatting sqref="AL31:AL36">
    <cfRule type="cellIs" dxfId="150" priority="144" operator="equal">
      <formula>"Catastrófico"</formula>
    </cfRule>
    <cfRule type="cellIs" dxfId="149" priority="145" operator="equal">
      <formula>"Mayor"</formula>
    </cfRule>
    <cfRule type="cellIs" dxfId="148" priority="146" operator="equal">
      <formula>"Moderado"</formula>
    </cfRule>
    <cfRule type="cellIs" dxfId="147" priority="147" operator="equal">
      <formula>"Menor"</formula>
    </cfRule>
    <cfRule type="cellIs" dxfId="146" priority="148" operator="equal">
      <formula>"Leve"</formula>
    </cfRule>
  </conditionalFormatting>
  <conditionalFormatting sqref="AN31:AN36">
    <cfRule type="cellIs" dxfId="145" priority="140" operator="equal">
      <formula>"Extremo"</formula>
    </cfRule>
    <cfRule type="cellIs" dxfId="144" priority="141" operator="equal">
      <formula>"Alto"</formula>
    </cfRule>
    <cfRule type="cellIs" dxfId="143" priority="142" operator="equal">
      <formula>"Moderado"</formula>
    </cfRule>
    <cfRule type="cellIs" dxfId="142" priority="143" operator="equal">
      <formula>"Bajo"</formula>
    </cfRule>
  </conditionalFormatting>
  <conditionalFormatting sqref="S37">
    <cfRule type="cellIs" dxfId="141" priority="135" operator="equal">
      <formula>"Muy Alta"</formula>
    </cfRule>
    <cfRule type="cellIs" dxfId="140" priority="136" operator="equal">
      <formula>"Alta"</formula>
    </cfRule>
    <cfRule type="cellIs" dxfId="139" priority="137" operator="equal">
      <formula>"Media"</formula>
    </cfRule>
    <cfRule type="cellIs" dxfId="138" priority="138" operator="equal">
      <formula>"Baja"</formula>
    </cfRule>
    <cfRule type="cellIs" dxfId="137" priority="139" operator="equal">
      <formula>"Muy Baja"</formula>
    </cfRule>
  </conditionalFormatting>
  <conditionalFormatting sqref="Y37">
    <cfRule type="cellIs" dxfId="136" priority="131" operator="equal">
      <formula>"Extremo"</formula>
    </cfRule>
    <cfRule type="cellIs" dxfId="135" priority="132" operator="equal">
      <formula>"Alto"</formula>
    </cfRule>
    <cfRule type="cellIs" dxfId="134" priority="133" operator="equal">
      <formula>"Moderado"</formula>
    </cfRule>
    <cfRule type="cellIs" dxfId="133" priority="134" operator="equal">
      <formula>"Bajo"</formula>
    </cfRule>
  </conditionalFormatting>
  <conditionalFormatting sqref="AJ37:AJ42">
    <cfRule type="cellIs" dxfId="132" priority="126" operator="equal">
      <formula>"Muy Alta"</formula>
    </cfRule>
    <cfRule type="cellIs" dxfId="131" priority="127" operator="equal">
      <formula>"Alta"</formula>
    </cfRule>
    <cfRule type="cellIs" dxfId="130" priority="128" operator="equal">
      <formula>"Media"</formula>
    </cfRule>
    <cfRule type="cellIs" dxfId="129" priority="129" operator="equal">
      <formula>"Baja"</formula>
    </cfRule>
    <cfRule type="cellIs" dxfId="128" priority="130" operator="equal">
      <formula>"Muy Baja"</formula>
    </cfRule>
  </conditionalFormatting>
  <conditionalFormatting sqref="AL37:AL42">
    <cfRule type="cellIs" dxfId="127" priority="121" operator="equal">
      <formula>"Catastrófico"</formula>
    </cfRule>
    <cfRule type="cellIs" dxfId="126" priority="122" operator="equal">
      <formula>"Mayor"</formula>
    </cfRule>
    <cfRule type="cellIs" dxfId="125" priority="123" operator="equal">
      <formula>"Moderado"</formula>
    </cfRule>
    <cfRule type="cellIs" dxfId="124" priority="124" operator="equal">
      <formula>"Menor"</formula>
    </cfRule>
    <cfRule type="cellIs" dxfId="123" priority="125" operator="equal">
      <formula>"Leve"</formula>
    </cfRule>
  </conditionalFormatting>
  <conditionalFormatting sqref="AN37:AN42">
    <cfRule type="cellIs" dxfId="122" priority="117" operator="equal">
      <formula>"Extremo"</formula>
    </cfRule>
    <cfRule type="cellIs" dxfId="121" priority="118" operator="equal">
      <formula>"Alto"</formula>
    </cfRule>
    <cfRule type="cellIs" dxfId="120" priority="119" operator="equal">
      <formula>"Moderado"</formula>
    </cfRule>
    <cfRule type="cellIs" dxfId="119" priority="120" operator="equal">
      <formula>"Bajo"</formula>
    </cfRule>
  </conditionalFormatting>
  <conditionalFormatting sqref="S43">
    <cfRule type="cellIs" dxfId="118" priority="112" operator="equal">
      <formula>"Muy Alta"</formula>
    </cfRule>
    <cfRule type="cellIs" dxfId="117" priority="113" operator="equal">
      <formula>"Alta"</formula>
    </cfRule>
    <cfRule type="cellIs" dxfId="116" priority="114" operator="equal">
      <formula>"Media"</formula>
    </cfRule>
    <cfRule type="cellIs" dxfId="115" priority="115" operator="equal">
      <formula>"Baja"</formula>
    </cfRule>
    <cfRule type="cellIs" dxfId="114" priority="116" operator="equal">
      <formula>"Muy Baja"</formula>
    </cfRule>
  </conditionalFormatting>
  <conditionalFormatting sqref="Y43">
    <cfRule type="cellIs" dxfId="113" priority="108" operator="equal">
      <formula>"Extremo"</formula>
    </cfRule>
    <cfRule type="cellIs" dxfId="112" priority="109" operator="equal">
      <formula>"Alto"</formula>
    </cfRule>
    <cfRule type="cellIs" dxfId="111" priority="110" operator="equal">
      <formula>"Moderado"</formula>
    </cfRule>
    <cfRule type="cellIs" dxfId="110" priority="111" operator="equal">
      <formula>"Bajo"</formula>
    </cfRule>
  </conditionalFormatting>
  <conditionalFormatting sqref="AJ43:AJ48">
    <cfRule type="cellIs" dxfId="109" priority="103" operator="equal">
      <formula>"Muy Alta"</formula>
    </cfRule>
    <cfRule type="cellIs" dxfId="108" priority="104" operator="equal">
      <formula>"Alta"</formula>
    </cfRule>
    <cfRule type="cellIs" dxfId="107" priority="105" operator="equal">
      <formula>"Media"</formula>
    </cfRule>
    <cfRule type="cellIs" dxfId="106" priority="106" operator="equal">
      <formula>"Baja"</formula>
    </cfRule>
    <cfRule type="cellIs" dxfId="105" priority="107" operator="equal">
      <formula>"Muy Baja"</formula>
    </cfRule>
  </conditionalFormatting>
  <conditionalFormatting sqref="AL43:AL48">
    <cfRule type="cellIs" dxfId="104" priority="98" operator="equal">
      <formula>"Catastrófico"</formula>
    </cfRule>
    <cfRule type="cellIs" dxfId="103" priority="99" operator="equal">
      <formula>"Mayor"</formula>
    </cfRule>
    <cfRule type="cellIs" dxfId="102" priority="100" operator="equal">
      <formula>"Moderado"</formula>
    </cfRule>
    <cfRule type="cellIs" dxfId="101" priority="101" operator="equal">
      <formula>"Menor"</formula>
    </cfRule>
    <cfRule type="cellIs" dxfId="100" priority="102" operator="equal">
      <formula>"Leve"</formula>
    </cfRule>
  </conditionalFormatting>
  <conditionalFormatting sqref="AN43:AN48">
    <cfRule type="cellIs" dxfId="99" priority="94" operator="equal">
      <formula>"Extremo"</formula>
    </cfRule>
    <cfRule type="cellIs" dxfId="98" priority="95" operator="equal">
      <formula>"Alto"</formula>
    </cfRule>
    <cfRule type="cellIs" dxfId="97" priority="96" operator="equal">
      <formula>"Moderado"</formula>
    </cfRule>
    <cfRule type="cellIs" dxfId="96" priority="97" operator="equal">
      <formula>"Bajo"</formula>
    </cfRule>
  </conditionalFormatting>
  <conditionalFormatting sqref="S49">
    <cfRule type="cellIs" dxfId="95" priority="89" operator="equal">
      <formula>"Muy Alta"</formula>
    </cfRule>
    <cfRule type="cellIs" dxfId="94" priority="90" operator="equal">
      <formula>"Alta"</formula>
    </cfRule>
    <cfRule type="cellIs" dxfId="93" priority="91" operator="equal">
      <formula>"Media"</formula>
    </cfRule>
    <cfRule type="cellIs" dxfId="92" priority="92" operator="equal">
      <formula>"Baja"</formula>
    </cfRule>
    <cfRule type="cellIs" dxfId="91" priority="93" operator="equal">
      <formula>"Muy Baja"</formula>
    </cfRule>
  </conditionalFormatting>
  <conditionalFormatting sqref="Y49">
    <cfRule type="cellIs" dxfId="90" priority="85" operator="equal">
      <formula>"Extremo"</formula>
    </cfRule>
    <cfRule type="cellIs" dxfId="89" priority="86" operator="equal">
      <formula>"Alto"</formula>
    </cfRule>
    <cfRule type="cellIs" dxfId="88" priority="87" operator="equal">
      <formula>"Moderado"</formula>
    </cfRule>
    <cfRule type="cellIs" dxfId="87" priority="88" operator="equal">
      <formula>"Bajo"</formula>
    </cfRule>
  </conditionalFormatting>
  <conditionalFormatting sqref="AJ49:AJ54">
    <cfRule type="cellIs" dxfId="86" priority="80" operator="equal">
      <formula>"Muy Alta"</formula>
    </cfRule>
    <cfRule type="cellIs" dxfId="85" priority="81" operator="equal">
      <formula>"Alta"</formula>
    </cfRule>
    <cfRule type="cellIs" dxfId="84" priority="82" operator="equal">
      <formula>"Media"</formula>
    </cfRule>
    <cfRule type="cellIs" dxfId="83" priority="83" operator="equal">
      <formula>"Baja"</formula>
    </cfRule>
    <cfRule type="cellIs" dxfId="82" priority="84" operator="equal">
      <formula>"Muy Baja"</formula>
    </cfRule>
  </conditionalFormatting>
  <conditionalFormatting sqref="AL49:AL54">
    <cfRule type="cellIs" dxfId="81" priority="75" operator="equal">
      <formula>"Catastrófico"</formula>
    </cfRule>
    <cfRule type="cellIs" dxfId="80" priority="76" operator="equal">
      <formula>"Mayor"</formula>
    </cfRule>
    <cfRule type="cellIs" dxfId="79" priority="77" operator="equal">
      <formula>"Moderado"</formula>
    </cfRule>
    <cfRule type="cellIs" dxfId="78" priority="78" operator="equal">
      <formula>"Menor"</formula>
    </cfRule>
    <cfRule type="cellIs" dxfId="77" priority="79" operator="equal">
      <formula>"Leve"</formula>
    </cfRule>
  </conditionalFormatting>
  <conditionalFormatting sqref="AN49:AN54">
    <cfRule type="cellIs" dxfId="76" priority="71" operator="equal">
      <formula>"Extremo"</formula>
    </cfRule>
    <cfRule type="cellIs" dxfId="75" priority="72" operator="equal">
      <formula>"Alto"</formula>
    </cfRule>
    <cfRule type="cellIs" dxfId="74" priority="73" operator="equal">
      <formula>"Moderado"</formula>
    </cfRule>
    <cfRule type="cellIs" dxfId="73" priority="74" operator="equal">
      <formula>"Bajo"</formula>
    </cfRule>
  </conditionalFormatting>
  <conditionalFormatting sqref="Y55">
    <cfRule type="cellIs" dxfId="72" priority="67" operator="equal">
      <formula>"Extremo"</formula>
    </cfRule>
    <cfRule type="cellIs" dxfId="71" priority="68" operator="equal">
      <formula>"Alto"</formula>
    </cfRule>
    <cfRule type="cellIs" dxfId="70" priority="69" operator="equal">
      <formula>"Moderado"</formula>
    </cfRule>
    <cfRule type="cellIs" dxfId="69" priority="70" operator="equal">
      <formula>"Bajo"</formula>
    </cfRule>
  </conditionalFormatting>
  <conditionalFormatting sqref="AJ55:AJ60">
    <cfRule type="cellIs" dxfId="68" priority="62" operator="equal">
      <formula>"Muy Alta"</formula>
    </cfRule>
    <cfRule type="cellIs" dxfId="67" priority="63" operator="equal">
      <formula>"Alta"</formula>
    </cfRule>
    <cfRule type="cellIs" dxfId="66" priority="64" operator="equal">
      <formula>"Media"</formula>
    </cfRule>
    <cfRule type="cellIs" dxfId="65" priority="65" operator="equal">
      <formula>"Baja"</formula>
    </cfRule>
    <cfRule type="cellIs" dxfId="64" priority="66" operator="equal">
      <formula>"Muy Baja"</formula>
    </cfRule>
  </conditionalFormatting>
  <conditionalFormatting sqref="AL55:AL60">
    <cfRule type="cellIs" dxfId="63" priority="57" operator="equal">
      <formula>"Catastrófico"</formula>
    </cfRule>
    <cfRule type="cellIs" dxfId="62" priority="58" operator="equal">
      <formula>"Mayor"</formula>
    </cfRule>
    <cfRule type="cellIs" dxfId="61" priority="59" operator="equal">
      <formula>"Moderado"</formula>
    </cfRule>
    <cfRule type="cellIs" dxfId="60" priority="60" operator="equal">
      <formula>"Menor"</formula>
    </cfRule>
    <cfRule type="cellIs" dxfId="59" priority="61" operator="equal">
      <formula>"Leve"</formula>
    </cfRule>
  </conditionalFormatting>
  <conditionalFormatting sqref="AN55:AN60">
    <cfRule type="cellIs" dxfId="58" priority="53" operator="equal">
      <formula>"Extremo"</formula>
    </cfRule>
    <cfRule type="cellIs" dxfId="57" priority="54" operator="equal">
      <formula>"Alto"</formula>
    </cfRule>
    <cfRule type="cellIs" dxfId="56" priority="55" operator="equal">
      <formula>"Moderado"</formula>
    </cfRule>
    <cfRule type="cellIs" dxfId="55" priority="56" operator="equal">
      <formula>"Bajo"</formula>
    </cfRule>
  </conditionalFormatting>
  <conditionalFormatting sqref="Y61">
    <cfRule type="cellIs" dxfId="54" priority="44" operator="equal">
      <formula>"Extremo"</formula>
    </cfRule>
    <cfRule type="cellIs" dxfId="53" priority="45" operator="equal">
      <formula>"Alto"</formula>
    </cfRule>
    <cfRule type="cellIs" dxfId="52" priority="46" operator="equal">
      <formula>"Moderado"</formula>
    </cfRule>
    <cfRule type="cellIs" dxfId="51" priority="47" operator="equal">
      <formula>"Bajo"</formula>
    </cfRule>
  </conditionalFormatting>
  <conditionalFormatting sqref="AJ61:AJ66">
    <cfRule type="cellIs" dxfId="50" priority="39" operator="equal">
      <formula>"Muy Alta"</formula>
    </cfRule>
    <cfRule type="cellIs" dxfId="49" priority="40" operator="equal">
      <formula>"Alta"</formula>
    </cfRule>
    <cfRule type="cellIs" dxfId="48" priority="41" operator="equal">
      <formula>"Media"</formula>
    </cfRule>
    <cfRule type="cellIs" dxfId="47" priority="42" operator="equal">
      <formula>"Baja"</formula>
    </cfRule>
    <cfRule type="cellIs" dxfId="46" priority="43" operator="equal">
      <formula>"Muy Baja"</formula>
    </cfRule>
  </conditionalFormatting>
  <conditionalFormatting sqref="AL61:AL66">
    <cfRule type="cellIs" dxfId="45" priority="34" operator="equal">
      <formula>"Catastrófico"</formula>
    </cfRule>
    <cfRule type="cellIs" dxfId="44" priority="35" operator="equal">
      <formula>"Mayor"</formula>
    </cfRule>
    <cfRule type="cellIs" dxfId="43" priority="36" operator="equal">
      <formula>"Moderado"</formula>
    </cfRule>
    <cfRule type="cellIs" dxfId="42" priority="37" operator="equal">
      <formula>"Menor"</formula>
    </cfRule>
    <cfRule type="cellIs" dxfId="41" priority="38" operator="equal">
      <formula>"Leve"</formula>
    </cfRule>
  </conditionalFormatting>
  <conditionalFormatting sqref="AN61:AN66">
    <cfRule type="cellIs" dxfId="40" priority="30" operator="equal">
      <formula>"Extremo"</formula>
    </cfRule>
    <cfRule type="cellIs" dxfId="39" priority="31" operator="equal">
      <formula>"Alto"</formula>
    </cfRule>
    <cfRule type="cellIs" dxfId="38" priority="32" operator="equal">
      <formula>"Moderado"</formula>
    </cfRule>
    <cfRule type="cellIs" dxfId="37" priority="33" operator="equal">
      <formula>"Bajo"</formula>
    </cfRule>
  </conditionalFormatting>
  <conditionalFormatting sqref="S67">
    <cfRule type="cellIs" dxfId="36" priority="25" operator="equal">
      <formula>"Muy Alta"</formula>
    </cfRule>
    <cfRule type="cellIs" dxfId="35" priority="26" operator="equal">
      <formula>"Alta"</formula>
    </cfRule>
    <cfRule type="cellIs" dxfId="34" priority="27" operator="equal">
      <formula>"Media"</formula>
    </cfRule>
    <cfRule type="cellIs" dxfId="33" priority="28" operator="equal">
      <formula>"Baja"</formula>
    </cfRule>
    <cfRule type="cellIs" dxfId="32" priority="29" operator="equal">
      <formula>"Muy Baja"</formula>
    </cfRule>
  </conditionalFormatting>
  <conditionalFormatting sqref="Y67">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J67:AJ72">
    <cfRule type="cellIs" dxfId="27" priority="16" operator="equal">
      <formula>"Muy Alta"</formula>
    </cfRule>
    <cfRule type="cellIs" dxfId="26" priority="17" operator="equal">
      <formula>"Alta"</formula>
    </cfRule>
    <cfRule type="cellIs" dxfId="25" priority="18" operator="equal">
      <formula>"Media"</formula>
    </cfRule>
    <cfRule type="cellIs" dxfId="24" priority="19" operator="equal">
      <formula>"Baja"</formula>
    </cfRule>
    <cfRule type="cellIs" dxfId="23" priority="20" operator="equal">
      <formula>"Muy Baja"</formula>
    </cfRule>
  </conditionalFormatting>
  <conditionalFormatting sqref="AL67:AL72">
    <cfRule type="cellIs" dxfId="22" priority="11" operator="equal">
      <formula>"Catastrófico"</formula>
    </cfRule>
    <cfRule type="cellIs" dxfId="21" priority="12" operator="equal">
      <formula>"Mayor"</formula>
    </cfRule>
    <cfRule type="cellIs" dxfId="20" priority="13" operator="equal">
      <formula>"Moderado"</formula>
    </cfRule>
    <cfRule type="cellIs" dxfId="19" priority="14" operator="equal">
      <formula>"Menor"</formula>
    </cfRule>
    <cfRule type="cellIs" dxfId="18" priority="15" operator="equal">
      <formula>"Leve"</formula>
    </cfRule>
  </conditionalFormatting>
  <conditionalFormatting sqref="AN67:AN72">
    <cfRule type="cellIs" dxfId="17" priority="7" operator="equal">
      <formula>"Extremo"</formula>
    </cfRule>
    <cfRule type="cellIs" dxfId="16" priority="8" operator="equal">
      <formula>"Alto"</formula>
    </cfRule>
    <cfRule type="cellIs" dxfId="15" priority="9" operator="equal">
      <formula>"Moderado"</formula>
    </cfRule>
    <cfRule type="cellIs" dxfId="14" priority="10" operator="equal">
      <formula>"Bajo"</formula>
    </cfRule>
  </conditionalFormatting>
  <conditionalFormatting sqref="V13:V72">
    <cfRule type="containsText" dxfId="13" priority="6" operator="containsText" text="❌">
      <formula>NOT(ISERROR(SEARCH("❌",V13)))</formula>
    </cfRule>
  </conditionalFormatting>
  <conditionalFormatting sqref="S55">
    <cfRule type="cellIs" dxfId="12" priority="1" operator="equal">
      <formula>"Muy Alta"</formula>
    </cfRule>
    <cfRule type="cellIs" dxfId="11" priority="2" operator="equal">
      <formula>"Alta"</formula>
    </cfRule>
    <cfRule type="cellIs" dxfId="10" priority="3" operator="equal">
      <formula>"Media"</formula>
    </cfRule>
    <cfRule type="cellIs" dxfId="9" priority="4" operator="equal">
      <formula>"Baja"</formula>
    </cfRule>
    <cfRule type="cellIs" dxfId="8"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26" max="23" man="1"/>
  </col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800-000000000000}">
          <x14:formula1>
            <xm:f>Listas!$H$14:$H$18</xm:f>
          </x14:formula1>
          <xm:sqref>Q13:Q72</xm:sqref>
        </x14:dataValidation>
        <x14:dataValidation type="list" allowBlank="1" showInputMessage="1" showErrorMessage="1" xr:uid="{00000000-0002-0000-0800-000001000000}">
          <x14:formula1>
            <xm:f>Listas!$H$8:$H$12</xm:f>
          </x14:formula1>
          <xm:sqref>P13:P72</xm:sqref>
        </x14:dataValidation>
        <x14:dataValidation type="list" allowBlank="1" showInputMessage="1" showErrorMessage="1" xr:uid="{00000000-0002-0000-0800-000002000000}">
          <x14:formula1>
            <xm:f>Intructivo!$C$300:$C$316</xm:f>
          </x14:formula1>
          <xm:sqref>C6:Z6</xm:sqref>
        </x14:dataValidation>
        <x14:dataValidation type="list" allowBlank="1" showInputMessage="1" showErrorMessage="1" xr:uid="{00000000-0002-0000-0800-000003000000}">
          <x14:formula1>
            <xm:f>Listas!$F$8:$F$9</xm:f>
          </x14:formula1>
          <xm:sqref>K13:K72</xm:sqref>
        </x14:dataValidation>
        <x14:dataValidation type="list" allowBlank="1" showInputMessage="1" showErrorMessage="1" xr:uid="{00000000-0002-0000-0800-000004000000}">
          <x14:formula1>
            <xm:f>Listas!$B$20:$B$22</xm:f>
          </x14:formula1>
          <xm:sqref>F13:F72</xm:sqref>
        </x14:dataValidation>
        <x14:dataValidation type="custom" allowBlank="1" showInputMessage="1" showErrorMessage="1" error="Recuerde que las acciones se generan bajo la medida de mitigar el riesgo" xr:uid="{00000000-0002-0000-0800-000005000000}">
          <x14:formula1>
            <xm:f>IF(OR(#REF!=Listas!$B$2,#REF!=Listas!$B$3,#REF!=Listas!$B$4),ISBLANK(#REF!),ISTEXT(#REF!))</xm:f>
          </x14:formula1>
          <xm:sqref>AT19:AV19 AT67:AV67 AT61:AV61 AT55:AV55 AT49:AV49 AT43:AV43 AT37:AV37 AT31:AV31 AT25:AV25</xm:sqref>
        </x14:dataValidation>
        <x14:dataValidation type="list" allowBlank="1" showInputMessage="1" showErrorMessage="1" xr:uid="{00000000-0002-0000-0800-000006000000}">
          <x14:formula1>
            <xm:f>'Tabla Impacto'!$F$211:$F$222</xm:f>
          </x14:formula1>
          <xm:sqref>U13:U72</xm:sqref>
        </x14:dataValidation>
        <x14:dataValidation type="list" allowBlank="1" showInputMessage="1" showErrorMessage="1" xr:uid="{00000000-0002-0000-0800-000007000000}">
          <x14:formula1>
            <xm:f>Listas!$B$2:$B$5</xm:f>
          </x14:formula1>
          <xm:sqref>AO13:AO72</xm:sqref>
        </x14:dataValidation>
        <x14:dataValidation type="list" allowBlank="1" showInputMessage="1" showErrorMessage="1" xr:uid="{00000000-0002-0000-0800-000008000000}">
          <x14:formula1>
            <xm:f>Listas!$E$2:$E$4</xm:f>
          </x14:formula1>
          <xm:sqref>B13:B72</xm:sqref>
        </x14:dataValidation>
        <x14:dataValidation type="list" allowBlank="1" showInputMessage="1" showErrorMessage="1" xr:uid="{00000000-0002-0000-0800-000009000000}">
          <x14:formula1>
            <xm:f>'Tabla Valoración controles'!$D$13:$D$14</xm:f>
          </x14:formula1>
          <xm:sqref>AH13:AH72</xm:sqref>
        </x14:dataValidation>
        <x14:dataValidation type="list" allowBlank="1" showInputMessage="1" showErrorMessage="1" xr:uid="{00000000-0002-0000-0800-00000A000000}">
          <x14:formula1>
            <xm:f>'Tabla Valoración controles'!$D$11:$D$12</xm:f>
          </x14:formula1>
          <xm:sqref>AG13:AG72</xm:sqref>
        </x14:dataValidation>
        <x14:dataValidation type="list" allowBlank="1" showInputMessage="1" showErrorMessage="1" xr:uid="{00000000-0002-0000-0800-00000B000000}">
          <x14:formula1>
            <xm:f>'Tabla Valoración controles'!$D$9:$D$10</xm:f>
          </x14:formula1>
          <xm:sqref>AF13:AF72</xm:sqref>
        </x14:dataValidation>
        <x14:dataValidation type="list" allowBlank="1" showInputMessage="1" showErrorMessage="1" xr:uid="{00000000-0002-0000-0800-00000C000000}">
          <x14:formula1>
            <xm:f>'Tabla Valoración controles'!$D$7:$D$8</xm:f>
          </x14:formula1>
          <xm:sqref>AD13:AD72</xm:sqref>
        </x14:dataValidation>
        <x14:dataValidation type="list" allowBlank="1" showInputMessage="1" showErrorMessage="1" xr:uid="{00000000-0002-0000-0800-00000D000000}">
          <x14:formula1>
            <xm:f>'Tabla Valoración controles'!$D$4:$D$6</xm:f>
          </x14:formula1>
          <xm:sqref>AC13:AC72</xm:sqref>
        </x14:dataValidation>
        <x14:dataValidation type="list" allowBlank="1" showInputMessage="1" showErrorMessage="1" xr:uid="{00000000-0002-0000-0800-00000E000000}">
          <x14:formula1>
            <xm:f>Amenazas!$C$2:$C$11</xm:f>
          </x14:formula1>
          <xm:sqref>G13:G72</xm:sqref>
        </x14:dataValidation>
        <x14:dataValidation type="list" allowBlank="1" showInputMessage="1" showErrorMessage="1" xr:uid="{00000000-0002-0000-0800-00000F000000}">
          <x14:formula1>
            <xm:f>Listas!$B$25:$B$32</xm:f>
          </x14:formula1>
          <xm:sqref>I13:I72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4A772FB98E7BA4B9E1B07CC8F693443" ma:contentTypeVersion="17" ma:contentTypeDescription="Crear nuevo documento." ma:contentTypeScope="" ma:versionID="2b779474dba64742438205b145c5f80a">
  <xsd:schema xmlns:xsd="http://www.w3.org/2001/XMLSchema" xmlns:xs="http://www.w3.org/2001/XMLSchema" xmlns:p="http://schemas.microsoft.com/office/2006/metadata/properties" xmlns:ns2="4ab5e4fe-998f-4424-a00c-127c505be1d6" xmlns:ns3="f7a02df7-de8f-4c48-b238-a1ac80ef7990" targetNamespace="http://schemas.microsoft.com/office/2006/metadata/properties" ma:root="true" ma:fieldsID="e5db9b9e1e349003db2943b60b4da755" ns2:_="" ns3:_="">
    <xsd:import namespace="4ab5e4fe-998f-4424-a00c-127c505be1d6"/>
    <xsd:import namespace="f7a02df7-de8f-4c48-b238-a1ac80ef79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5e4fe-998f-4424-a00c-127c505be1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a02df7-de8f-4c48-b238-a1ac80ef799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715fde6a-5240-44f1-969d-ccc84abf2fbe}" ma:internalName="TaxCatchAll" ma:showField="CatchAllData" ma:web="f7a02df7-de8f-4c48-b238-a1ac80ef79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7a02df7-de8f-4c48-b238-a1ac80ef7990">
      <UserInfo>
        <DisplayName>Stefany Ospino Cuellar</DisplayName>
        <AccountId>1659</AccountId>
        <AccountType/>
      </UserInfo>
      <UserInfo>
        <DisplayName>German Andres Hernandez Matiz</DisplayName>
        <AccountId>571</AccountId>
        <AccountType/>
      </UserInfo>
    </SharedWithUsers>
    <TaxCatchAll xmlns="f7a02df7-de8f-4c48-b238-a1ac80ef7990" xsi:nil="true"/>
    <lcf76f155ced4ddcb4097134ff3c332f xmlns="4ab5e4fe-998f-4424-a00c-127c505be1d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38E702-99CD-4A3A-A328-D1F3ADA68EBC}">
  <ds:schemaRefs>
    <ds:schemaRef ds:uri="http://schemas.microsoft.com/sharepoint/v3/contenttype/forms"/>
  </ds:schemaRefs>
</ds:datastoreItem>
</file>

<file path=customXml/itemProps2.xml><?xml version="1.0" encoding="utf-8"?>
<ds:datastoreItem xmlns:ds="http://schemas.openxmlformats.org/officeDocument/2006/customXml" ds:itemID="{90634C50-5753-43D8-BA16-9896826F65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b5e4fe-998f-4424-a00c-127c505be1d6"/>
    <ds:schemaRef ds:uri="f7a02df7-de8f-4c48-b238-a1ac80ef79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D5E4EF-2809-49C9-8DCF-B2E4E5208101}">
  <ds:schemaRefs>
    <ds:schemaRef ds:uri="http://schemas.microsoft.com/office/2006/metadata/properties"/>
    <ds:schemaRef ds:uri="4ab5e4fe-998f-4424-a00c-127c505be1d6"/>
    <ds:schemaRef ds:uri="http://www.w3.org/XML/1998/namespace"/>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f7a02df7-de8f-4c48-b238-a1ac80ef799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7</vt:i4>
      </vt:variant>
    </vt:vector>
  </HeadingPairs>
  <TitlesOfParts>
    <vt:vector size="23" baseType="lpstr">
      <vt:lpstr>Intructivo</vt:lpstr>
      <vt:lpstr>Revisión DOFA</vt:lpstr>
      <vt:lpstr>Listas</vt:lpstr>
      <vt:lpstr>Riesgos de Gestión</vt:lpstr>
      <vt:lpstr>Matriz Calor Inherente</vt:lpstr>
      <vt:lpstr>Matriz Calor Residual</vt:lpstr>
      <vt:lpstr>Riesgos de Corrupción</vt:lpstr>
      <vt:lpstr>Impacto Corrupción </vt:lpstr>
      <vt:lpstr>Riesgos de Seguridad</vt:lpstr>
      <vt:lpstr>Tabla probabilidad</vt:lpstr>
      <vt:lpstr>Tabla Impacto</vt:lpstr>
      <vt:lpstr>Tipo de riesgos</vt:lpstr>
      <vt:lpstr>Amenazas</vt:lpstr>
      <vt:lpstr>Ejemplos de riesgos</vt:lpstr>
      <vt:lpstr>Tabla Valoración controles</vt:lpstr>
      <vt:lpstr>Hoja1</vt:lpstr>
      <vt:lpstr>'Impacto Corrupción '!Área_de_impresión</vt:lpstr>
      <vt:lpstr>'Riesgos de Corrupción'!Área_de_impresión</vt:lpstr>
      <vt:lpstr>'Riesgos de Gestión'!Área_de_impresión</vt:lpstr>
      <vt:lpstr>'Riesgos de Seguridad'!Área_de_impresión</vt:lpstr>
      <vt:lpstr>'Riesgos de Corrupción'!Títulos_a_imprimir</vt:lpstr>
      <vt:lpstr>'Riesgos de Gestión'!Títulos_a_imprimir</vt:lpstr>
      <vt:lpstr>'Riesgos de Seguridad'!Títulos_a_imprimir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Usuario</cp:lastModifiedBy>
  <cp:revision/>
  <cp:lastPrinted>2022-11-28T21:48:11Z</cp:lastPrinted>
  <dcterms:created xsi:type="dcterms:W3CDTF">2020-03-24T23:12:47Z</dcterms:created>
  <dcterms:modified xsi:type="dcterms:W3CDTF">2023-01-30T13:43:18Z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0x01010044A772FB98E7BA4B9E1B07CC8F693443</vt:lpwstr>
  </property>
  <property fmtid="{D5CDD505-2E9C-101B-9397-08002B2CF9AE}" pid="3" name="MediaServiceImageTags">
    <vt:lpwstr/>
  </property>
</Properties>
</file>