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OneDrive - uaermv\UMV\Documentos\ENLACE 2022\MAPA DE RIESGOS\"/>
    </mc:Choice>
  </mc:AlternateContent>
  <bookViews>
    <workbookView xWindow="0" yWindow="0" windowWidth="20490" windowHeight="7620" tabRatio="771" activeTab="3"/>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62913"/>
  <pivotCaches>
    <pivotCache cacheId="1" r:id="rId18"/>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31" i="1" l="1"/>
  <c r="N31" i="1" s="1"/>
  <c r="V31" i="1"/>
  <c r="AC31" i="1" s="1"/>
  <c r="AD31" i="1" s="1"/>
  <c r="Y31" i="1"/>
  <c r="P32" i="1"/>
  <c r="AG31" i="1" l="1"/>
  <c r="AF31" i="1" s="1"/>
  <c r="AH31" i="1" s="1"/>
  <c r="AE31" i="1"/>
  <c r="V32" i="1"/>
  <c r="AC32" i="1" s="1"/>
  <c r="Y32" i="1"/>
  <c r="AG32" i="1"/>
  <c r="AF32" i="1" s="1"/>
  <c r="V33" i="1"/>
  <c r="Y33" i="1"/>
  <c r="AC33" i="1"/>
  <c r="AD33" i="1" s="1"/>
  <c r="AG33" i="1"/>
  <c r="AF33" i="1" s="1"/>
  <c r="P34" i="1"/>
  <c r="P33" i="1"/>
  <c r="AE32" i="1" l="1"/>
  <c r="AD32" i="1"/>
  <c r="AH32" i="1"/>
  <c r="AH33" i="1"/>
  <c r="AE33" i="1"/>
  <c r="V34" i="1"/>
  <c r="AC34" i="1" s="1"/>
  <c r="Y34" i="1"/>
  <c r="P35" i="1"/>
  <c r="AD34" i="1" l="1"/>
  <c r="AE34" i="1"/>
  <c r="AG34" i="1"/>
  <c r="AF34" i="1" s="1"/>
  <c r="V35" i="1"/>
  <c r="AC35" i="1" s="1"/>
  <c r="Y35" i="1"/>
  <c r="AG35" i="1"/>
  <c r="AF35" i="1" s="1"/>
  <c r="P36" i="1"/>
  <c r="AE35" i="1" l="1"/>
  <c r="AD35" i="1"/>
  <c r="AH35" i="1"/>
  <c r="AH34" i="1"/>
  <c r="V36" i="1"/>
  <c r="AC36" i="1" s="1"/>
  <c r="Y36" i="1"/>
  <c r="M37" i="1"/>
  <c r="N37" i="1"/>
  <c r="V37" i="1"/>
  <c r="Y37" i="1"/>
  <c r="AC37" i="1"/>
  <c r="AE37" i="1" s="1"/>
  <c r="AD37" i="1"/>
  <c r="AG37" i="1"/>
  <c r="AF37" i="1" s="1"/>
  <c r="P38" i="1"/>
  <c r="AH37" i="1" l="1"/>
  <c r="AD36" i="1"/>
  <c r="AE36" i="1"/>
  <c r="AG36" i="1"/>
  <c r="AF36" i="1" s="1"/>
  <c r="V38" i="1"/>
  <c r="Y38" i="1"/>
  <c r="AC38" i="1"/>
  <c r="AE38" i="1" s="1"/>
  <c r="AD38" i="1"/>
  <c r="AG38" i="1"/>
  <c r="AF38" i="1" s="1"/>
  <c r="P39" i="1"/>
  <c r="AH38" i="1" l="1"/>
  <c r="AH36" i="1"/>
  <c r="V39" i="1"/>
  <c r="AC39" i="1" s="1"/>
  <c r="Y39" i="1"/>
  <c r="P40" i="1"/>
  <c r="AD39" i="1" l="1"/>
  <c r="AE39" i="1"/>
  <c r="AG39" i="1"/>
  <c r="AF39" i="1" s="1"/>
  <c r="V40" i="1"/>
  <c r="AG40" i="1" s="1"/>
  <c r="AF40" i="1" s="1"/>
  <c r="Y40" i="1"/>
  <c r="P41" i="1"/>
  <c r="AC40" i="1" l="1"/>
  <c r="AH39" i="1"/>
  <c r="V41" i="1"/>
  <c r="AC41" i="1" s="1"/>
  <c r="Y41" i="1"/>
  <c r="P42" i="1"/>
  <c r="AD41" i="1" l="1"/>
  <c r="AE41" i="1"/>
  <c r="AG41" i="1"/>
  <c r="AF41" i="1" s="1"/>
  <c r="AE40" i="1"/>
  <c r="AD40" i="1"/>
  <c r="AH40" i="1" s="1"/>
  <c r="V42" i="1"/>
  <c r="Y42" i="1"/>
  <c r="AC42" i="1"/>
  <c r="AD42" i="1" s="1"/>
  <c r="AG42" i="1"/>
  <c r="AF42" i="1" s="1"/>
  <c r="M43" i="1"/>
  <c r="N43" i="1"/>
  <c r="V43" i="1"/>
  <c r="AC43" i="1" s="1"/>
  <c r="Y43" i="1"/>
  <c r="P44" i="1"/>
  <c r="AH42" i="1" l="1"/>
  <c r="AD43" i="1"/>
  <c r="AE43" i="1"/>
  <c r="AG43" i="1"/>
  <c r="AF43" i="1" s="1"/>
  <c r="AE42" i="1"/>
  <c r="AH41" i="1"/>
  <c r="V44" i="1"/>
  <c r="AC44" i="1" s="1"/>
  <c r="Y44" i="1"/>
  <c r="P45" i="1"/>
  <c r="AD44" i="1" l="1"/>
  <c r="AE44" i="1"/>
  <c r="AH43" i="1"/>
  <c r="AG44" i="1"/>
  <c r="AF44" i="1" s="1"/>
  <c r="V45" i="1"/>
  <c r="Y45" i="1"/>
  <c r="AC45" i="1"/>
  <c r="AE45" i="1" s="1"/>
  <c r="AD45" i="1"/>
  <c r="AG45" i="1"/>
  <c r="AF45" i="1" s="1"/>
  <c r="P46" i="1"/>
  <c r="AH45" i="1" l="1"/>
  <c r="AH44" i="1"/>
  <c r="V46" i="1"/>
  <c r="AC46" i="1" s="1"/>
  <c r="Y46" i="1"/>
  <c r="AG46" i="1"/>
  <c r="AF46" i="1" s="1"/>
  <c r="V47" i="1"/>
  <c r="Y47" i="1"/>
  <c r="AC47" i="1"/>
  <c r="AE47" i="1" s="1"/>
  <c r="AD47" i="1"/>
  <c r="V48" i="1"/>
  <c r="AC48" i="1" s="1"/>
  <c r="Y48" i="1"/>
  <c r="AG48" i="1"/>
  <c r="AF48" i="1" s="1"/>
  <c r="M49" i="1"/>
  <c r="N49" i="1" s="1"/>
  <c r="V49" i="1"/>
  <c r="AC49" i="1" s="1"/>
  <c r="Y49" i="1"/>
  <c r="P48" i="1"/>
  <c r="P50" i="1"/>
  <c r="P47" i="1"/>
  <c r="AE48" i="1" l="1"/>
  <c r="AD48" i="1"/>
  <c r="AH48" i="1" s="1"/>
  <c r="AE46" i="1"/>
  <c r="AD46" i="1"/>
  <c r="AH46" i="1" s="1"/>
  <c r="AG47" i="1"/>
  <c r="AF47" i="1" s="1"/>
  <c r="AH47" i="1"/>
  <c r="AD49" i="1"/>
  <c r="AE49" i="1"/>
  <c r="AG49" i="1"/>
  <c r="AF49" i="1" s="1"/>
  <c r="V50" i="1"/>
  <c r="AC50" i="1" s="1"/>
  <c r="AD50" i="1" s="1"/>
  <c r="Y50" i="1"/>
  <c r="P51" i="1"/>
  <c r="AG50" i="1" l="1"/>
  <c r="AF50" i="1" s="1"/>
  <c r="AH50" i="1"/>
  <c r="AE50" i="1"/>
  <c r="AH49" i="1"/>
  <c r="V51" i="1"/>
  <c r="AC51" i="1" s="1"/>
  <c r="Y51" i="1"/>
  <c r="P52" i="1"/>
  <c r="AD51" i="1" l="1"/>
  <c r="AE51" i="1"/>
  <c r="AG51" i="1"/>
  <c r="AF51" i="1" s="1"/>
  <c r="V52" i="1"/>
  <c r="AC52" i="1" s="1"/>
  <c r="Y52" i="1"/>
  <c r="P53" i="1"/>
  <c r="AE52" i="1" l="1"/>
  <c r="AD52" i="1"/>
  <c r="AG52" i="1"/>
  <c r="AF52" i="1" s="1"/>
  <c r="AH51" i="1"/>
  <c r="V53" i="1"/>
  <c r="Y53" i="1"/>
  <c r="AC53" i="1"/>
  <c r="AE53" i="1" s="1"/>
  <c r="AD53" i="1"/>
  <c r="AG53" i="1"/>
  <c r="AF53" i="1" s="1"/>
  <c r="P54" i="1"/>
  <c r="AH53" i="1" l="1"/>
  <c r="AH52" i="1"/>
  <c r="V54" i="1"/>
  <c r="AC54" i="1" s="1"/>
  <c r="AD54" i="1" s="1"/>
  <c r="Y54" i="1"/>
  <c r="M55" i="1"/>
  <c r="N55" i="1"/>
  <c r="V55" i="1"/>
  <c r="AC55" i="1" s="1"/>
  <c r="Y55" i="1"/>
  <c r="P56" i="1"/>
  <c r="AG54" i="1" l="1"/>
  <c r="AF54" i="1" s="1"/>
  <c r="AH54" i="1" s="1"/>
  <c r="AE55" i="1"/>
  <c r="AD55" i="1"/>
  <c r="AG55" i="1"/>
  <c r="AF55" i="1" s="1"/>
  <c r="AE54" i="1"/>
  <c r="V56" i="1"/>
  <c r="AC56" i="1" s="1"/>
  <c r="Y56" i="1"/>
  <c r="P57" i="1"/>
  <c r="AH55" i="1" l="1"/>
  <c r="AD56" i="1"/>
  <c r="AE56" i="1"/>
  <c r="AG56" i="1"/>
  <c r="AF56" i="1" s="1"/>
  <c r="V57" i="1"/>
  <c r="AC57" i="1" s="1"/>
  <c r="Y57" i="1"/>
  <c r="P58" i="1"/>
  <c r="AD57" i="1" l="1"/>
  <c r="AE57" i="1"/>
  <c r="AG57" i="1"/>
  <c r="AF57" i="1" s="1"/>
  <c r="AH56" i="1"/>
  <c r="V58" i="1"/>
  <c r="Y58" i="1"/>
  <c r="AC58" i="1"/>
  <c r="AE58" i="1" s="1"/>
  <c r="AD58" i="1"/>
  <c r="AG58" i="1"/>
  <c r="AF58" i="1" s="1"/>
  <c r="P59" i="1"/>
  <c r="AH58" i="1" l="1"/>
  <c r="AH57" i="1"/>
  <c r="V59" i="1"/>
  <c r="AC59" i="1" s="1"/>
  <c r="AD59" i="1" s="1"/>
  <c r="Y59" i="1"/>
  <c r="P60" i="1"/>
  <c r="AG59" i="1" l="1"/>
  <c r="AF59" i="1" s="1"/>
  <c r="AH59" i="1"/>
  <c r="AE59" i="1"/>
  <c r="V60" i="1"/>
  <c r="AC60" i="1" s="1"/>
  <c r="AD60" i="1" s="1"/>
  <c r="Y60" i="1"/>
  <c r="M61" i="1"/>
  <c r="N61" i="1" s="1"/>
  <c r="V61" i="1"/>
  <c r="AC61" i="1" s="1"/>
  <c r="Y61" i="1"/>
  <c r="P62" i="1"/>
  <c r="AG60" i="1" l="1"/>
  <c r="AF60" i="1" s="1"/>
  <c r="AH60" i="1"/>
  <c r="AD61" i="1"/>
  <c r="AE61" i="1"/>
  <c r="AG61" i="1"/>
  <c r="AF61" i="1" s="1"/>
  <c r="AE60" i="1"/>
  <c r="V62" i="1"/>
  <c r="AC62" i="1" s="1"/>
  <c r="Y62" i="1"/>
  <c r="P63" i="1"/>
  <c r="AH61" i="1" l="1"/>
  <c r="AD62" i="1"/>
  <c r="AE62" i="1"/>
  <c r="AG62" i="1"/>
  <c r="AF62" i="1" s="1"/>
  <c r="V63" i="1"/>
  <c r="AC63" i="1" s="1"/>
  <c r="Y63" i="1"/>
  <c r="P64" i="1"/>
  <c r="AE63" i="1" l="1"/>
  <c r="AD63" i="1"/>
  <c r="AG63" i="1"/>
  <c r="AF63" i="1" s="1"/>
  <c r="AH62" i="1"/>
  <c r="V64" i="1"/>
  <c r="Y64" i="1"/>
  <c r="AC64" i="1"/>
  <c r="AE64" i="1" s="1"/>
  <c r="AD64" i="1"/>
  <c r="AG64" i="1"/>
  <c r="AF64" i="1" s="1"/>
  <c r="P65" i="1"/>
  <c r="AH64" i="1" l="1"/>
  <c r="AH63" i="1"/>
  <c r="V65" i="1"/>
  <c r="AC65" i="1" s="1"/>
  <c r="AD65" i="1" s="1"/>
  <c r="Y65" i="1"/>
  <c r="P66" i="1"/>
  <c r="AG65" i="1" l="1"/>
  <c r="AF65" i="1" s="1"/>
  <c r="AH65" i="1" s="1"/>
  <c r="AE65" i="1"/>
  <c r="V66" i="1"/>
  <c r="AC66" i="1" s="1"/>
  <c r="AD66" i="1" s="1"/>
  <c r="Y66" i="1"/>
  <c r="P68" i="1"/>
  <c r="AG66" i="1" l="1"/>
  <c r="AF66" i="1" s="1"/>
  <c r="AH66" i="1"/>
  <c r="AE66" i="1"/>
  <c r="V68" i="1"/>
  <c r="AC68" i="1" s="1"/>
  <c r="AD68" i="1" s="1"/>
  <c r="Y68" i="1"/>
  <c r="P69" i="1"/>
  <c r="AG68" i="1" l="1"/>
  <c r="AF68" i="1" s="1"/>
  <c r="AH68" i="1"/>
  <c r="AE68" i="1"/>
  <c r="V69" i="1"/>
  <c r="AC69" i="1" s="1"/>
  <c r="AD69" i="1" s="1"/>
  <c r="Y69" i="1"/>
  <c r="P70" i="1"/>
  <c r="AG69" i="1" l="1"/>
  <c r="AF69" i="1" s="1"/>
  <c r="AH69" i="1"/>
  <c r="AE69" i="1"/>
  <c r="V70" i="1"/>
  <c r="AC70" i="1" s="1"/>
  <c r="AD70" i="1" s="1"/>
  <c r="Y70" i="1"/>
  <c r="P71" i="1"/>
  <c r="AG70" i="1" l="1"/>
  <c r="AF70" i="1" s="1"/>
  <c r="AH70" i="1"/>
  <c r="AE70" i="1"/>
  <c r="V71" i="1"/>
  <c r="AG71" i="1" s="1"/>
  <c r="AF71" i="1" s="1"/>
  <c r="Y71" i="1"/>
  <c r="AC71" i="1"/>
  <c r="AD71" i="1" s="1"/>
  <c r="P72" i="1"/>
  <c r="AH71" i="1" l="1"/>
  <c r="AE71" i="1"/>
  <c r="V72" i="1"/>
  <c r="AG72" i="1" s="1"/>
  <c r="AF72" i="1" s="1"/>
  <c r="Y72" i="1"/>
  <c r="AC72" i="1"/>
  <c r="AD72" i="1" s="1"/>
  <c r="AH72" i="1" l="1"/>
  <c r="AE72" i="1"/>
  <c r="V15" i="1" l="1"/>
  <c r="Y15" i="1"/>
  <c r="V16" i="1"/>
  <c r="AC16" i="1" s="1"/>
  <c r="AE16" i="1" s="1"/>
  <c r="Y16" i="1"/>
  <c r="P15" i="1"/>
  <c r="P17" i="1"/>
  <c r="P16" i="1"/>
  <c r="AG16" i="1" l="1"/>
  <c r="AF16" i="1" s="1"/>
  <c r="AD16" i="1"/>
  <c r="V17" i="1"/>
  <c r="AG17" i="1" s="1"/>
  <c r="AF17" i="1" s="1"/>
  <c r="Y17" i="1"/>
  <c r="AC17" i="1"/>
  <c r="AE17" i="1" s="1"/>
  <c r="P18" i="1"/>
  <c r="AH16" i="1" l="1"/>
  <c r="AD17" i="1"/>
  <c r="AH17" i="1" s="1"/>
  <c r="V18" i="1"/>
  <c r="AC18" i="1" s="1"/>
  <c r="AE18" i="1" s="1"/>
  <c r="Y18" i="1"/>
  <c r="P21" i="1"/>
  <c r="AG18" i="1" l="1"/>
  <c r="AF18" i="1" s="1"/>
  <c r="AD18" i="1"/>
  <c r="AH18" i="1" s="1"/>
  <c r="V21" i="1"/>
  <c r="Y21" i="1"/>
  <c r="V22" i="1"/>
  <c r="AC22" i="1" s="1"/>
  <c r="AE22" i="1" s="1"/>
  <c r="Y22" i="1"/>
  <c r="P23" i="1"/>
  <c r="P22" i="1"/>
  <c r="AG22" i="1" l="1"/>
  <c r="AF22" i="1" s="1"/>
  <c r="AD22" i="1"/>
  <c r="V23" i="1"/>
  <c r="AC23" i="1" s="1"/>
  <c r="AE23" i="1" s="1"/>
  <c r="Y23" i="1"/>
  <c r="P24" i="1"/>
  <c r="AH22" i="1" l="1"/>
  <c r="AG23" i="1"/>
  <c r="AF23" i="1" s="1"/>
  <c r="AD23" i="1"/>
  <c r="V24" i="1"/>
  <c r="AC24" i="1" s="1"/>
  <c r="Y24" i="1"/>
  <c r="AH23" i="1" l="1"/>
  <c r="AE24" i="1"/>
  <c r="AD24" i="1"/>
  <c r="AG24" i="1"/>
  <c r="AF24" i="1" s="1"/>
  <c r="AH24" i="1" s="1"/>
  <c r="M13" i="1" l="1"/>
  <c r="N13" i="1" s="1"/>
  <c r="V13" i="1"/>
  <c r="Y13" i="1"/>
  <c r="V14" i="1"/>
  <c r="Y14" i="1"/>
  <c r="P14" i="1"/>
  <c r="AC15" i="1" l="1"/>
  <c r="AG15" i="1"/>
  <c r="AF15" i="1" s="1"/>
  <c r="AC13" i="1"/>
  <c r="AE13" i="1" s="1"/>
  <c r="AC14" i="1" s="1"/>
  <c r="AD15" i="1" l="1"/>
  <c r="AH15" i="1" s="1"/>
  <c r="AE15" i="1"/>
  <c r="AD13" i="1"/>
  <c r="AD14" i="1"/>
  <c r="AE14" i="1"/>
  <c r="W8" i="1" l="1"/>
  <c r="W7" i="1"/>
  <c r="W6" i="1"/>
  <c r="V19" i="1" l="1"/>
  <c r="V20" i="1"/>
  <c r="AC21" i="1" l="1"/>
  <c r="AG21" i="1"/>
  <c r="AF21" i="1" s="1"/>
  <c r="E24" i="22"/>
  <c r="E8" i="13"/>
  <c r="E7" i="13"/>
  <c r="E6" i="13"/>
  <c r="E5" i="13"/>
  <c r="P29" i="1"/>
  <c r="P20" i="1"/>
  <c r="P26" i="1"/>
  <c r="P28" i="1"/>
  <c r="P27" i="1"/>
  <c r="P30" i="1"/>
  <c r="AE21" i="1" l="1"/>
  <c r="AD21" i="1"/>
  <c r="AH21" i="1" s="1"/>
  <c r="F222" i="13"/>
  <c r="F212" i="13"/>
  <c r="F213" i="13"/>
  <c r="F214" i="13"/>
  <c r="F215" i="13"/>
  <c r="F216" i="13"/>
  <c r="F217" i="13"/>
  <c r="F218" i="13"/>
  <c r="F219" i="13"/>
  <c r="F220" i="13"/>
  <c r="F221" i="13"/>
  <c r="F211" i="13"/>
  <c r="B222" i="13" a="1"/>
  <c r="B222"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Y30" i="1" l="1"/>
  <c r="V30" i="1"/>
  <c r="Y29" i="1"/>
  <c r="V29" i="1"/>
  <c r="Y28" i="1"/>
  <c r="V28" i="1"/>
  <c r="Y27" i="1"/>
  <c r="V27" i="1"/>
  <c r="Y26" i="1"/>
  <c r="V26" i="1"/>
  <c r="Y25" i="1"/>
  <c r="V25" i="1"/>
  <c r="M25" i="1"/>
  <c r="N25" i="1" s="1"/>
  <c r="M19" i="1"/>
  <c r="N19" i="1" s="1"/>
  <c r="Y20" i="1"/>
  <c r="Y19" i="1"/>
  <c r="AC19" i="1" l="1"/>
  <c r="AC25" i="1"/>
  <c r="AD25" i="1" l="1"/>
  <c r="AE25" i="1"/>
  <c r="AC26" i="1" s="1"/>
  <c r="AD26" i="1" s="1"/>
  <c r="AD19" i="1"/>
  <c r="AE19" i="1"/>
  <c r="AC20" i="1" s="1"/>
  <c r="AE26" i="1" l="1"/>
  <c r="AC27" i="1" s="1"/>
  <c r="AD27"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E27" i="1" l="1"/>
  <c r="AC28" i="1" s="1"/>
  <c r="AE28" i="1" s="1"/>
  <c r="AD20" i="1"/>
  <c r="AE20" i="1"/>
  <c r="AD28" i="1" l="1"/>
  <c r="AC29" i="1"/>
  <c r="AD29" i="1" l="1"/>
  <c r="AE29" i="1"/>
  <c r="AC30" i="1" s="1"/>
  <c r="AD30" i="1" s="1"/>
  <c r="AE30" i="1" l="1"/>
  <c r="AB36" i="18" l="1"/>
  <c r="AH12" i="18"/>
  <c r="P28" i="18"/>
  <c r="AH20" i="18"/>
  <c r="P36" i="18"/>
  <c r="V12" i="18"/>
  <c r="AH28" i="18"/>
  <c r="AB20" i="18"/>
  <c r="J12" i="18"/>
  <c r="J20" i="18"/>
  <c r="P44" i="18"/>
  <c r="AB44" i="18"/>
  <c r="V28" i="18"/>
  <c r="V36" i="18"/>
  <c r="J28" i="18"/>
  <c r="AH36" i="18"/>
  <c r="J44" i="18"/>
  <c r="P12" i="18"/>
  <c r="AB12" i="18"/>
  <c r="V44" i="18"/>
  <c r="AH44" i="18"/>
  <c r="V20" i="18"/>
  <c r="P20" i="18"/>
  <c r="J36" i="18"/>
  <c r="AB28" i="18"/>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45" i="19" l="1"/>
  <c r="S12" i="19"/>
  <c r="AG27" i="1"/>
  <c r="AG28" i="1" s="1"/>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Y52" i="19"/>
  <c r="S22" i="19"/>
  <c r="AK52" i="19"/>
  <c r="M22" i="19"/>
  <c r="AK32" i="19"/>
  <c r="AE22" i="19"/>
  <c r="AE42" i="19"/>
  <c r="S42" i="19"/>
  <c r="S52" i="19" l="1"/>
  <c r="AK22" i="19"/>
  <c r="AK12" i="19"/>
  <c r="AE52" i="19"/>
  <c r="Y42" i="19"/>
  <c r="Q55" i="19"/>
  <c r="Y22" i="19"/>
  <c r="Y32" i="19"/>
  <c r="AE12" i="19"/>
  <c r="M52" i="19"/>
  <c r="Y12" i="19"/>
  <c r="S32" i="19"/>
  <c r="M32" i="19"/>
  <c r="M42" i="19"/>
  <c r="W45" i="19"/>
  <c r="K25" i="19"/>
  <c r="W55" i="19"/>
  <c r="AI25" i="19"/>
  <c r="AI45" i="19"/>
  <c r="Q25" i="19"/>
  <c r="AC35" i="19"/>
  <c r="AI15" i="19"/>
  <c r="Q35" i="19"/>
  <c r="W25" i="19"/>
  <c r="AC25" i="19"/>
  <c r="AI55" i="19"/>
  <c r="K15" i="19"/>
  <c r="Q15" i="19"/>
  <c r="K35" i="19"/>
  <c r="W35" i="19"/>
  <c r="W15" i="19"/>
  <c r="AC15" i="19"/>
  <c r="Q45" i="19"/>
  <c r="AC55" i="19"/>
  <c r="K55" i="19"/>
  <c r="AC45" i="19"/>
  <c r="AI35" i="19"/>
  <c r="AF27" i="1"/>
  <c r="R18" i="19"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G29" i="1"/>
  <c r="AF29" i="1" s="1"/>
  <c r="AF28" i="1"/>
  <c r="AG30" i="1"/>
  <c r="AF30"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R15" i="19" l="1"/>
  <c r="R55" i="19"/>
  <c r="AD25" i="19"/>
  <c r="L55" i="19"/>
  <c r="AJ35" i="19"/>
  <c r="X55" i="19"/>
  <c r="X35" i="19"/>
  <c r="AD15" i="19"/>
  <c r="X25" i="19"/>
  <c r="X45" i="19"/>
  <c r="L35" i="19"/>
  <c r="R35" i="19"/>
  <c r="AJ15" i="19"/>
  <c r="L15" i="19"/>
  <c r="AJ25" i="19"/>
  <c r="AJ55" i="19"/>
  <c r="L45" i="19"/>
  <c r="AD35" i="19"/>
  <c r="R25" i="19"/>
  <c r="AD45" i="19"/>
  <c r="R45" i="19"/>
  <c r="AD55" i="19"/>
  <c r="X15" i="19"/>
  <c r="L25" i="19"/>
  <c r="AJ45" i="19"/>
  <c r="Z35" i="19"/>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 r="P31" i="1" l="1"/>
  <c r="Q31" i="1" s="1"/>
  <c r="P37" i="1"/>
  <c r="Q37" i="1" s="1"/>
  <c r="P43" i="1"/>
  <c r="Q43" i="1" s="1"/>
  <c r="P49" i="1"/>
  <c r="Q49" i="1" s="1"/>
  <c r="P55" i="1"/>
  <c r="Q55" i="1" s="1"/>
  <c r="P61" i="1"/>
  <c r="Q61" i="1" s="1"/>
  <c r="P13" i="1"/>
  <c r="Q13" i="1" s="1"/>
  <c r="P25" i="1"/>
  <c r="Q25" i="1" s="1"/>
  <c r="P19" i="1"/>
  <c r="Q19" i="1" s="1"/>
  <c r="H211" i="13"/>
  <c r="AD38" i="18" l="1"/>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R14" i="18"/>
  <c r="X30" i="18"/>
  <c r="T38" i="18"/>
  <c r="AF22" i="18"/>
  <c r="N38" i="18"/>
  <c r="AF30" i="18"/>
  <c r="AL6" i="18"/>
  <c r="Z6" i="18"/>
  <c r="S25" i="1"/>
  <c r="T14" i="18"/>
  <c r="T22" i="18"/>
  <c r="N6" i="18"/>
  <c r="AL30" i="18"/>
  <c r="Z22" i="18"/>
  <c r="Z14" i="18"/>
  <c r="R25" i="1"/>
  <c r="AG25" i="1" s="1"/>
  <c r="AF25" i="1" s="1"/>
  <c r="Z30" i="18"/>
  <c r="AL38" i="18"/>
  <c r="AL14" i="18"/>
  <c r="AF6" i="18"/>
  <c r="AL22" i="18"/>
  <c r="T30" i="18"/>
  <c r="Z38" i="18"/>
  <c r="AF14" i="18"/>
  <c r="N30" i="18"/>
  <c r="N14" i="18"/>
  <c r="N22" i="18"/>
  <c r="AF38" i="18"/>
  <c r="T6" i="18"/>
  <c r="R13" i="1"/>
  <c r="AG13" i="1" s="1"/>
  <c r="S13" i="1"/>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61" i="1"/>
  <c r="S61"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R55" i="1"/>
  <c r="S55" i="1"/>
  <c r="AJ34" i="18"/>
  <c r="R34" i="18"/>
  <c r="R42" i="18"/>
  <c r="AJ26" i="18"/>
  <c r="X10" i="18"/>
  <c r="X42" i="18"/>
  <c r="L42" i="18"/>
  <c r="R18" i="18"/>
  <c r="R26" i="18"/>
  <c r="L34" i="18"/>
  <c r="X26" i="18"/>
  <c r="X34" i="18"/>
  <c r="AD18" i="18"/>
  <c r="AD34" i="18"/>
  <c r="L26" i="18"/>
  <c r="AJ10" i="18"/>
  <c r="AJ42" i="18"/>
  <c r="AJ18" i="18"/>
  <c r="AD26" i="18"/>
  <c r="L10" i="18"/>
  <c r="AD10" i="18"/>
  <c r="X18" i="18"/>
  <c r="AD42" i="18"/>
  <c r="L18" i="18"/>
  <c r="R10" i="18"/>
  <c r="R49" i="1"/>
  <c r="S49"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S43" i="1"/>
  <c r="R43" i="1"/>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R37" i="1"/>
  <c r="S37" i="1"/>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R31" i="1"/>
  <c r="S31" i="1"/>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F13" i="1" l="1"/>
  <c r="AG14" i="1"/>
  <c r="AF14" i="1" s="1"/>
  <c r="AG20" i="1"/>
  <c r="AF20" i="1" s="1"/>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19" i="1"/>
  <c r="AG26" i="1"/>
  <c r="AF26" i="1" s="1"/>
  <c r="AC18" i="19" l="1"/>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H14"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13" i="1"/>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alcChain>
</file>

<file path=xl/sharedStrings.xml><?xml version="1.0" encoding="utf-8"?>
<sst xmlns="http://schemas.openxmlformats.org/spreadsheetml/2006/main" count="703" uniqueCount="451">
  <si>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</si>
  <si>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</si>
  <si>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</si>
  <si>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</si>
  <si>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</si>
  <si>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</si>
  <si>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</si>
  <si>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</si>
  <si>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</si>
  <si>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</si>
  <si>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</si>
  <si>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</si>
  <si>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</si>
  <si>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</si>
  <si>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</si>
  <si>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</si>
  <si>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</si>
  <si>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</si>
  <si>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</si>
  <si>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</si>
  <si>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</si>
  <si>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</si>
  <si>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</si>
  <si>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</si>
  <si>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</si>
  <si>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</si>
  <si>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</si>
  <si>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</si>
  <si>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</si>
  <si>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</si>
  <si>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</si>
  <si>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</si>
  <si>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</si>
  <si>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</si>
  <si>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</si>
  <si>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</si>
  <si>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</si>
  <si>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</si>
  <si>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</si>
  <si>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</si>
  <si>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</si>
  <si>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</si>
  <si>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</si>
  <si>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</si>
  <si>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</si>
  <si>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</si>
  <si>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</si>
  <si>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</si>
  <si>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</si>
  <si>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</si>
  <si>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</si>
  <si>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</si>
  <si>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</si>
  <si>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</si>
  <si>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</si>
  <si>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</si>
  <si>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</si>
  <si>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</si>
  <si>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</si>
  <si>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</si>
  <si>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</si>
  <si>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</si>
  <si>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</si>
  <si>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</si>
  <si>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</si>
  <si>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</si>
  <si>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</si>
  <si>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</si>
  <si>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</si>
  <si>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</si>
  <si>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</si>
  <si>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</si>
  <si>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</si>
  <si>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</si>
  <si>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</si>
  <si>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</si>
  <si>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</si>
  <si>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</si>
  <si>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</si>
  <si>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VERSIÓN: 2</t>
  </si>
  <si>
    <t>FECHA DE APLICACIÓN: DICIEMBRE 2021</t>
  </si>
  <si>
    <t>PROCESO:</t>
  </si>
  <si>
    <t>DEPENDENCIA</t>
  </si>
  <si>
    <t xml:space="preserve">CONTEXTO  DE PROCESO </t>
  </si>
  <si>
    <t>ANALISIS</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</si>
  <si>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</si>
  <si>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</si>
  <si>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</si>
  <si>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</si>
  <si>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</si>
  <si>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</si>
  <si>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</si>
  <si>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</si>
  <si>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</si>
  <si>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</si>
  <si>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</si>
  <si>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OTROS</t>
  </si>
  <si>
    <t>CONTEXTO  DE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</si>
  <si>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</si>
  <si>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</si>
  <si>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</si>
  <si>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</si>
  <si>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</si>
  <si>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</si>
  <si>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</si>
  <si>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</si>
  <si>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</si>
  <si>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</si>
  <si>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</si>
  <si>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</si>
  <si>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</si>
  <si>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</si>
  <si>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</si>
  <si>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</si>
  <si>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</si>
  <si>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</si>
  <si>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</si>
  <si>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</si>
  <si>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 xml:space="preserve">                FECHA DE APLICACIÓN: DICIEMBRE 2021</t>
  </si>
  <si>
    <t>Proceso:</t>
  </si>
  <si>
    <t>Objetivo:</t>
  </si>
  <si>
    <t>Coordinar los diferentes procesos de contratación requeridos por la entidad, en las etapas precontractual, contractual y postcontractual, mediante la sujeción de la normatividad legal vigente, con el fin de garantizar la adquisición de bienes, servicios y obra pública para suplir las necesidades de la entidad, y el cumplimiento de las metas y los objetivos institucionales de la entidad, bajo parámetros de efectividad, calidad y transparencia.</t>
  </si>
  <si>
    <t>Alcance:</t>
  </si>
  <si>
    <t>Inicia con la identificación y programación de las necesidades de adquisición de bienes, servicios y obras públicas de la entidad y finaliza con la liquidación de los contratos, si a ello hay lugar y el archivo final de todos los documentos del proceso contractual.</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</si>
  <si>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</si>
  <si>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</si>
  <si>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</si>
  <si>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</si>
  <si>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</si>
  <si>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</si>
  <si>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</si>
  <si>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</si>
  <si>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</si>
  <si>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</si>
  <si>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</si>
  <si>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</si>
  <si>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</si>
  <si>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</si>
  <si>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</si>
  <si>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</si>
  <si>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</si>
  <si>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</si>
  <si>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</si>
  <si>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</si>
  <si>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</si>
  <si>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</si>
  <si>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</si>
  <si>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</si>
  <si>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</si>
  <si>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</si>
  <si>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</si>
  <si>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</si>
  <si>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</si>
  <si>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</si>
  <si>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</si>
  <si>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</si>
  <si>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</si>
  <si>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</si>
  <si>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</si>
  <si>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</si>
  <si>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</si>
  <si>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Reputacional</t>
  </si>
  <si>
    <t>Corrupción</t>
  </si>
  <si>
    <t>Soborno</t>
  </si>
  <si>
    <t xml:space="preserve">     El riesgo afecta la imagen de la entidad internamente, de conocimiento general, nivel interno, de junta dircetiva y accionistas y/o de provedores</t>
  </si>
  <si>
    <t>Preventivo</t>
  </si>
  <si>
    <t>Manual</t>
  </si>
  <si>
    <t>Documentado</t>
  </si>
  <si>
    <t>Continua</t>
  </si>
  <si>
    <t>Con Registro</t>
  </si>
  <si>
    <t>Evitar</t>
  </si>
  <si>
    <t>Servidor Público o contratista designado</t>
  </si>
  <si>
    <t>Los correos electrónicos institucionales en los cuales se informa la aprobación de los procesos de selección en la respectiva sesión del Comité de Contratación.</t>
  </si>
  <si>
    <t xml:space="preserve">Frente a la materialización del riesgo, se dará apertura a las investigaciones pertinentes:  disciplinarias para determinar el nivel de responsabilidad de los servidores públicos (por la OCDI) y en el caso de faltas gravisismas de  contratistas (por la Procuraduria, quien tiene la competencia exclusiva para disciplinarlos) </t>
  </si>
  <si>
    <t>Actuación disciplinaria</t>
  </si>
  <si>
    <t xml:space="preserve">Oficina de Control Disciplinario Interno o Procuraduria </t>
  </si>
  <si>
    <t>R1-C2
El Enlace GCON promoverá que el equipo de gestión contractual participe en la sensibiliación Anual del Manual "codigo de integridad UAERMV", con el objeto de apropiar la integridad en el marco de la lucha contra la corrupción en el proceso GCON, para evitar conductas o comportamientos inadecuados, que transgredan dicho código. 
Como evidencia se aportará el listado de asistencia a la sensibiliación y se aplicará Evaluación Interna al equipo de gestión contratual de esta sensibilización.
En caso de evidenciar que no se ha realizado la sensibilización, reiterará la solicitud para su realización a Gestión de Talento Humano a través del correo institucional.</t>
  </si>
  <si>
    <t>Aleatoria</t>
  </si>
  <si>
    <t>Reducir (mitigar)</t>
  </si>
  <si>
    <t>Enviar el correo electrónico institucional al equipo de gestión contractual por parte del enlace GCON, donde se informa que se realizará sensibilización del Codigo de integridad y posterior evaluación interna.</t>
  </si>
  <si>
    <t xml:space="preserve">Correo electrónico intitucional, listado de asistencia a sensibilización, convocatoria a  evaluación interna con resultados generales </t>
  </si>
  <si>
    <t>Gestión</t>
  </si>
  <si>
    <t>Ejecucion y Administracion de procesos</t>
  </si>
  <si>
    <t>Correctivo</t>
  </si>
  <si>
    <t>Revisar que las matrices de riesgos de los procesos selectivos, cumplan con los lineamientos de Colombia Compra Eficiente.</t>
  </si>
  <si>
    <t>Observaciones a la Matriz de riesgo de cada proceso selectivo en el aplicativo ORFEO para su trazabilidad</t>
  </si>
  <si>
    <t>R2-C2
El servidor público o contratista (profesional), del proceso Gestión Contractual,  designado por la Secretaria General, antes de aprobar los documentos definitivos de un proceso de selección, validará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</si>
  <si>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Verificar que el formato GCON-FM-089- Análisis de riesgos contractuales, de cada proceso Selectivo esté publicada en el Secop</t>
  </si>
  <si>
    <t>Pantallazo o hipervinculo del proceso selectivo en el Secop, donde se visualice el formato GCON-FM-089 publicado</t>
  </si>
  <si>
    <t xml:space="preserve"> Manejo inadecuado de los datos o información por parte de los usuarios responsables del expediente contractual. </t>
  </si>
  <si>
    <t xml:space="preserve">     El riesgo afecta la imagen de la entidad con algunos usuarios de relevancia frente al logro de los objetivos</t>
  </si>
  <si>
    <t>Dar apertura a las investigaciones disciplinarias para determinar el nivel de responsabilidad de los servidores públicos frente a la materialización del riesgo.</t>
  </si>
  <si>
    <t xml:space="preserve">Secretaria General </t>
  </si>
  <si>
    <t>Mantener actualizada la base de datos de los procesos GCON, para su consulta.</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</si>
  <si>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</si>
  <si>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</si>
  <si>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</si>
  <si>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</si>
  <si>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</si>
  <si>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</si>
  <si>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</si>
  <si>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</si>
  <si>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</si>
  <si>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</si>
  <si>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</si>
  <si>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</si>
  <si>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</si>
  <si>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</si>
  <si>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</si>
  <si>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</si>
  <si>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</si>
  <si>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</si>
  <si>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</si>
  <si>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</si>
  <si>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</si>
  <si>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</si>
  <si>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</si>
  <si>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</si>
  <si>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</si>
  <si>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</si>
  <si>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</si>
  <si>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</si>
  <si>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</si>
  <si>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</si>
  <si>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</si>
  <si>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</si>
  <si>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</si>
  <si>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</si>
  <si>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</si>
  <si>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</si>
  <si>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</si>
  <si>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</si>
  <si>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</si>
  <si>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</si>
  <si>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</si>
  <si>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</si>
  <si>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</si>
  <si>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</si>
  <si>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</si>
  <si>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</si>
  <si>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</si>
  <si>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</si>
  <si>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</si>
  <si>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</si>
  <si>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</si>
  <si>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</si>
  <si>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</si>
  <si>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</si>
  <si>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</si>
  <si>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</si>
  <si>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</si>
  <si>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</si>
  <si>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</si>
  <si>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</si>
  <si>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</si>
  <si>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</si>
  <si>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</si>
  <si>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</si>
  <si>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</si>
  <si>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</si>
  <si>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</si>
  <si>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</si>
  <si>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</si>
  <si>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</si>
  <si>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</si>
  <si>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</si>
  <si>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</si>
  <si>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</si>
  <si>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</si>
  <si>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</si>
  <si>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</si>
  <si>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</si>
  <si>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</si>
  <si>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X</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</si>
  <si>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</si>
  <si>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</si>
  <si>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</si>
  <si>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</si>
  <si>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</si>
  <si>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</si>
  <si>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</si>
  <si>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</si>
  <si>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</si>
  <si>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</si>
  <si>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</si>
  <si>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</si>
  <si>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</si>
  <si>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</si>
  <si>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</si>
  <si>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</si>
  <si>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</si>
  <si>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</si>
  <si>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</si>
  <si>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</si>
  <si>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</si>
  <si>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</si>
  <si>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</si>
  <si>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</si>
  <si>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</si>
  <si>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</si>
  <si>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</si>
  <si>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</si>
  <si>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</si>
  <si>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</si>
  <si>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</si>
  <si>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</si>
  <si>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</si>
  <si>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</si>
  <si>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</si>
  <si>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 xml:space="preserve">Pérdida de la confidencialidad </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</si>
  <si>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</si>
  <si>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</si>
  <si>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</si>
  <si>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 xml:space="preserve">Pérdida de la disponibilidad </t>
  </si>
  <si>
    <t>TIPO DE ACTIVO</t>
  </si>
  <si>
    <t>EQUIPAMIENTO AUXILIAR</t>
  </si>
  <si>
    <t>TIPO</t>
  </si>
  <si>
    <t>AMENAZA</t>
  </si>
  <si>
    <t>HARDWARE</t>
  </si>
  <si>
    <t>Daño físico </t>
  </si>
  <si>
    <t>Fuego</t>
  </si>
  <si>
    <t>INFORMACIÓN</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</si>
  <si>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</si>
  <si>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</si>
  <si>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</si>
  <si>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</si>
  <si>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</si>
  <si>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</si>
  <si>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</si>
  <si>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</si>
  <si>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</si>
  <si>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</si>
  <si>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</si>
  <si>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</si>
  <si>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</si>
  <si>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</si>
  <si>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</si>
  <si>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</si>
  <si>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</si>
  <si>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</si>
  <si>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</si>
  <si>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</si>
  <si>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</si>
  <si>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</si>
  <si>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</si>
  <si>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</si>
  <si>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</si>
  <si>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</si>
  <si>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</si>
  <si>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</si>
  <si>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</si>
  <si>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</si>
  <si>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</si>
  <si>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</si>
  <si>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</si>
  <si>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</si>
  <si>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</si>
  <si>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</si>
  <si>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</si>
  <si>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técnicas </t>
  </si>
  <si>
    <t>Fallas del equipo </t>
  </si>
  <si>
    <t>Mal funcionamiento del equipo </t>
  </si>
  <si>
    <t>Saturación del sistema de información </t>
  </si>
  <si>
    <t>Mal funcionamiento del software </t>
  </si>
  <si>
    <t>Incumplimiento en el mantenimiento del sistema de información. </t>
  </si>
  <si>
    <t>Acciones no autorizadas </t>
  </si>
  <si>
    <t>Uso no autorizado del equipo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</si>
  <si>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</si>
  <si>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</si>
  <si>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</si>
  <si>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</si>
  <si>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</si>
  <si>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</si>
  <si>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</si>
  <si>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</si>
  <si>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</si>
  <si>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</si>
  <si>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</si>
  <si>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</si>
  <si>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</si>
  <si>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</si>
  <si>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</si>
  <si>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</si>
  <si>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</si>
  <si>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</si>
  <si>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</si>
  <si>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</si>
  <si>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</si>
  <si>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</si>
  <si>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</si>
  <si>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</si>
  <si>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</si>
  <si>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</si>
  <si>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</si>
  <si>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</si>
  <si>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</si>
  <si>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</si>
  <si>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</si>
  <si>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</si>
  <si>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</si>
  <si>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</si>
  <si>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</si>
  <si>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</si>
  <si>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</si>
  <si>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</si>
  <si>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</si>
  <si>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</si>
  <si>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</si>
  <si>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</si>
  <si>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</si>
  <si>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</si>
  <si>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</si>
  <si>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</si>
  <si>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</si>
  <si>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</si>
  <si>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</si>
  <si>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</si>
  <si>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Desconocimiento de la metodología para la asignación, tipificación e identificación de los riesgos contractuales</t>
  </si>
  <si>
    <t xml:space="preserve">Desconocimiento del procedimiento interno de gestión documental interno, para el adecuado manejo de los datos o información por parte de los usuarios responsables del expediente contractual. </t>
  </si>
  <si>
    <t>Errores en el diligenciamiento del formato Análisis de Riesgos Contractuales de cada proceso contractual</t>
  </si>
  <si>
    <r>
      <rPr>
        <sz val="21"/>
        <color rgb="FF00B050"/>
        <rFont val="Arial"/>
        <family val="2"/>
      </rPr>
      <t xml:space="preserve">9) Las </t>
    </r>
    <r>
      <rPr>
        <u/>
        <sz val="21"/>
        <color rgb="FF00B050"/>
        <rFont val="Arial"/>
        <family val="2"/>
      </rPr>
      <t>actas de los Comités de Contratación</t>
    </r>
    <r>
      <rPr>
        <sz val="21"/>
        <color rgb="FF00B050"/>
        <rFont val="Arial"/>
        <family val="2"/>
      </rPr>
      <t xml:space="preserve"> UAERMV efectuados presencial y virtualmente, quedan en custodia de la Secretaría General para su archivo y consulta, por ejercer la secretaría técnica de este comité, como responsable del Proceso Gestión Contractual.</t>
    </r>
    <r>
      <rPr>
        <sz val="21"/>
        <rFont val="Arial"/>
        <family val="2"/>
      </rPr>
      <t xml:space="preserve">
10) El </t>
    </r>
    <r>
      <rPr>
        <u/>
        <sz val="21"/>
        <rFont val="Arial"/>
        <family val="2"/>
      </rPr>
      <t>expediente del contrato</t>
    </r>
    <r>
      <rPr>
        <sz val="21"/>
        <rFont val="Arial"/>
        <family val="2"/>
      </rPr>
      <t xml:space="preserve"> es el que contiene la información y documentación de las diferentes etapas del proceso contractual; que, según las responsabilidades establecidas en el manual de contratación vigente,  cada actor debe cerciorarse de entregar o cargar la documentación soporte de las diferentes actuaciones contractuales a su cargo.
11) La </t>
    </r>
    <r>
      <rPr>
        <u/>
        <sz val="21"/>
        <color rgb="FF00B050"/>
        <rFont val="Arial"/>
        <family val="2"/>
      </rPr>
      <t>Base de Datos de Contratación</t>
    </r>
    <r>
      <rPr>
        <sz val="21"/>
        <color rgb="FF00B050"/>
        <rFont val="Arial"/>
        <family val="2"/>
      </rPr>
      <t xml:space="preserve">, se actualiza permanentemente por el proceso Gestión Contractual, la cual contiene los datos de todos los procesos contractuales de la vigencia. </t>
    </r>
  </si>
  <si>
    <r>
      <rPr>
        <sz val="21"/>
        <color rgb="FF00B050"/>
        <rFont val="Arial"/>
        <family val="2"/>
      </rPr>
      <t xml:space="preserve">7) Dado que el proceso de gestion contractual  es un proceso de apoyo a la gestion y transversal a la entidad  en la adquisición de bienes, servicios y obra pública de la entidad, su labor le permite </t>
    </r>
    <r>
      <rPr>
        <u/>
        <sz val="21"/>
        <color rgb="FF00B050"/>
        <rFont val="Arial"/>
        <family val="2"/>
      </rPr>
      <t>comunicarse con cada uno de los procesos</t>
    </r>
    <r>
      <rPr>
        <sz val="21"/>
        <color rgb="FF00B050"/>
        <rFont val="Arial"/>
        <family val="2"/>
      </rPr>
      <t xml:space="preserve"> de las dependencias para gestionar la consecución de las diferentes necesidades que se establecieron en el plan anual de adquisiciones.</t>
    </r>
    <r>
      <rPr>
        <sz val="21"/>
        <rFont val="Arial"/>
        <family val="2"/>
      </rPr>
      <t xml:space="preserve">
</t>
    </r>
    <r>
      <rPr>
        <sz val="21"/>
        <color rgb="FF00B050"/>
        <rFont val="Arial"/>
        <family val="2"/>
      </rPr>
      <t xml:space="preserve">8) En el expediente del contrato del sistema de gestión documental ORFEO, se pueden consultar  las </t>
    </r>
    <r>
      <rPr>
        <u/>
        <sz val="21"/>
        <color rgb="FF00B050"/>
        <rFont val="Arial"/>
        <family val="2"/>
      </rPr>
      <t>comunicaciones internas y externas</t>
    </r>
    <r>
      <rPr>
        <sz val="21"/>
        <color rgb="FF00B050"/>
        <rFont val="Arial"/>
        <family val="2"/>
      </rPr>
      <t xml:space="preserve"> que se generaron durante todo el proceso contractual. </t>
    </r>
  </si>
  <si>
    <r>
      <t xml:space="preserve">12) Todo contratista tiene su hoja de vida cargada en el SIDEAP (Sistema de información Distrital del Empleo y la Administración Pública), con el fin de dar cumplimiento a la directriz del DASCD de actualizar las hojas de vida y la declaración de bienes y rentas; y realizar realizar una declaración general de los conflictos de interés potenciales o reales; de los impedimentos que se le presenten cuando consideren que se encuentran incursos en una causal de conflicto de interés y/o presentar recusaciones, para lograr una </t>
    </r>
    <r>
      <rPr>
        <b/>
        <sz val="21"/>
        <color rgb="FF00B050"/>
        <rFont val="Arial"/>
        <family val="2"/>
      </rPr>
      <t>c</t>
    </r>
    <r>
      <rPr>
        <b/>
        <u/>
        <sz val="21"/>
        <color rgb="FF00B050"/>
        <rFont val="Arial"/>
        <family val="2"/>
      </rPr>
      <t>ultura sostenible de integridad</t>
    </r>
    <r>
      <rPr>
        <sz val="21"/>
        <color rgb="FF00B050"/>
        <rFont val="Arial"/>
        <family val="2"/>
      </rPr>
      <t xml:space="preserve"> para generar apropiación de lo público.</t>
    </r>
  </si>
  <si>
    <t>1) El proceso Gestión Contractual está integrado en su mayoría por contratistas de prestación de servicios y de apoyo a la gestión, lo cual conlleva a una fuga en la gestión del conocimiento, donde la rotación del personal genera pérdida de la memoria institucional en la materia contractual.</t>
  </si>
  <si>
    <r>
      <rPr>
        <sz val="21"/>
        <color rgb="FF00B050"/>
        <rFont val="Arial"/>
        <family val="2"/>
      </rPr>
      <t xml:space="preserve">1) El(la) Secretario(a) General de la Entidad, como responsable del Proceso de Gestión Contractual realiza reuniones periódicas de seguimiento de la ejecución del Plan Anual de Adquisiciones (PAA), con el cual se desarrolla la planeación de la actividad contractual donde se identifican las necesidades de la Entidad en esta materia, y se determina cada objeto del contrato de manera clara y precisa, para la </t>
    </r>
    <r>
      <rPr>
        <b/>
        <sz val="21"/>
        <color rgb="FF00B050"/>
        <rFont val="Arial"/>
        <family val="2"/>
      </rPr>
      <t>aprobación del Comité de Contratación UAERMV</t>
    </r>
    <r>
      <rPr>
        <sz val="21"/>
        <color rgb="FF00B050"/>
        <rFont val="Arial"/>
        <family val="2"/>
      </rPr>
      <t xml:space="preserve">. </t>
    </r>
  </si>
  <si>
    <r>
      <t xml:space="preserve">2) </t>
    </r>
    <r>
      <rPr>
        <sz val="21"/>
        <color rgb="FF00B050"/>
        <rFont val="Arial"/>
        <family val="2"/>
      </rPr>
      <t xml:space="preserve">El proceso Gestión Contractual  por las características respecto a la adquisición de bienes, servicios y obra pública, permite la interacción </t>
    </r>
    <r>
      <rPr>
        <u/>
        <sz val="21"/>
        <color rgb="FF00B050"/>
        <rFont val="Arial"/>
        <family val="2"/>
      </rPr>
      <t>con los demás procesos institucionales</t>
    </r>
    <r>
      <rPr>
        <sz val="21"/>
        <color rgb="FF00B050"/>
        <rFont val="Arial"/>
        <family val="2"/>
      </rPr>
      <t>, para satisfacer las necesidades de contratación en las dependencias.</t>
    </r>
  </si>
  <si>
    <r>
      <rPr>
        <sz val="12"/>
        <color rgb="FFFF9900"/>
        <rFont val="Arial"/>
        <family val="2"/>
      </rPr>
      <t xml:space="preserve">Orientación de la contratación de la Entidad por presión indebida o intereses personales </t>
    </r>
    <r>
      <rPr>
        <strike/>
        <sz val="12"/>
        <color theme="9" tint="-0.249977111117893"/>
        <rFont val="Arial"/>
        <family val="2"/>
      </rPr>
      <t/>
    </r>
  </si>
  <si>
    <t xml:space="preserve">Debilidades en la integridad de quien adelanta el proceso contractual para </t>
  </si>
  <si>
    <r>
      <t>Posibilidad de hacer cambios injustificados u omisión en la etapa precontractual de procesos selectivos, para el beneficio propio o de un tercero, a cambio de recibir dádivas, gratificaciones, prebendas o cualquier otra clase de beneficio directo o indirecto, sin tener la aprobación por parte del comité de contratación UAERMV o del ordenador del gasto según corresponda,</t>
    </r>
    <r>
      <rPr>
        <sz val="12"/>
        <color theme="6" tint="-0.249977111117893"/>
        <rFont val="Arial"/>
        <family val="2"/>
      </rPr>
      <t xml:space="preserve">  afectando reputacionalmente la imagen de la entidad.</t>
    </r>
    <r>
      <rPr>
        <sz val="12"/>
        <rFont val="Arial"/>
        <family val="2"/>
      </rPr>
      <t xml:space="preserve"> 
Debido a</t>
    </r>
    <r>
      <rPr>
        <sz val="12"/>
        <color theme="6" tint="-0.249977111117893"/>
        <rFont val="Arial"/>
        <family val="2"/>
      </rPr>
      <t xml:space="preserve"> </t>
    </r>
    <r>
      <rPr>
        <sz val="12"/>
        <color rgb="FFFF9900"/>
        <rFont val="Arial"/>
        <family val="2"/>
      </rPr>
      <t xml:space="preserve">orientación de la contratación de la Entidad por presión indebida o intereses personales, </t>
    </r>
    <r>
      <rPr>
        <sz val="12"/>
        <rFont val="Arial"/>
        <family val="2"/>
      </rPr>
      <t>y las</t>
    </r>
    <r>
      <rPr>
        <sz val="12"/>
        <color rgb="FF0070C0"/>
        <rFont val="Arial"/>
        <family val="2"/>
      </rPr>
      <t xml:space="preserve"> debilidades en la integridad de quien adelanta el proceso contractual.</t>
    </r>
  </si>
  <si>
    <r>
      <t xml:space="preserve">Ausencia de un control documentado que permita verificar la inclusión de los documentos del proceso de selección contractual, que den cuenta de las actuaciones propias del proceso en los expedientes contractuales con el fin de evitar la duplicidad de archivos o la eliminación de los mismos, </t>
    </r>
    <r>
      <rPr>
        <sz val="12"/>
        <color theme="6" tint="-0.499984740745262"/>
        <rFont val="Arial"/>
        <family val="2"/>
      </rPr>
      <t>afectando reputacionalmente la imagen del proceso de gestión contractual frente a la gestión documental</t>
    </r>
    <r>
      <rPr>
        <sz val="12"/>
        <rFont val="Arial"/>
        <family val="2"/>
      </rPr>
      <t>. 
Debido al</t>
    </r>
    <r>
      <rPr>
        <sz val="12"/>
        <color theme="9" tint="-0.249977111117893"/>
        <rFont val="Arial"/>
        <family val="2"/>
      </rPr>
      <t xml:space="preserve"> manejo inadecuado de los datos o información por parte de los usuarios responsables del expediente contractual, </t>
    </r>
    <r>
      <rPr>
        <sz val="12"/>
        <rFont val="Arial"/>
        <family val="2"/>
      </rPr>
      <t xml:space="preserve"> y el </t>
    </r>
    <r>
      <rPr>
        <sz val="12"/>
        <color theme="3" tint="0.39997558519241921"/>
        <rFont val="Arial"/>
        <family val="2"/>
      </rPr>
      <t xml:space="preserve">desconocimiento del procedimiento interno de gestión documental interno, para el adecuado manejo de los datos o información por parte de los usuarios responsables del expediente contractual. </t>
    </r>
    <r>
      <rPr>
        <sz val="12"/>
        <rFont val="Arial"/>
        <family val="2"/>
      </rPr>
      <t xml:space="preserve">
</t>
    </r>
  </si>
  <si>
    <r>
      <t xml:space="preserve">Debilidad en la aplicación de lineamientos que permitan la implementación eficiente del formato de riesgos asociados a los procesos contractuales, por parte de la dependencia solicitante para adelantar un contrato, que pueden generar consecuencias imprevisibles que afecten las etapas de la gestión contractual, </t>
    </r>
    <r>
      <rPr>
        <sz val="12"/>
        <color theme="6" tint="-0.249977111117893"/>
        <rFont val="Arial"/>
        <family val="2"/>
      </rPr>
      <t>afectando reputacionalmente la imagen de la entidad.</t>
    </r>
    <r>
      <rPr>
        <sz val="12"/>
        <rFont val="Arial"/>
        <family val="2"/>
      </rPr>
      <t xml:space="preserve"> 
Debido a</t>
    </r>
    <r>
      <rPr>
        <sz val="12"/>
        <color theme="9" tint="-0.249977111117893"/>
        <rFont val="Arial"/>
        <family val="2"/>
      </rPr>
      <t xml:space="preserve"> </t>
    </r>
    <r>
      <rPr>
        <sz val="12"/>
        <color rgb="FFFF9900"/>
        <rFont val="Arial"/>
        <family val="2"/>
      </rPr>
      <t>errores en el diligenciamiento del formato Análisis de Riesgos Contractuales de cada proceso contractual</t>
    </r>
    <r>
      <rPr>
        <sz val="12"/>
        <rFont val="Arial"/>
        <family val="2"/>
      </rPr>
      <t xml:space="preserve">, y al </t>
    </r>
    <r>
      <rPr>
        <sz val="12"/>
        <color theme="3" tint="0.39997558519241921"/>
        <rFont val="Arial"/>
        <family val="2"/>
      </rPr>
      <t>desconocimiento de la metodología para la asignación, tipificación e identificación de los riesgos contractuales</t>
    </r>
    <r>
      <rPr>
        <sz val="12"/>
        <rFont val="Arial"/>
        <family val="2"/>
      </rPr>
      <t xml:space="preserve">
</t>
    </r>
  </si>
  <si>
    <t>R3-C2
El servidor público o contratista (profesional) del proceso de Gestión Contractual designado por la Secretaria General, verificará cada vez que se perfeccione un contrato que la base de datos de contratación o aplicativo para tal fin, incluya: fechas de inicio, terminación, estado contractual y fechas de vencimiento de términos de liquidación, con el fin de mantener control sobre la información y generar alertas a los supervisores e interventores de contratos. 
Como evidencia: base de datos de contratación, actualizada, como activo de información del proceso Gestión Contractual.
En caso de evidenciarse información faltante o imprecisa, se procederá a remitir comunicación mediante correo electrónico o memorando al supervisor o interventor, para lo de su competencia.</t>
  </si>
  <si>
    <t>2) Las dependencias solicitantes, en algunos casos, no determinan de manera clara y objetiva la necesidad que se pretende satisfacer, así como elaboran fichas técnicas insuficientes que generan reprocesos en la etapa precontractual y demoras en el cronograma de publicación.</t>
  </si>
  <si>
    <r>
      <t xml:space="preserve">3) </t>
    </r>
    <r>
      <rPr>
        <sz val="21"/>
        <color rgb="FF00B050"/>
        <rFont val="Arial"/>
        <family val="2"/>
      </rPr>
      <t>El proceso Gestión contratactual se encuentra conformado por servidores y contratistas</t>
    </r>
    <r>
      <rPr>
        <b/>
        <sz val="21"/>
        <color rgb="FF00B050"/>
        <rFont val="Arial"/>
        <family val="2"/>
      </rPr>
      <t xml:space="preserve"> íntegros</t>
    </r>
    <r>
      <rPr>
        <sz val="21"/>
        <color rgb="FF00B050"/>
        <rFont val="Arial"/>
        <family val="2"/>
      </rPr>
      <t xml:space="preserve"> y con los conocimientos en la materia, dentro del cual, se encuentra el equipo de costos y estudios económicos que es transversal a la Entidad, conformado</t>
    </r>
    <r>
      <rPr>
        <u/>
        <sz val="21"/>
        <color rgb="FF00B050"/>
        <rFont val="Arial"/>
        <family val="2"/>
      </rPr>
      <t xml:space="preserve"> por servidores y contratistas de las dependencias generadoras de la necesidad</t>
    </r>
    <r>
      <rPr>
        <sz val="21"/>
        <color rgb="FF00B050"/>
        <rFont val="Arial"/>
        <family val="2"/>
      </rPr>
      <t xml:space="preserve"> y del Proceso de Gestión Contractual (bajo la dirección de la Secretaría General); cuya función principal es estructurar los estudios del sector y los estudios previos, y se presentan ante el Comité de Contratación para la respectiva aprobación.
4) También se realiza el Análisis del riesgo en los procesos contractuales selectivos, </t>
    </r>
    <r>
      <rPr>
        <u/>
        <sz val="21"/>
        <color rgb="FF00B050"/>
        <rFont val="Arial"/>
        <family val="2"/>
      </rPr>
      <t>por las dependencias</t>
    </r>
    <r>
      <rPr>
        <sz val="21"/>
        <color rgb="FF00B050"/>
        <rFont val="Arial"/>
        <family val="2"/>
      </rPr>
      <t xml:space="preserve"> de la Entidad con el Equipo Gestión Contractual, donde se debe hacer un análisis sobre los riesgos inherentes a la naturaleza y al objeto del contrato, identificando la forma de prevenirlos y/o mitigarlos, e indicando la parte que asume ese riesgo o si es compartido el mismo.</t>
    </r>
    <r>
      <rPr>
        <sz val="21"/>
        <color rgb="FF00B050"/>
        <rFont val="Arial"/>
        <family val="2"/>
      </rPr>
      <t/>
    </r>
  </si>
  <si>
    <t>4) Los continuos cambios ne las normas de contratación pueden generar desconocimiento en su aplicación inmediata en los procesos de selección 
generando repocesos y demora en el cronograma del proceso y el cumplimiento al Plan Anual de Adquisiciones (PAA).</t>
  </si>
  <si>
    <r>
      <t>5) Los procedimientos están directamente relacionados c</t>
    </r>
    <r>
      <rPr>
        <sz val="21"/>
        <color rgb="FF00B050"/>
        <rFont val="Arial"/>
        <family val="2"/>
      </rPr>
      <t xml:space="preserve">on el </t>
    </r>
    <r>
      <rPr>
        <u/>
        <sz val="21"/>
        <color rgb="FF00B050"/>
        <rFont val="Arial"/>
        <family val="2"/>
      </rPr>
      <t xml:space="preserve">proceso de Gestión Documental (GDOC). Los procesos se inician creando un expediente en el sistema de gestión documental ORFEO, y una vez firmados lo documentos electronicamente se inicia el procesos selectivo a través de la plataforma de SECOP, para lo cual </t>
    </r>
    <r>
      <rPr>
        <sz val="21"/>
        <rFont val="Arial"/>
        <family val="2"/>
      </rPr>
      <t xml:space="preserve">el </t>
    </r>
    <r>
      <rPr>
        <sz val="21"/>
        <color rgb="FF00B050"/>
        <rFont val="Arial"/>
        <family val="2"/>
      </rPr>
      <t>responsable del proceso contractual diligencia y anexa el formato "</t>
    </r>
    <r>
      <rPr>
        <b/>
        <sz val="21"/>
        <color rgb="FF00B050"/>
        <rFont val="Arial"/>
        <family val="2"/>
      </rPr>
      <t>GDOC-FM-013 Formato Referencia Cruzada</t>
    </r>
    <r>
      <rPr>
        <sz val="21"/>
        <color rgb="FF00B050"/>
        <rFont val="Arial"/>
        <family val="2"/>
      </rPr>
      <t>" en formato PDFcomo anexo en ORFEO de todos los documentos que se generen dentro del proceso contractual en SECOP, evitando la duplicidad de la información.</t>
    </r>
  </si>
  <si>
    <t xml:space="preserve">5) Por la falta de inducción y reinducción al momento del ingreso o reubicación de personal de planta (por Gestión del Talento Humano), y la falta de sensibilización a las nuevas contrataciones de prestación de servicios, se genera desconocimiento de la información que debe reposar tanto en ORFEO como en el SECOP DE CADA UNO DE LOS PROCESOS </t>
  </si>
  <si>
    <r>
      <t xml:space="preserve">6) Los </t>
    </r>
    <r>
      <rPr>
        <u/>
        <sz val="21"/>
        <color rgb="FF00B050"/>
        <rFont val="Arial"/>
        <family val="2"/>
      </rPr>
      <t>responsables de las dependencias</t>
    </r>
    <r>
      <rPr>
        <sz val="21"/>
        <color rgb="FF00B050"/>
        <rFont val="Arial"/>
        <family val="2"/>
      </rPr>
      <t xml:space="preserve"> a través de sus Planes de Acción de procesos y/o los </t>
    </r>
    <r>
      <rPr>
        <u/>
        <sz val="21"/>
        <color rgb="FF00B050"/>
        <rFont val="Arial"/>
        <family val="2"/>
      </rPr>
      <t>responsables de los proyectos de inversión</t>
    </r>
    <r>
      <rPr>
        <sz val="21"/>
        <color rgb="FF00B050"/>
        <rFont val="Arial"/>
        <family val="2"/>
      </rPr>
      <t xml:space="preserve"> a través de las actividades prioritarias de estos deben incluirse en el Plan Anual de Adquisiciones de la vigencia, previa aprobación del Comité de Contratación UAERMV.</t>
    </r>
  </si>
  <si>
    <t xml:space="preserve">6) Las áreas generadoras de la necesidad no evidencien la necesidad de contratación con el tiempo suficiente generando modificacaiones al PAA retrasando el cronograma del proceso y el cumplimiento en los plazos establecidos al PAA
.
</t>
  </si>
  <si>
    <t>7) Desconocimiento del aplicativo ORFEO y del expediente creado para cada proceso por parte de los  supervisores de contratos y de apoyo a la supervisión,donde deben reposar todas las comunicaciones y documentos que se generen dentro del proceso, su ejecución y liquidación y el formato de referencia cruzada (fm), con la información publicada en el SECOP.</t>
  </si>
  <si>
    <t>8) La Base de Datos de Contratación se maneja en archivo Excel, lo cual puede conllevar a la perdida de la información al no solicitar continuamente copia de seguridad al proceso GSIT-Gestión de Servicios e Infraestructura Tecnológica,  para la confidencialidad, integridad y disponibilidad de esta información y conservar su memoria histórica.</t>
  </si>
  <si>
    <t>9) No se solicite a los contratistas la actualización de la hija de vida del SIDEAP al momento de inicio del proceso de contratación.</t>
  </si>
  <si>
    <t>Enviar los correos electrónicos institucionales por parte del Secretario(a) Tecnico del comité de contratación, donde se informa al abogado que adelanta el proceso, sobre la aprobación de los procesos de selección en la respectiva sesión.</t>
  </si>
  <si>
    <r>
      <t xml:space="preserve">Verificar que el formato </t>
    </r>
    <r>
      <rPr>
        <sz val="12"/>
        <color rgb="FFFF0000"/>
        <rFont val="Arial"/>
        <family val="2"/>
      </rPr>
      <t>GCON-FM-089</t>
    </r>
    <r>
      <rPr>
        <sz val="12"/>
        <color rgb="FF000000"/>
        <rFont val="Arial"/>
        <family val="2"/>
      </rPr>
      <t>- Análisis de riesgos contractuales, de cada proceso Selectivo esté publicada en el Secop</t>
    </r>
  </si>
  <si>
    <r>
      <t xml:space="preserve">Verificar que el Formato de referencia cruzada diligenciado de cada proceso contractual este </t>
    </r>
    <r>
      <rPr>
        <b/>
        <strike/>
        <sz val="20"/>
        <color rgb="FFFF0000"/>
        <rFont val="Calibri"/>
        <family val="2"/>
        <scheme val="minor"/>
      </rPr>
      <t xml:space="preserve">publicado </t>
    </r>
    <r>
      <rPr>
        <b/>
        <sz val="20"/>
        <color rgb="FF000000"/>
        <rFont val="Calibri"/>
        <family val="2"/>
        <scheme val="minor"/>
      </rPr>
      <t xml:space="preserve">en el </t>
    </r>
    <r>
      <rPr>
        <b/>
        <strike/>
        <sz val="20"/>
        <color rgb="FF000000"/>
        <rFont val="Calibri"/>
        <family val="2"/>
        <scheme val="minor"/>
      </rPr>
      <t>SECOP</t>
    </r>
    <r>
      <rPr>
        <b/>
        <sz val="20"/>
        <color rgb="FF000000"/>
        <rFont val="Calibri"/>
        <family val="2"/>
        <scheme val="minor"/>
      </rPr>
      <t xml:space="preserve"> </t>
    </r>
    <r>
      <rPr>
        <b/>
        <sz val="20"/>
        <color rgb="FFFF0000"/>
        <rFont val="Calibri"/>
        <family val="2"/>
        <scheme val="minor"/>
      </rPr>
      <t>ORFEO</t>
    </r>
  </si>
  <si>
    <t>Verificar que el Formato de referencia cruzada diligenciado de cada proceso contractual este en el ORFEO</t>
  </si>
  <si>
    <t>Formato de referencia cruzada este en ORFEO</t>
  </si>
  <si>
    <t>Base de Datos del proceso GCON actualizada</t>
  </si>
  <si>
    <t>R1-C1 
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previo a su publicación verificará que el proceso de selección haya sido aprobado por el comité de contratación. 
Como evidencia se cuenta con el correo electrónico institucional en el cual se informa al abogado que adelanta el proceso, la aprobación del proceso de selección en la respectiva sesión del Comité de Contratación.
En caso de evidenciar que no se ha aprobado el proceso de selección por parte del Comité de Contratación, se solicitará al Secretariao(a) Técnico del Comité de Contratación, convocar a través del correo institucional a sesión extraordinaria del mismo Comité.</t>
  </si>
  <si>
    <r>
      <t>R3-C1
El servidor público o contratista (profesional) del proceso GCON designado por la Secretaria General para adelantar el proceso de selección diligenciará e incluirá en el expediente del proceso en Orfeo el formato de referencia cruzada, el cual debe ser concordante con el proceso de selección que se adelante a través de la plataforma del Secop II</t>
    </r>
    <r>
      <rPr>
        <sz val="12"/>
        <color rgb="FFFF0000"/>
        <rFont val="Arial"/>
        <family val="2"/>
      </rPr>
      <t xml:space="preserve">
</t>
    </r>
    <r>
      <rPr>
        <sz val="12"/>
        <rFont val="Arial"/>
        <family val="2"/>
      </rPr>
      <t>Como evidencia: Formato de referencia cruzada diligenciado de cada proceso Selectivo, publicado en el ORFEO.
En caso de verificar que no se encuentra cargado en el ORFEO deberá diligenciarlo e incluirlo en el expediente de ORFEO.</t>
    </r>
  </si>
  <si>
    <t>R2-C1
El servidor público o contratista (profesional) del proceso Gestión Contractual, designado por la Secretaria General, cada vez que se adelante un proceso contractual, revisará el "manual para la identificación y asignación de los riesgos"  expedido por Colombia Compra Eficiente, para la asignacion y estimación de riesgos del proceso y se adelantará una mesa de trabajo con los estructuradores del mismo.
Como evidencia en el aplicativo ORFEO se dejará el registro de asistencia a la mesa de trabajo donde se establecen los riesgo del proceso selectivo contractual diseñados bajo los lineamientos de Colombia Compra Eficiente.
En caso de que se evidencien inconsistencias en la matriz de riesgos del proceso selectivo, se realizaran en el aplicativo ORFEO las observaciones por parte del servidor público o contratista que revisó, para sus ajustes.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</si>
</sst>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0.0%"/>
    <numFmt numFmtId="165" formatCode="_-&quot;$&quot;\ * #,##0_-;\-&quot;$&quot;\ * #,##0_-;_-&quot;$&quot;\ * &quot;-&quot;??_-;_-@_-"/>
    <numFmt numFmtId="166" formatCode="&quot;$&quot;\ #,##0.00"/>
  </numFmts>
  <fonts count="11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9"/>
      <name val="Arial"/>
      <family val="2"/>
    </font>
    <font>
      <sz val="11"/>
      <name val="Arial"/>
      <family val="2"/>
    </font>
    <font>
      <sz val="12"/>
      <color theme="3" tint="0.39997558519241921"/>
      <name val="Arial"/>
      <family val="2"/>
    </font>
    <font>
      <sz val="12"/>
      <color theme="9" tint="-0.249977111117893"/>
      <name val="Arial"/>
      <family val="2"/>
    </font>
    <font>
      <sz val="12"/>
      <color theme="6" tint="-0.249977111117893"/>
      <name val="Arial"/>
      <family val="2"/>
    </font>
    <font>
      <sz val="12"/>
      <color rgb="FFFF9900"/>
      <name val="Arial"/>
      <family val="2"/>
    </font>
    <font>
      <strike/>
      <sz val="12"/>
      <color theme="9" tint="-0.249977111117893"/>
      <name val="Arial"/>
      <family val="2"/>
    </font>
    <font>
      <sz val="12"/>
      <color rgb="FF0070C0"/>
      <name val="Arial"/>
      <family val="2"/>
    </font>
    <font>
      <sz val="21"/>
      <color rgb="FF00B050"/>
      <name val="Arial"/>
      <family val="2"/>
    </font>
    <font>
      <sz val="11"/>
      <color rgb="FF000000"/>
      <name val="Arial"/>
      <family val="2"/>
    </font>
    <font>
      <sz val="12"/>
      <color theme="6" tint="-0.499984740745262"/>
      <name val="Arial"/>
      <family val="2"/>
    </font>
    <font>
      <u/>
      <sz val="21"/>
      <name val="Arial"/>
      <family val="2"/>
    </font>
    <font>
      <u/>
      <sz val="21"/>
      <color rgb="FF00B050"/>
      <name val="Arial"/>
      <family val="2"/>
    </font>
    <font>
      <b/>
      <sz val="21"/>
      <color rgb="FF00B050"/>
      <name val="Arial"/>
      <family val="2"/>
    </font>
    <font>
      <b/>
      <u/>
      <sz val="21"/>
      <color rgb="FF00B050"/>
      <name val="Arial"/>
      <family val="2"/>
    </font>
    <font>
      <sz val="12"/>
      <color rgb="FFFF0000"/>
      <name val="Arial"/>
      <family val="2"/>
    </font>
    <font>
      <sz val="12"/>
      <color rgb="FF000000"/>
      <name val="Arial"/>
      <family val="2"/>
    </font>
    <font>
      <b/>
      <sz val="20"/>
      <color rgb="FF000000"/>
      <name val="Calibri"/>
      <family val="2"/>
      <scheme val="minor"/>
    </font>
    <font>
      <b/>
      <strike/>
      <sz val="20"/>
      <color rgb="FFFF0000"/>
      <name val="Calibri"/>
      <family val="2"/>
      <scheme val="minor"/>
    </font>
    <font>
      <b/>
      <strike/>
      <sz val="20"/>
      <color rgb="FF000000"/>
      <name val="Calibri"/>
      <family val="2"/>
      <scheme val="minor"/>
    </font>
    <font>
      <b/>
      <sz val="20"/>
      <color rgb="FFFF0000"/>
      <name val="Calibri"/>
      <family val="2"/>
      <scheme val="minor"/>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theme="6" tint="-0.499984740745262"/>
      </right>
      <top style="medium">
        <color indexed="64"/>
      </top>
      <bottom/>
      <diagonal/>
    </border>
    <border>
      <left style="hair">
        <color theme="6" tint="-0.499984740745262"/>
      </left>
      <right style="medium">
        <color indexed="64"/>
      </right>
      <top style="medium">
        <color indexed="64"/>
      </top>
      <bottom/>
      <diagonal/>
    </border>
    <border>
      <left style="hair">
        <color theme="6" tint="-0.499984740745262"/>
      </left>
      <right style="medium">
        <color indexed="64"/>
      </right>
      <top/>
      <bottom style="hair">
        <color theme="6" tint="-0.499984740745262"/>
      </bottom>
      <diagonal/>
    </border>
    <border>
      <left style="hair">
        <color theme="6" tint="-0.499984740745262"/>
      </left>
      <right style="hair">
        <color theme="6" tint="-0.499984740745262"/>
      </right>
      <top style="hair">
        <color theme="6" tint="-0.499984740745262"/>
      </top>
      <bottom style="medium">
        <color indexed="64"/>
      </bottom>
      <diagonal/>
    </border>
    <border>
      <left/>
      <right/>
      <top style="hair">
        <color theme="6" tint="-0.499984740745262"/>
      </top>
      <bottom/>
      <diagonal/>
    </border>
    <border>
      <left/>
      <right/>
      <top/>
      <bottom style="hair">
        <color theme="6" tint="-0.499984740745262"/>
      </bottom>
      <diagonal/>
    </border>
    <border>
      <left style="hair">
        <color theme="6" tint="-0.499984740745262"/>
      </left>
      <right style="hair">
        <color theme="6" tint="-0.499984740745262"/>
      </right>
      <top/>
      <bottom style="medium">
        <color indexed="64"/>
      </bottom>
      <diagonal/>
    </border>
  </borders>
  <cellStyleXfs count="7">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xf numFmtId="0" fontId="12" fillId="0" borderId="0"/>
  </cellStyleXfs>
  <cellXfs count="69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5" fillId="0" borderId="0" xfId="0" applyFont="1" applyAlignment="1">
      <alignment horizontal="center" vertical="center" wrapText="1"/>
    </xf>
    <xf numFmtId="0" fontId="65" fillId="0" borderId="0" xfId="0" applyFont="1" applyAlignment="1">
      <alignment horizontal="center" vertical="center" textRotation="90" wrapText="1"/>
    </xf>
    <xf numFmtId="0" fontId="61" fillId="0" borderId="0" xfId="0" applyFont="1" applyAlignment="1">
      <alignment horizontal="justify" vertical="center" wrapText="1"/>
    </xf>
    <xf numFmtId="0" fontId="61" fillId="0" borderId="0" xfId="0" applyFont="1" applyAlignment="1">
      <alignment horizontal="left" vertical="center" wrapText="1"/>
    </xf>
    <xf numFmtId="0" fontId="71" fillId="0" borderId="0" xfId="0" applyFont="1" applyAlignment="1">
      <alignment horizontal="center" vertical="center" textRotation="90" wrapText="1"/>
    </xf>
    <xf numFmtId="0" fontId="71" fillId="0" borderId="0" xfId="0" applyFont="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4" fillId="0" borderId="84" xfId="0" applyFont="1" applyBorder="1"/>
    <xf numFmtId="0" fontId="64" fillId="0" borderId="85" xfId="0" applyFont="1" applyBorder="1"/>
    <xf numFmtId="0" fontId="64" fillId="0" borderId="85" xfId="0" applyFont="1" applyBorder="1" applyAlignment="1">
      <alignment vertical="center"/>
    </xf>
    <xf numFmtId="0" fontId="70" fillId="0" borderId="85" xfId="0" applyFont="1" applyBorder="1"/>
    <xf numFmtId="0" fontId="59" fillId="0" borderId="86" xfId="0" applyFont="1" applyBorder="1"/>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justify" vertical="center" wrapText="1"/>
      <protection locked="0"/>
    </xf>
    <xf numFmtId="0" fontId="82" fillId="0" borderId="90" xfId="0" applyFont="1" applyBorder="1" applyAlignment="1" applyProtection="1">
      <alignment horizontal="justify" vertical="center"/>
      <protection locked="0"/>
    </xf>
    <xf numFmtId="0" fontId="82" fillId="0" borderId="90" xfId="0" applyFont="1" applyBorder="1" applyAlignment="1" applyProtection="1">
      <alignment horizontal="center" vertical="center"/>
      <protection hidden="1"/>
    </xf>
    <xf numFmtId="0" fontId="82" fillId="0" borderId="90" xfId="0" applyFont="1" applyBorder="1" applyAlignment="1" applyProtection="1">
      <alignment horizontal="center" vertical="center" textRotation="90"/>
      <protection locked="0"/>
    </xf>
    <xf numFmtId="9" fontId="82" fillId="0" borderId="90" xfId="0" applyNumberFormat="1" applyFont="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Border="1" applyAlignment="1" applyProtection="1">
      <alignment horizontal="center" vertical="center" textRotation="90" wrapText="1"/>
      <protection hidden="1"/>
    </xf>
    <xf numFmtId="0" fontId="83" fillId="0" borderId="90" xfId="0" applyFont="1" applyBorder="1" applyAlignment="1" applyProtection="1">
      <alignment horizontal="center" vertical="center" textRotation="90"/>
      <protection hidden="1"/>
    </xf>
    <xf numFmtId="0" fontId="82" fillId="0" borderId="90" xfId="0" applyFont="1" applyBorder="1" applyAlignment="1" applyProtection="1">
      <alignment horizontal="center" vertical="center" textRotation="90" wrapText="1"/>
      <protection locked="0"/>
    </xf>
    <xf numFmtId="0" fontId="82" fillId="0" borderId="90" xfId="0"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protection locked="0"/>
    </xf>
    <xf numFmtId="0" fontId="82" fillId="0" borderId="0" xfId="0" applyFont="1"/>
    <xf numFmtId="0" fontId="82" fillId="0" borderId="90" xfId="0" applyFont="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Border="1" applyAlignment="1">
      <alignment horizontal="center" vertical="center"/>
    </xf>
    <xf numFmtId="0" fontId="82" fillId="0" borderId="0" xfId="0" applyFont="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2" xfId="0" applyFont="1" applyBorder="1" applyAlignment="1" applyProtection="1">
      <alignment horizontal="center" vertical="center" wrapText="1"/>
      <protection locked="0"/>
    </xf>
    <xf numFmtId="0" fontId="82" fillId="0" borderId="90" xfId="0" applyFont="1" applyBorder="1" applyAlignment="1" applyProtection="1">
      <alignment vertical="center" wrapText="1"/>
      <protection locked="0"/>
    </xf>
    <xf numFmtId="0" fontId="82" fillId="0" borderId="90" xfId="0" applyFont="1" applyBorder="1" applyAlignment="1" applyProtection="1">
      <alignment vertical="center"/>
      <protection locked="0"/>
    </xf>
    <xf numFmtId="0" fontId="82" fillId="0" borderId="92" xfId="0" applyFont="1" applyBorder="1" applyAlignment="1">
      <alignment horizontal="center" vertical="center"/>
    </xf>
    <xf numFmtId="0" fontId="82" fillId="0" borderId="92" xfId="0" applyFont="1" applyBorder="1" applyAlignment="1" applyProtection="1">
      <alignment horizontal="justify" vertical="center" wrapText="1"/>
      <protection locked="0"/>
    </xf>
    <xf numFmtId="0" fontId="82" fillId="0" borderId="92" xfId="0" applyFont="1" applyBorder="1" applyAlignment="1" applyProtection="1">
      <alignment horizontal="center" vertical="center"/>
      <protection hidden="1"/>
    </xf>
    <xf numFmtId="0" fontId="82" fillId="0" borderId="92" xfId="0" applyFont="1" applyBorder="1" applyAlignment="1" applyProtection="1">
      <alignment horizontal="center" vertical="center" textRotation="90"/>
      <protection locked="0"/>
    </xf>
    <xf numFmtId="9" fontId="82" fillId="0" borderId="92" xfId="0" applyNumberFormat="1" applyFont="1" applyBorder="1" applyAlignment="1" applyProtection="1">
      <alignment horizontal="center" vertical="center"/>
      <protection hidden="1"/>
    </xf>
    <xf numFmtId="164" fontId="82" fillId="0" borderId="92" xfId="1" applyNumberFormat="1" applyFont="1" applyFill="1" applyBorder="1" applyAlignment="1">
      <alignment horizontal="center" vertical="center"/>
    </xf>
    <xf numFmtId="0" fontId="83" fillId="0" borderId="92" xfId="0" applyFont="1" applyBorder="1" applyAlignment="1" applyProtection="1">
      <alignment horizontal="center" vertical="center" textRotation="90" wrapText="1"/>
      <protection hidden="1"/>
    </xf>
    <xf numFmtId="0" fontId="83" fillId="0" borderId="92" xfId="0" applyFont="1" applyBorder="1" applyAlignment="1" applyProtection="1">
      <alignment horizontal="center" vertical="center" textRotation="90"/>
      <protection hidden="1"/>
    </xf>
    <xf numFmtId="0" fontId="82" fillId="0" borderId="92" xfId="0" applyFont="1" applyBorder="1" applyAlignment="1" applyProtection="1">
      <alignment horizontal="center" vertical="center" textRotation="90" wrapText="1"/>
      <protection locked="0"/>
    </xf>
    <xf numFmtId="0" fontId="82" fillId="0" borderId="92" xfId="0" applyFont="1" applyBorder="1" applyAlignment="1" applyProtection="1">
      <alignment horizontal="center" vertical="center"/>
      <protection locked="0"/>
    </xf>
    <xf numFmtId="14" fontId="82" fillId="0" borderId="92" xfId="0" applyNumberFormat="1" applyFont="1" applyBorder="1" applyAlignment="1" applyProtection="1">
      <alignment horizontal="center" vertical="center"/>
      <protection locked="0"/>
    </xf>
    <xf numFmtId="0" fontId="82" fillId="0" borderId="119" xfId="0" applyFont="1" applyBorder="1" applyAlignment="1">
      <alignment horizontal="center" vertical="center"/>
    </xf>
    <xf numFmtId="0" fontId="82" fillId="0" borderId="119" xfId="0" applyFont="1" applyBorder="1" applyAlignment="1" applyProtection="1">
      <alignment horizontal="justify" vertical="top" wrapText="1"/>
      <protection locked="0"/>
    </xf>
    <xf numFmtId="0" fontId="82" fillId="0" borderId="119" xfId="0" applyFont="1" applyBorder="1" applyAlignment="1" applyProtection="1">
      <alignment horizontal="center" vertical="center"/>
      <protection hidden="1"/>
    </xf>
    <xf numFmtId="0" fontId="82" fillId="0" borderId="119" xfId="0" applyFont="1" applyBorder="1" applyAlignment="1" applyProtection="1">
      <alignment horizontal="center" vertical="center" textRotation="90"/>
      <protection locked="0"/>
    </xf>
    <xf numFmtId="9" fontId="82" fillId="0" borderId="119" xfId="0" applyNumberFormat="1" applyFont="1" applyBorder="1" applyAlignment="1" applyProtection="1">
      <alignment horizontal="center" vertical="center"/>
      <protection hidden="1"/>
    </xf>
    <xf numFmtId="164" fontId="82" fillId="0" borderId="119" xfId="1" applyNumberFormat="1" applyFont="1" applyFill="1" applyBorder="1" applyAlignment="1">
      <alignment horizontal="center" vertical="center"/>
    </xf>
    <xf numFmtId="0" fontId="83" fillId="0" borderId="119" xfId="0" applyFont="1" applyBorder="1" applyAlignment="1" applyProtection="1">
      <alignment horizontal="center" vertical="center" textRotation="90" wrapText="1"/>
      <protection hidden="1"/>
    </xf>
    <xf numFmtId="0" fontId="83" fillId="0" borderId="119" xfId="0" applyFont="1" applyBorder="1" applyAlignment="1" applyProtection="1">
      <alignment horizontal="center" vertical="center" textRotation="90"/>
      <protection hidden="1"/>
    </xf>
    <xf numFmtId="0" fontId="82" fillId="0" borderId="119" xfId="0" applyFont="1" applyBorder="1" applyAlignment="1" applyProtection="1">
      <alignment horizontal="center" vertical="center" textRotation="90" wrapText="1"/>
      <protection locked="0"/>
    </xf>
    <xf numFmtId="0" fontId="82" fillId="0" borderId="119" xfId="0" applyFont="1" applyBorder="1" applyAlignment="1" applyProtection="1">
      <alignment horizontal="center" vertical="center" wrapText="1"/>
      <protection locked="0"/>
    </xf>
    <xf numFmtId="14" fontId="82" fillId="0" borderId="119" xfId="0" applyNumberFormat="1" applyFont="1" applyBorder="1" applyAlignment="1" applyProtection="1">
      <alignment horizontal="center" vertical="center"/>
      <protection locked="0"/>
    </xf>
    <xf numFmtId="0" fontId="82" fillId="0" borderId="116" xfId="0" applyFont="1" applyBorder="1" applyAlignment="1" applyProtection="1">
      <alignment vertical="center" wrapText="1"/>
      <protection locked="0"/>
    </xf>
    <xf numFmtId="0" fontId="82" fillId="0" borderId="123" xfId="0" applyFont="1" applyBorder="1" applyAlignment="1">
      <alignment horizontal="center" vertical="center"/>
    </xf>
    <xf numFmtId="0" fontId="82" fillId="0" borderId="123" xfId="0" applyFont="1" applyBorder="1" applyAlignment="1" applyProtection="1">
      <alignment horizontal="justify" vertical="center" wrapText="1"/>
      <protection locked="0"/>
    </xf>
    <xf numFmtId="0" fontId="82" fillId="0" borderId="123" xfId="0" applyFont="1" applyBorder="1" applyAlignment="1" applyProtection="1">
      <alignment horizontal="center" vertical="center"/>
      <protection hidden="1"/>
    </xf>
    <xf numFmtId="0" fontId="82" fillId="0" borderId="123" xfId="0" applyFont="1" applyBorder="1" applyAlignment="1" applyProtection="1">
      <alignment horizontal="center" vertical="center" textRotation="90"/>
      <protection locked="0"/>
    </xf>
    <xf numFmtId="9" fontId="82" fillId="0" borderId="123" xfId="0" applyNumberFormat="1" applyFont="1" applyBorder="1" applyAlignment="1" applyProtection="1">
      <alignment horizontal="center" vertical="center"/>
      <protection hidden="1"/>
    </xf>
    <xf numFmtId="164" fontId="82" fillId="0" borderId="123" xfId="1" applyNumberFormat="1" applyFont="1" applyFill="1" applyBorder="1" applyAlignment="1">
      <alignment horizontal="center" vertical="center"/>
    </xf>
    <xf numFmtId="0" fontId="83" fillId="0" borderId="123" xfId="0" applyFont="1" applyBorder="1" applyAlignment="1" applyProtection="1">
      <alignment horizontal="center" vertical="center" textRotation="90" wrapText="1"/>
      <protection hidden="1"/>
    </xf>
    <xf numFmtId="0" fontId="83" fillId="0" borderId="123" xfId="0" applyFont="1" applyBorder="1" applyAlignment="1" applyProtection="1">
      <alignment horizontal="center" vertical="center" textRotation="90"/>
      <protection hidden="1"/>
    </xf>
    <xf numFmtId="0" fontId="82" fillId="0" borderId="123" xfId="0" applyFont="1" applyBorder="1" applyAlignment="1" applyProtection="1">
      <alignment horizontal="center" vertical="center" textRotation="90" wrapText="1"/>
      <protection locked="0"/>
    </xf>
    <xf numFmtId="0" fontId="82" fillId="0" borderId="123" xfId="0" applyFont="1" applyBorder="1" applyAlignment="1" applyProtection="1">
      <alignment horizontal="center" vertical="center" wrapText="1"/>
      <protection locked="0"/>
    </xf>
    <xf numFmtId="0" fontId="82" fillId="0" borderId="123" xfId="0" applyFont="1" applyBorder="1" applyAlignment="1" applyProtection="1">
      <alignment horizontal="center" vertical="center"/>
      <protection locked="0"/>
    </xf>
    <xf numFmtId="14" fontId="82" fillId="0" borderId="123" xfId="0" applyNumberFormat="1" applyFont="1" applyBorder="1" applyAlignment="1" applyProtection="1">
      <alignment horizontal="center" vertical="center"/>
      <protection locked="0"/>
    </xf>
    <xf numFmtId="0" fontId="82" fillId="0" borderId="123" xfId="0" applyFont="1" applyBorder="1" applyAlignment="1" applyProtection="1">
      <alignment vertical="center" wrapText="1"/>
      <protection locked="0"/>
    </xf>
    <xf numFmtId="0" fontId="82" fillId="0" borderId="123" xfId="0" applyFont="1" applyBorder="1" applyAlignment="1" applyProtection="1">
      <alignment vertical="center"/>
      <protection locked="0"/>
    </xf>
    <xf numFmtId="0" fontId="82" fillId="0" borderId="118" xfId="0" applyFont="1" applyBorder="1" applyAlignment="1" applyProtection="1">
      <alignment vertical="center" wrapText="1"/>
      <protection locked="0"/>
    </xf>
    <xf numFmtId="0" fontId="83" fillId="16" borderId="91" xfId="0" applyFont="1" applyFill="1" applyBorder="1" applyAlignment="1">
      <alignment horizontal="center" vertical="center" textRotation="90"/>
    </xf>
    <xf numFmtId="0" fontId="82" fillId="0" borderId="119" xfId="0" applyFont="1" applyBorder="1" applyAlignment="1" applyProtection="1">
      <alignment horizontal="justify" vertical="center" wrapText="1"/>
      <protection locked="0"/>
    </xf>
    <xf numFmtId="9" fontId="82" fillId="0" borderId="92" xfId="0" applyNumberFormat="1" applyFont="1" applyBorder="1" applyAlignment="1" applyProtection="1">
      <alignment horizontal="center" vertical="center" wrapText="1"/>
      <protection hidden="1"/>
    </xf>
    <xf numFmtId="9" fontId="82" fillId="0" borderId="90" xfId="0" applyNumberFormat="1" applyFont="1" applyBorder="1" applyAlignment="1" applyProtection="1">
      <alignment horizontal="center" vertical="center" wrapText="1"/>
      <protection hidden="1"/>
    </xf>
    <xf numFmtId="0" fontId="98" fillId="0" borderId="74" xfId="0" applyFont="1" applyBorder="1" applyAlignment="1">
      <alignment horizontal="center" vertical="center" wrapText="1"/>
    </xf>
    <xf numFmtId="0" fontId="98" fillId="0" borderId="75" xfId="0" applyFont="1" applyBorder="1" applyAlignment="1">
      <alignment horizontal="center" vertical="center" wrapText="1"/>
    </xf>
    <xf numFmtId="0" fontId="98" fillId="0" borderId="22" xfId="0" applyFont="1" applyBorder="1" applyAlignment="1">
      <alignment horizontal="center" vertical="center" wrapText="1"/>
    </xf>
    <xf numFmtId="0" fontId="98" fillId="0" borderId="27" xfId="0" applyFont="1" applyBorder="1" applyAlignment="1">
      <alignment horizontal="center" vertical="center" wrapText="1"/>
    </xf>
    <xf numFmtId="0" fontId="97" fillId="3" borderId="6" xfId="0" applyFont="1" applyFill="1" applyBorder="1" applyAlignment="1">
      <alignment horizontal="justify" vertical="top" wrapText="1"/>
    </xf>
    <xf numFmtId="0" fontId="97" fillId="3" borderId="68" xfId="0" applyFont="1" applyFill="1" applyBorder="1" applyAlignment="1">
      <alignment horizontal="justify" vertical="top" wrapText="1"/>
    </xf>
    <xf numFmtId="0" fontId="62" fillId="0" borderId="68" xfId="0" applyFont="1" applyBorder="1" applyAlignment="1">
      <alignment horizontal="left" vertical="top" wrapText="1"/>
    </xf>
    <xf numFmtId="0" fontId="62" fillId="0" borderId="69" xfId="0" applyFont="1" applyBorder="1" applyAlignment="1">
      <alignment horizontal="left" vertical="top" wrapText="1"/>
    </xf>
    <xf numFmtId="0" fontId="97" fillId="0" borderId="68" xfId="0" applyFont="1" applyBorder="1" applyAlignment="1">
      <alignment horizontal="left" vertical="top" wrapText="1"/>
    </xf>
    <xf numFmtId="0" fontId="97" fillId="0" borderId="69" xfId="0" applyFont="1" applyBorder="1" applyAlignment="1">
      <alignment horizontal="left" vertical="top" wrapText="1"/>
    </xf>
    <xf numFmtId="0" fontId="97" fillId="0" borderId="68" xfId="0" applyFont="1" applyBorder="1" applyAlignment="1">
      <alignment horizontal="justify" vertical="top" wrapText="1"/>
    </xf>
    <xf numFmtId="0" fontId="87" fillId="0" borderId="22" xfId="0" applyFont="1" applyBorder="1" applyAlignment="1">
      <alignment horizontal="left" vertical="center" wrapText="1"/>
    </xf>
    <xf numFmtId="0" fontId="82" fillId="0" borderId="90" xfId="0" applyFont="1" applyBorder="1" applyAlignment="1" applyProtection="1">
      <alignment horizontal="center" vertical="center" wrapText="1"/>
      <protection locked="0"/>
    </xf>
    <xf numFmtId="0" fontId="82" fillId="0" borderId="119"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105" fillId="0" borderId="0" xfId="0" applyFont="1" applyAlignment="1">
      <alignment horizontal="left" vertical="center" wrapText="1" indent="4" readingOrder="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63" fillId="0" borderId="22" xfId="0" applyFont="1" applyBorder="1" applyAlignment="1">
      <alignment horizontal="center" vertical="center" wrapText="1"/>
    </xf>
    <xf numFmtId="0" fontId="87" fillId="0" borderId="22" xfId="0" applyFont="1" applyBorder="1" applyAlignment="1">
      <alignment horizontal="left" vertical="center" wrapText="1"/>
    </xf>
    <xf numFmtId="0" fontId="87"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Alignment="1">
      <alignment horizontal="left"/>
    </xf>
    <xf numFmtId="0" fontId="73" fillId="0" borderId="87" xfId="0" applyFont="1" applyBorder="1" applyAlignment="1">
      <alignment horizontal="center"/>
    </xf>
    <xf numFmtId="0" fontId="73" fillId="0" borderId="0" xfId="0" applyFont="1" applyAlignment="1">
      <alignment horizontal="center"/>
    </xf>
    <xf numFmtId="0" fontId="63" fillId="0" borderId="0" xfId="0" applyFont="1" applyAlignment="1">
      <alignment horizontal="center" vertical="center" wrapText="1"/>
    </xf>
    <xf numFmtId="0" fontId="63" fillId="0" borderId="0" xfId="0" applyFont="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124" xfId="0" applyFont="1" applyBorder="1" applyAlignment="1">
      <alignment horizontal="center" vertical="center"/>
    </xf>
    <xf numFmtId="0" fontId="82" fillId="0" borderId="0" xfId="0" applyFont="1" applyAlignment="1">
      <alignment horizontal="center" vertical="center"/>
    </xf>
    <xf numFmtId="0" fontId="82" fillId="0" borderId="125" xfId="0" applyFont="1" applyBorder="1" applyAlignment="1">
      <alignment horizontal="center" vertical="center"/>
    </xf>
    <xf numFmtId="0" fontId="83" fillId="0" borderId="91" xfId="0" applyFont="1" applyBorder="1" applyAlignment="1" applyProtection="1">
      <alignment horizontal="center" vertical="center"/>
      <protection hidden="1"/>
    </xf>
    <xf numFmtId="0" fontId="83" fillId="0" borderId="105" xfId="0" applyFont="1" applyBorder="1" applyAlignment="1" applyProtection="1">
      <alignment horizontal="center" vertical="center"/>
      <protection hidden="1"/>
    </xf>
    <xf numFmtId="0" fontId="83" fillId="0" borderId="92" xfId="0" applyFont="1" applyBorder="1" applyAlignment="1" applyProtection="1">
      <alignment horizontal="center" vertical="center"/>
      <protection hidden="1"/>
    </xf>
    <xf numFmtId="9" fontId="82" fillId="0" borderId="91" xfId="0" applyNumberFormat="1" applyFont="1" applyBorder="1" applyAlignment="1" applyProtection="1">
      <alignment horizontal="center" vertical="center" wrapText="1"/>
      <protection hidden="1"/>
    </xf>
    <xf numFmtId="9" fontId="82" fillId="0" borderId="105" xfId="0" applyNumberFormat="1" applyFont="1" applyBorder="1" applyAlignment="1" applyProtection="1">
      <alignment horizontal="center" vertical="center" wrapText="1"/>
      <protection hidden="1"/>
    </xf>
    <xf numFmtId="9" fontId="82" fillId="0" borderId="92" xfId="0" applyNumberFormat="1" applyFont="1" applyBorder="1" applyAlignment="1" applyProtection="1">
      <alignment horizontal="center" vertical="center" wrapText="1"/>
      <protection hidden="1"/>
    </xf>
    <xf numFmtId="0" fontId="83" fillId="0" borderId="91" xfId="0" applyFont="1" applyBorder="1" applyAlignment="1" applyProtection="1">
      <alignment horizontal="center" vertical="center" wrapText="1"/>
      <protection hidden="1"/>
    </xf>
    <xf numFmtId="0" fontId="83" fillId="0" borderId="105" xfId="0" applyFont="1" applyBorder="1" applyAlignment="1" applyProtection="1">
      <alignment horizontal="center" vertical="center" wrapText="1"/>
      <protection hidden="1"/>
    </xf>
    <xf numFmtId="0" fontId="83" fillId="0" borderId="92" xfId="0" applyFont="1" applyBorder="1" applyAlignment="1" applyProtection="1">
      <alignment horizontal="center" vertical="center" wrapText="1"/>
      <protection hidden="1"/>
    </xf>
    <xf numFmtId="9" fontId="82" fillId="0" borderId="91" xfId="0" applyNumberFormat="1" applyFont="1" applyBorder="1" applyAlignment="1" applyProtection="1">
      <alignment horizontal="center" vertical="center" wrapText="1"/>
      <protection locked="0"/>
    </xf>
    <xf numFmtId="9" fontId="82" fillId="0" borderId="105" xfId="0" applyNumberFormat="1" applyFont="1" applyBorder="1" applyAlignment="1" applyProtection="1">
      <alignment horizontal="center" vertical="center" wrapText="1"/>
      <protection locked="0"/>
    </xf>
    <xf numFmtId="9" fontId="82" fillId="0" borderId="92" xfId="0" applyNumberFormat="1" applyFont="1" applyBorder="1" applyAlignment="1" applyProtection="1">
      <alignment horizontal="center" vertical="center" wrapText="1"/>
      <protection locked="0"/>
    </xf>
    <xf numFmtId="0" fontId="82" fillId="0" borderId="91" xfId="0" applyFont="1" applyBorder="1" applyAlignment="1" applyProtection="1">
      <alignment horizontal="center" vertical="center" wrapText="1"/>
      <protection locked="0"/>
    </xf>
    <xf numFmtId="0" fontId="82" fillId="0" borderId="105"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3" fillId="0" borderId="91" xfId="0" applyFont="1" applyBorder="1" applyAlignment="1">
      <alignment horizontal="center" vertical="center"/>
    </xf>
    <xf numFmtId="0" fontId="83" fillId="0" borderId="105" xfId="0" applyFont="1" applyBorder="1" applyAlignment="1">
      <alignment horizontal="center" vertical="center"/>
    </xf>
    <xf numFmtId="0" fontId="83" fillId="0" borderId="92" xfId="0" applyFont="1" applyBorder="1" applyAlignment="1">
      <alignment horizontal="center" vertical="center"/>
    </xf>
    <xf numFmtId="0" fontId="82" fillId="0" borderId="124" xfId="0" applyFont="1" applyBorder="1" applyAlignment="1"/>
    <xf numFmtId="0" fontId="82" fillId="0" borderId="0" xfId="0" applyFont="1" applyAlignment="1"/>
    <xf numFmtId="0" fontId="82" fillId="0" borderId="125" xfId="0" applyFont="1" applyBorder="1" applyAlignment="1"/>
    <xf numFmtId="0" fontId="82" fillId="0" borderId="124" xfId="0" applyFont="1" applyBorder="1" applyAlignment="1">
      <alignment horizontal="center"/>
    </xf>
    <xf numFmtId="0" fontId="82" fillId="0" borderId="0" xfId="0" applyFont="1" applyAlignment="1">
      <alignment horizontal="center"/>
    </xf>
    <xf numFmtId="0" fontId="82" fillId="0" borderId="125" xfId="0" applyFont="1" applyBorder="1" applyAlignment="1">
      <alignment horizontal="center"/>
    </xf>
    <xf numFmtId="0" fontId="82" fillId="0" borderId="91" xfId="0" applyFont="1" applyBorder="1" applyAlignment="1" applyProtection="1">
      <alignment horizontal="center" vertical="center"/>
      <protection locked="0"/>
    </xf>
    <xf numFmtId="0" fontId="82" fillId="0" borderId="105" xfId="0" applyFont="1" applyBorder="1" applyAlignment="1" applyProtection="1">
      <alignment horizontal="center" vertical="center"/>
      <protection locked="0"/>
    </xf>
    <xf numFmtId="0" fontId="82" fillId="0" borderId="92" xfId="0" applyFont="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1" xfId="0" applyFont="1" applyFill="1" applyBorder="1" applyAlignment="1">
      <alignment horizontal="center" vertical="center"/>
    </xf>
    <xf numFmtId="0" fontId="83" fillId="16" borderId="90" xfId="0" applyFont="1" applyFill="1" applyBorder="1" applyAlignment="1">
      <alignment horizontal="center" vertical="center" wrapText="1"/>
    </xf>
    <xf numFmtId="0" fontId="83" fillId="16" borderId="123" xfId="0" applyFont="1" applyFill="1" applyBorder="1" applyAlignment="1">
      <alignment horizontal="center" vertical="center" wrapText="1"/>
    </xf>
    <xf numFmtId="0" fontId="83" fillId="16" borderId="91" xfId="0" applyFont="1" applyFill="1" applyBorder="1" applyAlignment="1">
      <alignment horizontal="center" vertical="center" wrapText="1"/>
    </xf>
    <xf numFmtId="9" fontId="82" fillId="0" borderId="120" xfId="0" applyNumberFormat="1" applyFont="1" applyBorder="1" applyAlignment="1" applyProtection="1">
      <alignment horizontal="center" vertical="center" wrapText="1"/>
      <protection locked="0"/>
    </xf>
    <xf numFmtId="0" fontId="83" fillId="0" borderId="120" xfId="0" applyFont="1" applyBorder="1" applyAlignment="1" applyProtection="1">
      <alignment horizontal="center" vertical="center" wrapText="1"/>
      <protection hidden="1"/>
    </xf>
    <xf numFmtId="9" fontId="82" fillId="0" borderId="120" xfId="0" applyNumberFormat="1" applyFont="1" applyBorder="1" applyAlignment="1" applyProtection="1">
      <alignment horizontal="center" vertical="center" wrapText="1"/>
      <protection hidden="1"/>
    </xf>
    <xf numFmtId="0" fontId="83" fillId="0" borderId="120" xfId="0" applyFont="1" applyBorder="1" applyAlignment="1" applyProtection="1">
      <alignment horizontal="center" vertical="center"/>
      <protection hidden="1"/>
    </xf>
    <xf numFmtId="9" fontId="82" fillId="0" borderId="119" xfId="0" applyNumberFormat="1" applyFont="1" applyBorder="1" applyAlignment="1" applyProtection="1">
      <alignment horizontal="center" vertical="center" wrapText="1"/>
      <protection hidden="1"/>
    </xf>
    <xf numFmtId="9" fontId="82" fillId="0" borderId="90" xfId="0" applyNumberFormat="1" applyFont="1" applyBorder="1" applyAlignment="1" applyProtection="1">
      <alignment horizontal="center" vertical="center" wrapText="1"/>
      <protection hidden="1"/>
    </xf>
    <xf numFmtId="9" fontId="82" fillId="0" borderId="123" xfId="0" applyNumberFormat="1" applyFont="1" applyBorder="1" applyAlignment="1" applyProtection="1">
      <alignment horizontal="center" vertical="center" wrapText="1"/>
      <protection hidden="1"/>
    </xf>
    <xf numFmtId="0" fontId="83" fillId="0" borderId="119" xfId="0" applyFont="1" applyBorder="1" applyAlignment="1" applyProtection="1">
      <alignment horizontal="center" vertical="center" wrapText="1"/>
      <protection hidden="1"/>
    </xf>
    <xf numFmtId="0" fontId="83" fillId="0" borderId="90" xfId="0" applyFont="1" applyBorder="1" applyAlignment="1" applyProtection="1">
      <alignment horizontal="center" vertical="center" wrapText="1"/>
      <protection hidden="1"/>
    </xf>
    <xf numFmtId="0" fontId="83" fillId="0" borderId="123" xfId="0" applyFont="1" applyBorder="1" applyAlignment="1" applyProtection="1">
      <alignment horizontal="center" vertical="center" wrapText="1"/>
      <protection hidden="1"/>
    </xf>
    <xf numFmtId="0" fontId="83" fillId="0" borderId="119" xfId="0" applyFont="1" applyBorder="1" applyAlignment="1" applyProtection="1">
      <alignment horizontal="center" vertical="center"/>
      <protection hidden="1"/>
    </xf>
    <xf numFmtId="0" fontId="83" fillId="0" borderId="90" xfId="0" applyFont="1" applyBorder="1" applyAlignment="1" applyProtection="1">
      <alignment horizontal="center" vertical="center"/>
      <protection hidden="1"/>
    </xf>
    <xf numFmtId="0" fontId="83" fillId="0" borderId="123" xfId="0" applyFont="1" applyBorder="1" applyAlignment="1" applyProtection="1">
      <alignment horizontal="center" vertical="center"/>
      <protection hidden="1"/>
    </xf>
    <xf numFmtId="0" fontId="82" fillId="0" borderId="120" xfId="0" applyFont="1" applyBorder="1" applyAlignment="1" applyProtection="1">
      <alignment horizontal="center" vertical="center" wrapText="1"/>
      <protection locked="0"/>
    </xf>
    <xf numFmtId="0" fontId="83" fillId="16" borderId="90" xfId="0" applyFont="1" applyFill="1" applyBorder="1" applyAlignment="1">
      <alignment horizontal="center" vertical="center" textRotation="90" wrapText="1"/>
    </xf>
    <xf numFmtId="0" fontId="83" fillId="16" borderId="91" xfId="0" applyFont="1" applyFill="1" applyBorder="1" applyAlignment="1">
      <alignment horizontal="center" vertical="center" textRotation="90" wrapText="1"/>
    </xf>
    <xf numFmtId="0" fontId="82" fillId="0" borderId="119"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123" xfId="0" applyFont="1" applyBorder="1" applyAlignment="1" applyProtection="1">
      <alignment horizontal="center" vertical="center" wrapText="1"/>
      <protection locked="0"/>
    </xf>
    <xf numFmtId="0" fontId="82" fillId="0" borderId="120" xfId="0" applyFont="1" applyBorder="1" applyAlignment="1" applyProtection="1">
      <alignment horizontal="center" vertical="center"/>
      <protection locked="0"/>
    </xf>
    <xf numFmtId="0" fontId="82" fillId="0" borderId="121" xfId="0" applyFont="1" applyBorder="1" applyAlignment="1" applyProtection="1">
      <alignment horizontal="center" vertical="center" wrapText="1"/>
      <protection locked="0"/>
    </xf>
    <xf numFmtId="0" fontId="82" fillId="0" borderId="122" xfId="0" applyFont="1" applyBorder="1" applyAlignment="1" applyProtection="1">
      <alignment horizontal="center" vertical="center" wrapText="1"/>
      <protection locked="0"/>
    </xf>
    <xf numFmtId="0" fontId="89" fillId="3" borderId="22" xfId="6" applyFont="1" applyFill="1" applyBorder="1" applyAlignment="1" applyProtection="1">
      <alignment horizontal="center" vertical="center" wrapText="1" readingOrder="1"/>
      <protection locked="0"/>
    </xf>
    <xf numFmtId="0" fontId="83" fillId="16" borderId="92" xfId="0" applyFont="1" applyFill="1" applyBorder="1" applyAlignment="1">
      <alignment horizontal="center" vertical="center"/>
    </xf>
    <xf numFmtId="0" fontId="90" fillId="0" borderId="119" xfId="0" applyFont="1" applyBorder="1" applyAlignment="1" applyProtection="1">
      <alignment horizontal="center" vertical="center" wrapText="1"/>
      <protection locked="0"/>
    </xf>
    <xf numFmtId="0" fontId="90" fillId="0" borderId="90" xfId="0" applyFont="1" applyBorder="1" applyAlignment="1" applyProtection="1">
      <alignment horizontal="center" vertical="center" wrapText="1"/>
      <protection locked="0"/>
    </xf>
    <xf numFmtId="0" fontId="90" fillId="0" borderId="123" xfId="0" applyFont="1" applyBorder="1" applyAlignment="1" applyProtection="1">
      <alignment horizontal="center" vertical="center" wrapText="1"/>
      <protection locked="0"/>
    </xf>
    <xf numFmtId="0" fontId="82" fillId="0" borderId="114" xfId="0" applyFont="1" applyBorder="1" applyAlignment="1" applyProtection="1">
      <alignment horizontal="center" vertical="center" wrapText="1"/>
      <protection locked="0"/>
    </xf>
    <xf numFmtId="0" fontId="82" fillId="0" borderId="116" xfId="0" applyFont="1" applyBorder="1" applyAlignment="1" applyProtection="1">
      <alignment horizontal="center" vertical="center" wrapText="1"/>
      <protection locked="0"/>
    </xf>
    <xf numFmtId="0" fontId="82" fillId="0" borderId="118" xfId="0" applyFont="1" applyBorder="1" applyAlignment="1" applyProtection="1">
      <alignment horizontal="center" vertical="center" wrapText="1"/>
      <protection locked="0"/>
    </xf>
    <xf numFmtId="9" fontId="82" fillId="0" borderId="119" xfId="0" applyNumberFormat="1" applyFont="1" applyBorder="1" applyAlignment="1" applyProtection="1">
      <alignment horizontal="center" vertical="center" wrapText="1"/>
      <protection locked="0"/>
    </xf>
    <xf numFmtId="9" fontId="82" fillId="0" borderId="90" xfId="0" applyNumberFormat="1" applyFont="1" applyBorder="1" applyAlignment="1" applyProtection="1">
      <alignment horizontal="center" vertical="center" wrapText="1"/>
      <protection locked="0"/>
    </xf>
    <xf numFmtId="9" fontId="82" fillId="0" borderId="123" xfId="0" applyNumberFormat="1" applyFont="1" applyBorder="1" applyAlignment="1" applyProtection="1">
      <alignment horizontal="center" vertical="center" wrapText="1"/>
      <protection locked="0"/>
    </xf>
    <xf numFmtId="0" fontId="83" fillId="0" borderId="126" xfId="0" applyFont="1" applyBorder="1" applyAlignment="1" applyProtection="1">
      <alignment horizontal="center" vertical="center" wrapText="1"/>
      <protection hidden="1"/>
    </xf>
    <xf numFmtId="0" fontId="83" fillId="23" borderId="90" xfId="0" applyFont="1" applyFill="1" applyBorder="1" applyAlignment="1">
      <alignment horizontal="center" vertical="center" wrapText="1"/>
    </xf>
    <xf numFmtId="0" fontId="83" fillId="23" borderId="91" xfId="0" applyFont="1" applyFill="1" applyBorder="1" applyAlignment="1">
      <alignment horizontal="center" vertical="center" wrapText="1"/>
    </xf>
    <xf numFmtId="0" fontId="83" fillId="23" borderId="105" xfId="0" applyFont="1" applyFill="1" applyBorder="1" applyAlignment="1">
      <alignment horizontal="center" vertical="center" wrapText="1"/>
    </xf>
    <xf numFmtId="0" fontId="83" fillId="0" borderId="113" xfId="0" applyFont="1" applyBorder="1" applyAlignment="1">
      <alignment horizontal="center" vertical="center"/>
    </xf>
    <xf numFmtId="0" fontId="83" fillId="0" borderId="115" xfId="0" applyFont="1" applyBorder="1" applyAlignment="1">
      <alignment horizontal="center" vertical="center"/>
    </xf>
    <xf numFmtId="0" fontId="83" fillId="0" borderId="117" xfId="0" applyFont="1" applyBorder="1" applyAlignment="1">
      <alignment horizontal="center" vertical="center"/>
    </xf>
    <xf numFmtId="0" fontId="93" fillId="0" borderId="119" xfId="0" applyFont="1" applyBorder="1" applyAlignment="1" applyProtection="1">
      <alignment horizontal="center" vertical="center" wrapText="1"/>
      <protection locked="0"/>
    </xf>
    <xf numFmtId="0" fontId="93" fillId="0" borderId="90" xfId="0" applyFont="1" applyBorder="1" applyAlignment="1" applyProtection="1">
      <alignment horizontal="center" vertical="center" wrapText="1"/>
      <protection locked="0"/>
    </xf>
    <xf numFmtId="0" fontId="93" fillId="0" borderId="123" xfId="0" applyFont="1" applyBorder="1" applyAlignment="1" applyProtection="1">
      <alignment horizontal="center" vertical="center" wrapText="1"/>
      <protection locked="0"/>
    </xf>
    <xf numFmtId="0" fontId="94" fillId="0" borderId="119" xfId="0" applyFont="1" applyBorder="1" applyAlignment="1" applyProtection="1">
      <alignment horizontal="center" vertical="center" wrapText="1"/>
      <protection locked="0"/>
    </xf>
    <xf numFmtId="0" fontId="91" fillId="0" borderId="119" xfId="0" applyFont="1" applyBorder="1" applyAlignment="1" applyProtection="1">
      <alignment horizontal="center" vertical="center"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2" fillId="0" borderId="119" xfId="0" applyFont="1" applyBorder="1" applyAlignment="1" applyProtection="1">
      <alignment horizontal="center" vertical="center"/>
      <protection locked="0"/>
    </xf>
    <xf numFmtId="0" fontId="82" fillId="0" borderId="90" xfId="0" applyFont="1" applyBorder="1" applyAlignment="1" applyProtection="1">
      <alignment horizontal="center" vertical="center"/>
      <protection locked="0"/>
    </xf>
    <xf numFmtId="0" fontId="82" fillId="0" borderId="123" xfId="0" applyFont="1" applyBorder="1" applyAlignment="1" applyProtection="1">
      <alignment horizontal="center" vertical="center"/>
      <protection locked="0"/>
    </xf>
    <xf numFmtId="0" fontId="83" fillId="16" borderId="90" xfId="0" applyFont="1" applyFill="1" applyBorder="1" applyAlignment="1">
      <alignment horizontal="center" vertical="center" textRotation="90"/>
    </xf>
    <xf numFmtId="0" fontId="83" fillId="16" borderId="91" xfId="0" applyFont="1" applyFill="1" applyBorder="1" applyAlignment="1">
      <alignment horizontal="center" vertical="center" textRotation="90"/>
    </xf>
    <xf numFmtId="0" fontId="83" fillId="0" borderId="120" xfId="0" applyFont="1" applyBorder="1" applyAlignment="1">
      <alignment horizontal="center" vertical="center"/>
    </xf>
    <xf numFmtId="0" fontId="82" fillId="0" borderId="91" xfId="0" applyFont="1" applyBorder="1" applyAlignment="1" applyProtection="1">
      <alignment horizontal="left" vertical="center" wrapText="1"/>
      <protection locked="0"/>
    </xf>
    <xf numFmtId="0" fontId="82" fillId="0" borderId="105" xfId="0" applyFont="1" applyBorder="1" applyAlignment="1" applyProtection="1">
      <alignment horizontal="left" vertical="center" wrapText="1"/>
      <protection locked="0"/>
    </xf>
    <xf numFmtId="0" fontId="82" fillId="0" borderId="92" xfId="0" applyFont="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63" fillId="0" borderId="96" xfId="0" applyFont="1" applyBorder="1" applyAlignment="1">
      <alignment horizontal="center" vertical="center"/>
    </xf>
    <xf numFmtId="0" fontId="63" fillId="0" borderId="97" xfId="0" applyFont="1" applyBorder="1" applyAlignment="1">
      <alignment horizontal="center" vertical="center"/>
    </xf>
    <xf numFmtId="0" fontId="63" fillId="0" borderId="98" xfId="0" applyFont="1" applyBorder="1" applyAlignment="1">
      <alignment horizontal="center" vertical="center"/>
    </xf>
    <xf numFmtId="0" fontId="63" fillId="0" borderId="102" xfId="0" applyFont="1" applyBorder="1" applyAlignment="1">
      <alignment horizontal="center" vertical="center"/>
    </xf>
    <xf numFmtId="0" fontId="63" fillId="0" borderId="103" xfId="0" applyFont="1" applyBorder="1" applyAlignment="1">
      <alignment horizontal="center" vertical="center"/>
    </xf>
    <xf numFmtId="0" fontId="63" fillId="0" borderId="104"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92" fillId="0" borderId="119" xfId="0" applyFont="1" applyBorder="1" applyAlignment="1" applyProtection="1">
      <alignment horizontal="center" vertical="center" wrapText="1"/>
      <protection locked="0"/>
    </xf>
    <xf numFmtId="0" fontId="92" fillId="0" borderId="90" xfId="0" applyFont="1" applyBorder="1" applyAlignment="1" applyProtection="1">
      <alignment horizontal="center" vertical="center" wrapText="1"/>
      <protection locked="0"/>
    </xf>
    <xf numFmtId="0" fontId="92" fillId="0" borderId="123" xfId="0" applyFont="1" applyBorder="1" applyAlignment="1" applyProtection="1">
      <alignment horizontal="center" vertical="center" wrapText="1"/>
      <protection locked="0"/>
    </xf>
    <xf numFmtId="0" fontId="91" fillId="0" borderId="90" xfId="0" applyFont="1" applyBorder="1" applyAlignment="1" applyProtection="1">
      <alignment horizontal="center" vertical="center" wrapText="1"/>
      <protection locked="0"/>
    </xf>
    <xf numFmtId="0" fontId="91" fillId="0" borderId="123" xfId="0" applyFont="1" applyBorder="1" applyAlignment="1" applyProtection="1">
      <alignment horizontal="center" vertical="center" wrapText="1"/>
      <protection locked="0"/>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82" fillId="0" borderId="90" xfId="0" applyFont="1" applyBorder="1" applyAlignment="1" applyProtection="1">
      <alignment horizontal="center" vertical="top" wrapText="1"/>
      <protection locked="0"/>
    </xf>
  </cellXfs>
  <cellStyles count="7">
    <cellStyle name="Moneda" xfId="5" builtinId="4"/>
    <cellStyle name="Normal" xfId="0" builtinId="0"/>
    <cellStyle name="Normal - Style1 2" xfId="2"/>
    <cellStyle name="Normal 2" xfId="4"/>
    <cellStyle name="Normal 2 2" xfId="3"/>
    <cellStyle name="Normal 3" xfId="6"/>
    <cellStyle name="Porcentaje" xfId="1" builtinId="5"/>
  </cellStyles>
  <dxfs count="243">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ill>
        <patternFill>
          <bgColor rgb="FF33CC33"/>
        </patternFill>
      </fill>
    </dxf>
    <dxf>
      <fill>
        <patternFill>
          <bgColor rgb="FFFFFF00"/>
        </patternFill>
      </fill>
    </dxf>
    <dxf>
      <fill>
        <patternFill>
          <bgColor rgb="FFFF99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422052</xdr:colOff>
      <xdr:row>18</xdr:row>
      <xdr:rowOff>50007</xdr:rowOff>
    </xdr:from>
    <xdr:to>
      <xdr:col>5</xdr:col>
      <xdr:colOff>1524780</xdr:colOff>
      <xdr:row>30</xdr:row>
      <xdr:rowOff>301349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779240" y="32685038"/>
          <a:ext cx="18767214" cy="428756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topLeftCell="A28" zoomScale="110" zoomScaleNormal="110" workbookViewId="0">
      <selection activeCell="B7" sqref="B7:H7"/>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305" t="s">
        <v>0</v>
      </c>
      <c r="C2" s="306"/>
      <c r="D2" s="306"/>
      <c r="E2" s="306"/>
      <c r="F2" s="306"/>
      <c r="G2" s="306"/>
      <c r="H2" s="307"/>
    </row>
    <row r="3" spans="2:8" x14ac:dyDescent="0.25">
      <c r="B3" s="67"/>
      <c r="C3" s="68"/>
      <c r="D3" s="68"/>
      <c r="E3" s="68"/>
      <c r="F3" s="68"/>
      <c r="G3" s="68"/>
      <c r="H3" s="69"/>
    </row>
    <row r="4" spans="2:8" ht="63" customHeight="1" x14ac:dyDescent="0.25">
      <c r="B4" s="308" t="s">
        <v>1</v>
      </c>
      <c r="C4" s="309"/>
      <c r="D4" s="309"/>
      <c r="E4" s="309"/>
      <c r="F4" s="309"/>
      <c r="G4" s="309"/>
      <c r="H4" s="310"/>
    </row>
    <row r="5" spans="2:8" ht="63" customHeight="1" x14ac:dyDescent="0.25">
      <c r="B5" s="311"/>
      <c r="C5" s="312"/>
      <c r="D5" s="312"/>
      <c r="E5" s="312"/>
      <c r="F5" s="312"/>
      <c r="G5" s="312"/>
      <c r="H5" s="313"/>
    </row>
    <row r="6" spans="2:8" ht="16.5" x14ac:dyDescent="0.25">
      <c r="B6" s="314" t="s">
        <v>2</v>
      </c>
      <c r="C6" s="315"/>
      <c r="D6" s="315"/>
      <c r="E6" s="315"/>
      <c r="F6" s="315"/>
      <c r="G6" s="315"/>
      <c r="H6" s="316"/>
    </row>
    <row r="7" spans="2:8" ht="95.25" customHeight="1" x14ac:dyDescent="0.25">
      <c r="B7" s="324" t="s">
        <v>3</v>
      </c>
      <c r="C7" s="325"/>
      <c r="D7" s="325"/>
      <c r="E7" s="325"/>
      <c r="F7" s="325"/>
      <c r="G7" s="325"/>
      <c r="H7" s="326"/>
    </row>
    <row r="8" spans="2:8" ht="16.5" x14ac:dyDescent="0.25">
      <c r="B8" s="101"/>
      <c r="C8" s="102"/>
      <c r="D8" s="102"/>
      <c r="E8" s="102"/>
      <c r="F8" s="102"/>
      <c r="G8" s="102"/>
      <c r="H8" s="103"/>
    </row>
    <row r="9" spans="2:8" ht="16.5" customHeight="1" x14ac:dyDescent="0.25">
      <c r="B9" s="317" t="s">
        <v>4</v>
      </c>
      <c r="C9" s="318"/>
      <c r="D9" s="318"/>
      <c r="E9" s="318"/>
      <c r="F9" s="318"/>
      <c r="G9" s="318"/>
      <c r="H9" s="319"/>
    </row>
    <row r="10" spans="2:8" ht="44.25" customHeight="1" x14ac:dyDescent="0.25">
      <c r="B10" s="317"/>
      <c r="C10" s="318"/>
      <c r="D10" s="318"/>
      <c r="E10" s="318"/>
      <c r="F10" s="318"/>
      <c r="G10" s="318"/>
      <c r="H10" s="319"/>
    </row>
    <row r="11" spans="2:8" ht="15.75" thickBot="1" x14ac:dyDescent="0.3">
      <c r="B11" s="90"/>
      <c r="C11" s="93"/>
      <c r="D11" s="98"/>
      <c r="E11" s="99"/>
      <c r="F11" s="99"/>
      <c r="G11" s="100"/>
      <c r="H11" s="94"/>
    </row>
    <row r="12" spans="2:8" ht="15.75" thickTop="1" x14ac:dyDescent="0.25">
      <c r="B12" s="90"/>
      <c r="C12" s="320" t="s">
        <v>5</v>
      </c>
      <c r="D12" s="321"/>
      <c r="E12" s="322" t="s">
        <v>6</v>
      </c>
      <c r="F12" s="323"/>
      <c r="G12" s="93"/>
      <c r="H12" s="94"/>
    </row>
    <row r="13" spans="2:8" ht="35.25" customHeight="1" x14ac:dyDescent="0.25">
      <c r="B13" s="90"/>
      <c r="C13" s="327" t="s">
        <v>7</v>
      </c>
      <c r="D13" s="328"/>
      <c r="E13" s="329" t="s">
        <v>8</v>
      </c>
      <c r="F13" s="330"/>
      <c r="G13" s="93"/>
      <c r="H13" s="94"/>
    </row>
    <row r="14" spans="2:8" ht="17.25" customHeight="1" x14ac:dyDescent="0.25">
      <c r="B14" s="90"/>
      <c r="C14" s="327" t="s">
        <v>9</v>
      </c>
      <c r="D14" s="328"/>
      <c r="E14" s="329" t="s">
        <v>10</v>
      </c>
      <c r="F14" s="330"/>
      <c r="G14" s="93"/>
      <c r="H14" s="94"/>
    </row>
    <row r="15" spans="2:8" ht="19.5" customHeight="1" x14ac:dyDescent="0.25">
      <c r="B15" s="90"/>
      <c r="C15" s="327" t="s">
        <v>11</v>
      </c>
      <c r="D15" s="328"/>
      <c r="E15" s="329" t="s">
        <v>12</v>
      </c>
      <c r="F15" s="330"/>
      <c r="G15" s="93"/>
      <c r="H15" s="94"/>
    </row>
    <row r="16" spans="2:8" ht="69.75" customHeight="1" x14ac:dyDescent="0.25">
      <c r="B16" s="90"/>
      <c r="C16" s="327" t="s">
        <v>13</v>
      </c>
      <c r="D16" s="328"/>
      <c r="E16" s="329" t="s">
        <v>14</v>
      </c>
      <c r="F16" s="330"/>
      <c r="G16" s="93"/>
      <c r="H16" s="94"/>
    </row>
    <row r="17" spans="2:8" ht="34.5" customHeight="1" x14ac:dyDescent="0.25">
      <c r="B17" s="90"/>
      <c r="C17" s="331" t="s">
        <v>15</v>
      </c>
      <c r="D17" s="332"/>
      <c r="E17" s="333" t="s">
        <v>16</v>
      </c>
      <c r="F17" s="334"/>
      <c r="G17" s="93"/>
      <c r="H17" s="94"/>
    </row>
    <row r="18" spans="2:8" ht="27.75" customHeight="1" x14ac:dyDescent="0.25">
      <c r="B18" s="90"/>
      <c r="C18" s="331" t="s">
        <v>17</v>
      </c>
      <c r="D18" s="332"/>
      <c r="E18" s="333" t="s">
        <v>18</v>
      </c>
      <c r="F18" s="334"/>
      <c r="G18" s="93"/>
      <c r="H18" s="94"/>
    </row>
    <row r="19" spans="2:8" ht="28.5" customHeight="1" x14ac:dyDescent="0.25">
      <c r="B19" s="90"/>
      <c r="C19" s="331" t="s">
        <v>19</v>
      </c>
      <c r="D19" s="332"/>
      <c r="E19" s="333" t="s">
        <v>20</v>
      </c>
      <c r="F19" s="334"/>
      <c r="G19" s="93"/>
      <c r="H19" s="94"/>
    </row>
    <row r="20" spans="2:8" ht="72.75" customHeight="1" x14ac:dyDescent="0.25">
      <c r="B20" s="90"/>
      <c r="C20" s="331" t="s">
        <v>21</v>
      </c>
      <c r="D20" s="332"/>
      <c r="E20" s="333" t="s">
        <v>22</v>
      </c>
      <c r="F20" s="334"/>
      <c r="G20" s="93"/>
      <c r="H20" s="94"/>
    </row>
    <row r="21" spans="2:8" ht="64.5" customHeight="1" x14ac:dyDescent="0.25">
      <c r="B21" s="90"/>
      <c r="C21" s="331" t="s">
        <v>23</v>
      </c>
      <c r="D21" s="332"/>
      <c r="E21" s="333" t="s">
        <v>24</v>
      </c>
      <c r="F21" s="334"/>
      <c r="G21" s="93"/>
      <c r="H21" s="94"/>
    </row>
    <row r="22" spans="2:8" ht="71.25" customHeight="1" x14ac:dyDescent="0.25">
      <c r="B22" s="90"/>
      <c r="C22" s="331" t="s">
        <v>25</v>
      </c>
      <c r="D22" s="332"/>
      <c r="E22" s="333" t="s">
        <v>26</v>
      </c>
      <c r="F22" s="334"/>
      <c r="G22" s="93"/>
      <c r="H22" s="94"/>
    </row>
    <row r="23" spans="2:8" ht="55.5" customHeight="1" x14ac:dyDescent="0.25">
      <c r="B23" s="90"/>
      <c r="C23" s="338" t="s">
        <v>27</v>
      </c>
      <c r="D23" s="339"/>
      <c r="E23" s="333" t="s">
        <v>28</v>
      </c>
      <c r="F23" s="334"/>
      <c r="G23" s="93"/>
      <c r="H23" s="94"/>
    </row>
    <row r="24" spans="2:8" ht="42" customHeight="1" x14ac:dyDescent="0.25">
      <c r="B24" s="90"/>
      <c r="C24" s="338" t="s">
        <v>29</v>
      </c>
      <c r="D24" s="339"/>
      <c r="E24" s="333" t="s">
        <v>30</v>
      </c>
      <c r="F24" s="334"/>
      <c r="G24" s="93"/>
      <c r="H24" s="94"/>
    </row>
    <row r="25" spans="2:8" ht="59.25" customHeight="1" x14ac:dyDescent="0.25">
      <c r="B25" s="90"/>
      <c r="C25" s="338" t="s">
        <v>31</v>
      </c>
      <c r="D25" s="339"/>
      <c r="E25" s="333" t="s">
        <v>32</v>
      </c>
      <c r="F25" s="334"/>
      <c r="G25" s="93"/>
      <c r="H25" s="94"/>
    </row>
    <row r="26" spans="2:8" ht="23.25" customHeight="1" x14ac:dyDescent="0.25">
      <c r="B26" s="90"/>
      <c r="C26" s="338" t="s">
        <v>33</v>
      </c>
      <c r="D26" s="339"/>
      <c r="E26" s="333" t="s">
        <v>34</v>
      </c>
      <c r="F26" s="334"/>
      <c r="G26" s="93"/>
      <c r="H26" s="94"/>
    </row>
    <row r="27" spans="2:8" ht="30.75" customHeight="1" x14ac:dyDescent="0.25">
      <c r="B27" s="90"/>
      <c r="C27" s="338" t="s">
        <v>35</v>
      </c>
      <c r="D27" s="339"/>
      <c r="E27" s="333" t="s">
        <v>36</v>
      </c>
      <c r="F27" s="334"/>
      <c r="G27" s="93"/>
      <c r="H27" s="94"/>
    </row>
    <row r="28" spans="2:8" ht="35.25" customHeight="1" x14ac:dyDescent="0.25">
      <c r="B28" s="90"/>
      <c r="C28" s="338" t="s">
        <v>37</v>
      </c>
      <c r="D28" s="339"/>
      <c r="E28" s="333" t="s">
        <v>38</v>
      </c>
      <c r="F28" s="334"/>
      <c r="G28" s="93"/>
      <c r="H28" s="94"/>
    </row>
    <row r="29" spans="2:8" ht="33" customHeight="1" x14ac:dyDescent="0.25">
      <c r="B29" s="90"/>
      <c r="C29" s="338" t="s">
        <v>37</v>
      </c>
      <c r="D29" s="339"/>
      <c r="E29" s="333" t="s">
        <v>38</v>
      </c>
      <c r="F29" s="334"/>
      <c r="G29" s="93"/>
      <c r="H29" s="94"/>
    </row>
    <row r="30" spans="2:8" ht="30" customHeight="1" x14ac:dyDescent="0.25">
      <c r="B30" s="90"/>
      <c r="C30" s="338" t="s">
        <v>39</v>
      </c>
      <c r="D30" s="339"/>
      <c r="E30" s="333" t="s">
        <v>40</v>
      </c>
      <c r="F30" s="334"/>
      <c r="G30" s="93"/>
      <c r="H30" s="94"/>
    </row>
    <row r="31" spans="2:8" ht="35.25" customHeight="1" x14ac:dyDescent="0.25">
      <c r="B31" s="90"/>
      <c r="C31" s="338" t="s">
        <v>41</v>
      </c>
      <c r="D31" s="339"/>
      <c r="E31" s="333" t="s">
        <v>42</v>
      </c>
      <c r="F31" s="334"/>
      <c r="G31" s="93"/>
      <c r="H31" s="94"/>
    </row>
    <row r="32" spans="2:8" ht="31.5" customHeight="1" x14ac:dyDescent="0.25">
      <c r="B32" s="90"/>
      <c r="C32" s="338" t="s">
        <v>43</v>
      </c>
      <c r="D32" s="339"/>
      <c r="E32" s="333" t="s">
        <v>44</v>
      </c>
      <c r="F32" s="334"/>
      <c r="G32" s="93"/>
      <c r="H32" s="94"/>
    </row>
    <row r="33" spans="2:8" ht="35.25" customHeight="1" x14ac:dyDescent="0.25">
      <c r="B33" s="90"/>
      <c r="C33" s="338" t="s">
        <v>45</v>
      </c>
      <c r="D33" s="339"/>
      <c r="E33" s="333" t="s">
        <v>46</v>
      </c>
      <c r="F33" s="334"/>
      <c r="G33" s="93"/>
      <c r="H33" s="94"/>
    </row>
    <row r="34" spans="2:8" ht="59.25" customHeight="1" x14ac:dyDescent="0.25">
      <c r="B34" s="90"/>
      <c r="C34" s="338" t="s">
        <v>47</v>
      </c>
      <c r="D34" s="339"/>
      <c r="E34" s="333" t="s">
        <v>48</v>
      </c>
      <c r="F34" s="334"/>
      <c r="G34" s="93"/>
      <c r="H34" s="94"/>
    </row>
    <row r="35" spans="2:8" ht="29.25" customHeight="1" x14ac:dyDescent="0.25">
      <c r="B35" s="90"/>
      <c r="C35" s="338" t="s">
        <v>49</v>
      </c>
      <c r="D35" s="339"/>
      <c r="E35" s="333" t="s">
        <v>50</v>
      </c>
      <c r="F35" s="334"/>
      <c r="G35" s="93"/>
      <c r="H35" s="94"/>
    </row>
    <row r="36" spans="2:8" ht="82.5" customHeight="1" x14ac:dyDescent="0.25">
      <c r="B36" s="90"/>
      <c r="C36" s="338" t="s">
        <v>51</v>
      </c>
      <c r="D36" s="339"/>
      <c r="E36" s="333" t="s">
        <v>52</v>
      </c>
      <c r="F36" s="334"/>
      <c r="G36" s="93"/>
      <c r="H36" s="94"/>
    </row>
    <row r="37" spans="2:8" ht="46.5" customHeight="1" x14ac:dyDescent="0.25">
      <c r="B37" s="90"/>
      <c r="C37" s="338" t="s">
        <v>53</v>
      </c>
      <c r="D37" s="339"/>
      <c r="E37" s="333" t="s">
        <v>54</v>
      </c>
      <c r="F37" s="334"/>
      <c r="G37" s="93"/>
      <c r="H37" s="94"/>
    </row>
    <row r="38" spans="2:8" ht="6.75" customHeight="1" thickBot="1" x14ac:dyDescent="0.3">
      <c r="B38" s="90"/>
      <c r="C38" s="340"/>
      <c r="D38" s="341"/>
      <c r="E38" s="342"/>
      <c r="F38" s="343"/>
      <c r="G38" s="93"/>
      <c r="H38" s="94"/>
    </row>
    <row r="39" spans="2:8" ht="15.75" thickTop="1" x14ac:dyDescent="0.25">
      <c r="B39" s="90"/>
      <c r="C39" s="91"/>
      <c r="D39" s="91"/>
      <c r="E39" s="92"/>
      <c r="F39" s="92"/>
      <c r="G39" s="93"/>
      <c r="H39" s="94"/>
    </row>
    <row r="40" spans="2:8" ht="21" customHeight="1" x14ac:dyDescent="0.25">
      <c r="B40" s="335" t="s">
        <v>55</v>
      </c>
      <c r="C40" s="336"/>
      <c r="D40" s="336"/>
      <c r="E40" s="336"/>
      <c r="F40" s="336"/>
      <c r="G40" s="336"/>
      <c r="H40" s="337"/>
    </row>
    <row r="41" spans="2:8" ht="20.25" customHeight="1" x14ac:dyDescent="0.25">
      <c r="B41" s="335" t="s">
        <v>56</v>
      </c>
      <c r="C41" s="336"/>
      <c r="D41" s="336"/>
      <c r="E41" s="336"/>
      <c r="F41" s="336"/>
      <c r="G41" s="336"/>
      <c r="H41" s="337"/>
    </row>
    <row r="42" spans="2:8" ht="20.25" customHeight="1" x14ac:dyDescent="0.25">
      <c r="B42" s="335" t="s">
        <v>57</v>
      </c>
      <c r="C42" s="336"/>
      <c r="D42" s="336"/>
      <c r="E42" s="336"/>
      <c r="F42" s="336"/>
      <c r="G42" s="336"/>
      <c r="H42" s="337"/>
    </row>
    <row r="43" spans="2:8" ht="20.25" customHeight="1" x14ac:dyDescent="0.25">
      <c r="B43" s="335" t="s">
        <v>58</v>
      </c>
      <c r="C43" s="336"/>
      <c r="D43" s="336"/>
      <c r="E43" s="336"/>
      <c r="F43" s="336"/>
      <c r="G43" s="336"/>
      <c r="H43" s="337"/>
    </row>
    <row r="44" spans="2:8" x14ac:dyDescent="0.25">
      <c r="B44" s="335" t="s">
        <v>59</v>
      </c>
      <c r="C44" s="336"/>
      <c r="D44" s="336"/>
      <c r="E44" s="336"/>
      <c r="F44" s="336"/>
      <c r="G44" s="336"/>
      <c r="H44" s="337"/>
    </row>
    <row r="45" spans="2:8" ht="15.75" thickBot="1" x14ac:dyDescent="0.3">
      <c r="B45" s="95"/>
      <c r="C45" s="96"/>
      <c r="D45" s="96"/>
      <c r="E45" s="96"/>
      <c r="F45" s="96"/>
      <c r="G45" s="96"/>
      <c r="H45" s="97"/>
    </row>
    <row r="300" spans="3:3" ht="31.5" x14ac:dyDescent="0.25">
      <c r="C300" s="168" t="s">
        <v>60</v>
      </c>
    </row>
    <row r="301" spans="3:3" ht="47.25" x14ac:dyDescent="0.25">
      <c r="C301" s="168" t="s">
        <v>61</v>
      </c>
    </row>
    <row r="302" spans="3:3" ht="31.5" x14ac:dyDescent="0.25">
      <c r="C302" s="169" t="s">
        <v>62</v>
      </c>
    </row>
    <row r="303" spans="3:3" ht="31.5" x14ac:dyDescent="0.25">
      <c r="C303" s="168" t="s">
        <v>63</v>
      </c>
    </row>
    <row r="304" spans="3:3" ht="47.25" x14ac:dyDescent="0.25">
      <c r="C304" s="168" t="s">
        <v>64</v>
      </c>
    </row>
    <row r="305" spans="3:3" ht="31.5" x14ac:dyDescent="0.25">
      <c r="C305" s="168" t="s">
        <v>65</v>
      </c>
    </row>
    <row r="306" spans="3:3" ht="47.25" x14ac:dyDescent="0.25">
      <c r="C306" s="169" t="s">
        <v>66</v>
      </c>
    </row>
    <row r="307" spans="3:3" ht="31.5" x14ac:dyDescent="0.25">
      <c r="C307" s="168" t="s">
        <v>67</v>
      </c>
    </row>
    <row r="308" spans="3:3" ht="15.75" x14ac:dyDescent="0.25">
      <c r="C308" s="168" t="s">
        <v>68</v>
      </c>
    </row>
    <row r="309" spans="3:3" ht="15.75" x14ac:dyDescent="0.25">
      <c r="C309" s="168" t="s">
        <v>69</v>
      </c>
    </row>
    <row r="310" spans="3:3" ht="31.5" x14ac:dyDescent="0.25">
      <c r="C310" s="168" t="s">
        <v>70</v>
      </c>
    </row>
    <row r="311" spans="3:3" ht="31.5" x14ac:dyDescent="0.25">
      <c r="C311" s="168" t="s">
        <v>71</v>
      </c>
    </row>
    <row r="312" spans="3:3" ht="15.75" x14ac:dyDescent="0.25">
      <c r="C312" s="168" t="s">
        <v>72</v>
      </c>
    </row>
    <row r="313" spans="3:3" ht="15.75" x14ac:dyDescent="0.25">
      <c r="C313" s="168" t="s">
        <v>73</v>
      </c>
    </row>
    <row r="314" spans="3:3" ht="15.75" x14ac:dyDescent="0.25">
      <c r="C314" s="168" t="s">
        <v>74</v>
      </c>
    </row>
    <row r="315" spans="3:3" ht="31.5" x14ac:dyDescent="0.25">
      <c r="C315" s="168" t="s">
        <v>75</v>
      </c>
    </row>
    <row r="316" spans="3:3" ht="31.5" x14ac:dyDescent="0.25">
      <c r="C316" s="168" t="s">
        <v>76</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676" t="s">
        <v>181</v>
      </c>
      <c r="C3" s="153" t="s">
        <v>294</v>
      </c>
      <c r="D3" s="151" t="s">
        <v>295</v>
      </c>
      <c r="AX3" t="s">
        <v>181</v>
      </c>
    </row>
    <row r="4" spans="2:50" ht="48.75" thickBot="1" x14ac:dyDescent="0.3">
      <c r="B4" s="677"/>
      <c r="C4" s="154" t="s">
        <v>296</v>
      </c>
      <c r="D4" s="152" t="s">
        <v>297</v>
      </c>
      <c r="AX4" t="s">
        <v>162</v>
      </c>
    </row>
    <row r="5" spans="2:50" ht="48.75" thickBot="1" x14ac:dyDescent="0.3">
      <c r="B5" s="677"/>
      <c r="C5" s="154" t="s">
        <v>298</v>
      </c>
      <c r="D5" s="152" t="s">
        <v>299</v>
      </c>
      <c r="AX5" t="s">
        <v>300</v>
      </c>
    </row>
    <row r="6" spans="2:50" ht="36.75" thickBot="1" x14ac:dyDescent="0.3">
      <c r="B6" s="678"/>
      <c r="C6" s="154" t="s">
        <v>301</v>
      </c>
      <c r="D6" s="152" t="s">
        <v>302</v>
      </c>
    </row>
    <row r="7" spans="2:50" ht="36.75" thickBot="1" x14ac:dyDescent="0.3">
      <c r="B7" s="676" t="s">
        <v>162</v>
      </c>
      <c r="C7" s="154" t="s">
        <v>303</v>
      </c>
      <c r="D7" s="152" t="s">
        <v>304</v>
      </c>
    </row>
    <row r="8" spans="2:50" ht="96.75" thickBot="1" x14ac:dyDescent="0.3">
      <c r="B8" s="677"/>
      <c r="C8" s="154" t="s">
        <v>305</v>
      </c>
      <c r="D8" s="152" t="s">
        <v>306</v>
      </c>
    </row>
    <row r="9" spans="2:50" ht="48.75" thickBot="1" x14ac:dyDescent="0.3">
      <c r="B9" s="678"/>
      <c r="C9" s="154" t="s">
        <v>163</v>
      </c>
      <c r="D9" s="152" t="s">
        <v>307</v>
      </c>
    </row>
    <row r="10" spans="2:50" x14ac:dyDescent="0.25">
      <c r="B10" s="676" t="s">
        <v>300</v>
      </c>
      <c r="C10" s="155"/>
      <c r="D10" s="679" t="s">
        <v>308</v>
      </c>
    </row>
    <row r="11" spans="2:50" x14ac:dyDescent="0.25">
      <c r="B11" s="677"/>
      <c r="C11" s="155" t="s">
        <v>309</v>
      </c>
      <c r="D11" s="680"/>
    </row>
    <row r="12" spans="2:50" ht="15.75" thickBot="1" x14ac:dyDescent="0.3">
      <c r="B12" s="677"/>
      <c r="C12" s="154"/>
      <c r="D12" s="681"/>
    </row>
    <row r="13" spans="2:50" ht="22.5" customHeight="1" x14ac:dyDescent="0.25">
      <c r="B13" s="677"/>
      <c r="C13" s="155"/>
      <c r="D13" s="679" t="s">
        <v>310</v>
      </c>
    </row>
    <row r="14" spans="2:50" ht="22.5" customHeight="1" x14ac:dyDescent="0.25">
      <c r="B14" s="677"/>
      <c r="C14" s="155" t="s">
        <v>311</v>
      </c>
      <c r="D14" s="680"/>
    </row>
    <row r="15" spans="2:50" ht="22.5" customHeight="1" thickBot="1" x14ac:dyDescent="0.3">
      <c r="B15" s="677"/>
      <c r="C15" s="154"/>
      <c r="D15" s="681"/>
    </row>
    <row r="16" spans="2:50" ht="25.5" customHeight="1" x14ac:dyDescent="0.25">
      <c r="B16" s="677"/>
      <c r="C16" s="155"/>
      <c r="D16" s="679" t="s">
        <v>312</v>
      </c>
    </row>
    <row r="17" spans="2:4" ht="25.5" customHeight="1" x14ac:dyDescent="0.25">
      <c r="B17" s="677"/>
      <c r="C17" s="155" t="s">
        <v>313</v>
      </c>
      <c r="D17" s="680"/>
    </row>
    <row r="18" spans="2:4" ht="25.5" customHeight="1" thickBot="1" x14ac:dyDescent="0.3">
      <c r="B18" s="678"/>
      <c r="C18" s="154"/>
      <c r="D18" s="681"/>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7" t="s">
        <v>314</v>
      </c>
    </row>
    <row r="2" spans="3:6" ht="15.75" thickBot="1" x14ac:dyDescent="0.3">
      <c r="C2" s="174" t="s">
        <v>315</v>
      </c>
      <c r="E2" s="178" t="s">
        <v>316</v>
      </c>
      <c r="F2" s="179" t="s">
        <v>317</v>
      </c>
    </row>
    <row r="3" spans="3:6" ht="15.75" thickBot="1" x14ac:dyDescent="0.3">
      <c r="C3" s="175" t="s">
        <v>318</v>
      </c>
      <c r="E3" s="685" t="s">
        <v>319</v>
      </c>
      <c r="F3" s="160" t="s">
        <v>320</v>
      </c>
    </row>
    <row r="4" spans="3:6" ht="15.75" thickBot="1" x14ac:dyDescent="0.3">
      <c r="C4" s="175" t="s">
        <v>321</v>
      </c>
      <c r="E4" s="683"/>
      <c r="F4" s="160" t="s">
        <v>322</v>
      </c>
    </row>
    <row r="5" spans="3:6" ht="15.75" thickBot="1" x14ac:dyDescent="0.3">
      <c r="C5" s="175" t="s">
        <v>323</v>
      </c>
      <c r="E5" s="683"/>
      <c r="F5" s="160" t="s">
        <v>324</v>
      </c>
    </row>
    <row r="6" spans="3:6" ht="15.75" thickBot="1" x14ac:dyDescent="0.3">
      <c r="C6" s="175" t="s">
        <v>325</v>
      </c>
      <c r="E6" s="683"/>
      <c r="F6" s="160" t="s">
        <v>326</v>
      </c>
    </row>
    <row r="7" spans="3:6" ht="15.75" thickBot="1" x14ac:dyDescent="0.3">
      <c r="C7" s="176" t="s">
        <v>327</v>
      </c>
      <c r="E7" s="683"/>
      <c r="F7" s="160" t="s">
        <v>328</v>
      </c>
    </row>
    <row r="8" spans="3:6" ht="15.75" thickBot="1" x14ac:dyDescent="0.3">
      <c r="C8" s="175" t="s">
        <v>329</v>
      </c>
      <c r="E8" s="684"/>
      <c r="F8" s="160" t="s">
        <v>330</v>
      </c>
    </row>
    <row r="9" spans="3:6" ht="15.75" thickBot="1" x14ac:dyDescent="0.3">
      <c r="C9" s="175" t="s">
        <v>331</v>
      </c>
      <c r="E9" s="682" t="s">
        <v>332</v>
      </c>
      <c r="F9" s="160" t="s">
        <v>333</v>
      </c>
    </row>
    <row r="10" spans="3:6" ht="15.75" thickBot="1" x14ac:dyDescent="0.3">
      <c r="C10" s="175" t="s">
        <v>334</v>
      </c>
      <c r="E10" s="683"/>
      <c r="F10" s="160" t="s">
        <v>335</v>
      </c>
    </row>
    <row r="11" spans="3:6" ht="15.75" thickBot="1" x14ac:dyDescent="0.3">
      <c r="E11" s="683"/>
      <c r="F11" s="160" t="s">
        <v>336</v>
      </c>
    </row>
    <row r="12" spans="3:6" ht="15.75" thickBot="1" x14ac:dyDescent="0.3">
      <c r="E12" s="683"/>
      <c r="F12" s="160" t="s">
        <v>337</v>
      </c>
    </row>
    <row r="13" spans="3:6" ht="15.75" thickBot="1" x14ac:dyDescent="0.3">
      <c r="E13" s="684"/>
      <c r="F13" s="160" t="s">
        <v>338</v>
      </c>
    </row>
    <row r="14" spans="3:6" ht="24.75" thickBot="1" x14ac:dyDescent="0.3">
      <c r="E14" s="682" t="s">
        <v>339</v>
      </c>
      <c r="F14" s="160" t="s">
        <v>340</v>
      </c>
    </row>
    <row r="15" spans="3:6" ht="15.75" thickBot="1" x14ac:dyDescent="0.3">
      <c r="E15" s="683"/>
      <c r="F15" s="160" t="s">
        <v>341</v>
      </c>
    </row>
    <row r="16" spans="3:6" ht="15.75" thickBot="1" x14ac:dyDescent="0.3">
      <c r="E16" s="684"/>
      <c r="F16" s="160" t="s">
        <v>342</v>
      </c>
    </row>
    <row r="17" spans="5:6" ht="15.75" thickBot="1" x14ac:dyDescent="0.3">
      <c r="E17" s="682" t="s">
        <v>343</v>
      </c>
      <c r="F17" s="160" t="s">
        <v>344</v>
      </c>
    </row>
    <row r="18" spans="5:6" ht="15.75" thickBot="1" x14ac:dyDescent="0.3">
      <c r="E18" s="683"/>
      <c r="F18" s="160" t="s">
        <v>345</v>
      </c>
    </row>
    <row r="19" spans="5:6" ht="15.75" thickBot="1" x14ac:dyDescent="0.3">
      <c r="E19" s="684"/>
      <c r="F19" s="160" t="s">
        <v>346</v>
      </c>
    </row>
    <row r="20" spans="5:6" ht="24.75" thickBot="1" x14ac:dyDescent="0.3">
      <c r="E20" s="682" t="s">
        <v>347</v>
      </c>
      <c r="F20" s="160" t="s">
        <v>348</v>
      </c>
    </row>
    <row r="21" spans="5:6" ht="15.75" thickBot="1" x14ac:dyDescent="0.3">
      <c r="E21" s="683"/>
      <c r="F21" s="160" t="s">
        <v>349</v>
      </c>
    </row>
    <row r="22" spans="5:6" ht="15.75" thickBot="1" x14ac:dyDescent="0.3">
      <c r="E22" s="683"/>
      <c r="F22" s="160" t="s">
        <v>350</v>
      </c>
    </row>
    <row r="23" spans="5:6" ht="15.75" thickBot="1" x14ac:dyDescent="0.3">
      <c r="E23" s="683"/>
      <c r="F23" s="160" t="s">
        <v>351</v>
      </c>
    </row>
    <row r="24" spans="5:6" ht="15.75" thickBot="1" x14ac:dyDescent="0.3">
      <c r="E24" s="683"/>
      <c r="F24" s="160" t="s">
        <v>352</v>
      </c>
    </row>
    <row r="25" spans="5:6" ht="24.75" thickBot="1" x14ac:dyDescent="0.3">
      <c r="E25" s="683"/>
      <c r="F25" s="160" t="s">
        <v>353</v>
      </c>
    </row>
    <row r="26" spans="5:6" ht="15.75" thickBot="1" x14ac:dyDescent="0.3">
      <c r="E26" s="683"/>
      <c r="F26" s="160" t="s">
        <v>354</v>
      </c>
    </row>
    <row r="27" spans="5:6" ht="24.75" thickBot="1" x14ac:dyDescent="0.3">
      <c r="E27" s="683"/>
      <c r="F27" s="160" t="s">
        <v>355</v>
      </c>
    </row>
    <row r="28" spans="5:6" ht="15.75" thickBot="1" x14ac:dyDescent="0.3">
      <c r="E28" s="683"/>
      <c r="F28" s="160" t="s">
        <v>356</v>
      </c>
    </row>
    <row r="29" spans="5:6" ht="15.75" thickBot="1" x14ac:dyDescent="0.3">
      <c r="E29" s="683"/>
      <c r="F29" s="160" t="s">
        <v>357</v>
      </c>
    </row>
    <row r="30" spans="5:6" ht="15.75" thickBot="1" x14ac:dyDescent="0.3">
      <c r="E30" s="684"/>
      <c r="F30" s="160" t="s">
        <v>358</v>
      </c>
    </row>
    <row r="31" spans="5:6" ht="15.75" thickBot="1" x14ac:dyDescent="0.3">
      <c r="E31" s="682" t="s">
        <v>359</v>
      </c>
      <c r="F31" s="160" t="s">
        <v>360</v>
      </c>
    </row>
    <row r="32" spans="5:6" ht="15.75" thickBot="1" x14ac:dyDescent="0.3">
      <c r="E32" s="683"/>
      <c r="F32" s="160" t="s">
        <v>361</v>
      </c>
    </row>
    <row r="33" spans="5:6" ht="15.75" thickBot="1" x14ac:dyDescent="0.3">
      <c r="E33" s="683"/>
      <c r="F33" s="160" t="s">
        <v>362</v>
      </c>
    </row>
    <row r="34" spans="5:6" ht="15.75" thickBot="1" x14ac:dyDescent="0.3">
      <c r="E34" s="683"/>
      <c r="F34" s="160" t="s">
        <v>363</v>
      </c>
    </row>
    <row r="35" spans="5:6" ht="24.75" thickBot="1" x14ac:dyDescent="0.3">
      <c r="E35" s="684"/>
      <c r="F35" s="160" t="s">
        <v>364</v>
      </c>
    </row>
    <row r="36" spans="5:6" ht="15.75" thickBot="1" x14ac:dyDescent="0.3">
      <c r="E36" s="682" t="s">
        <v>365</v>
      </c>
      <c r="F36" s="160" t="s">
        <v>366</v>
      </c>
    </row>
    <row r="37" spans="5:6" ht="15.75" thickBot="1" x14ac:dyDescent="0.3">
      <c r="E37" s="683"/>
      <c r="F37" s="160" t="s">
        <v>367</v>
      </c>
    </row>
    <row r="38" spans="5:6" ht="15.75" thickBot="1" x14ac:dyDescent="0.3">
      <c r="E38" s="683"/>
      <c r="F38" s="160" t="s">
        <v>368</v>
      </c>
    </row>
    <row r="39" spans="5:6" ht="15.75" thickBot="1" x14ac:dyDescent="0.3">
      <c r="E39" s="683"/>
      <c r="F39" s="160" t="s">
        <v>369</v>
      </c>
    </row>
    <row r="40" spans="5:6" ht="15.75" thickBot="1" x14ac:dyDescent="0.3">
      <c r="E40" s="684"/>
      <c r="F40" s="160" t="s">
        <v>370</v>
      </c>
    </row>
    <row r="41" spans="5:6" ht="15.75" thickBot="1" x14ac:dyDescent="0.3">
      <c r="E41" s="682" t="s">
        <v>371</v>
      </c>
      <c r="F41" s="160" t="s">
        <v>372</v>
      </c>
    </row>
    <row r="42" spans="5:6" ht="15.75" thickBot="1" x14ac:dyDescent="0.3">
      <c r="E42" s="683"/>
      <c r="F42" s="160" t="s">
        <v>373</v>
      </c>
    </row>
    <row r="43" spans="5:6" ht="15.75" thickBot="1" x14ac:dyDescent="0.3">
      <c r="E43" s="683"/>
      <c r="F43" s="160" t="s">
        <v>374</v>
      </c>
    </row>
    <row r="44" spans="5:6" ht="15.75" thickBot="1" x14ac:dyDescent="0.3">
      <c r="E44" s="683"/>
      <c r="F44" s="160" t="s">
        <v>375</v>
      </c>
    </row>
    <row r="45" spans="5:6" ht="24.75" thickBot="1" x14ac:dyDescent="0.3">
      <c r="E45" s="684"/>
      <c r="F45" s="160" t="s">
        <v>376</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86" t="s">
        <v>377</v>
      </c>
      <c r="C1" s="687"/>
      <c r="D1" s="687"/>
      <c r="E1" s="687"/>
      <c r="F1" s="688"/>
    </row>
    <row r="2" spans="2:6" ht="16.5" thickBot="1" x14ac:dyDescent="0.3">
      <c r="B2" s="72"/>
      <c r="C2" s="72"/>
      <c r="D2" s="72"/>
      <c r="E2" s="72"/>
      <c r="F2" s="72"/>
    </row>
    <row r="3" spans="2:6" ht="16.5" thickBot="1" x14ac:dyDescent="0.25">
      <c r="B3" s="690" t="s">
        <v>378</v>
      </c>
      <c r="C3" s="691"/>
      <c r="D3" s="691"/>
      <c r="E3" s="84" t="s">
        <v>379</v>
      </c>
      <c r="F3" s="85" t="s">
        <v>380</v>
      </c>
    </row>
    <row r="4" spans="2:6" ht="31.5" x14ac:dyDescent="0.2">
      <c r="B4" s="692" t="s">
        <v>381</v>
      </c>
      <c r="C4" s="694" t="s">
        <v>155</v>
      </c>
      <c r="D4" s="73" t="s">
        <v>165</v>
      </c>
      <c r="E4" s="74" t="s">
        <v>382</v>
      </c>
      <c r="F4" s="75">
        <v>0.25</v>
      </c>
    </row>
    <row r="5" spans="2:6" ht="47.25" x14ac:dyDescent="0.2">
      <c r="B5" s="693"/>
      <c r="C5" s="695"/>
      <c r="D5" s="76" t="s">
        <v>383</v>
      </c>
      <c r="E5" s="77" t="s">
        <v>384</v>
      </c>
      <c r="F5" s="78">
        <v>0.15</v>
      </c>
    </row>
    <row r="6" spans="2:6" ht="47.25" x14ac:dyDescent="0.2">
      <c r="B6" s="693"/>
      <c r="C6" s="695"/>
      <c r="D6" s="76" t="s">
        <v>183</v>
      </c>
      <c r="E6" s="77" t="s">
        <v>385</v>
      </c>
      <c r="F6" s="78">
        <v>0.1</v>
      </c>
    </row>
    <row r="7" spans="2:6" ht="63" x14ac:dyDescent="0.2">
      <c r="B7" s="693"/>
      <c r="C7" s="695" t="s">
        <v>156</v>
      </c>
      <c r="D7" s="76" t="s">
        <v>386</v>
      </c>
      <c r="E7" s="77" t="s">
        <v>387</v>
      </c>
      <c r="F7" s="78">
        <v>0.25</v>
      </c>
    </row>
    <row r="8" spans="2:6" ht="31.5" x14ac:dyDescent="0.2">
      <c r="B8" s="693"/>
      <c r="C8" s="695"/>
      <c r="D8" s="76" t="s">
        <v>166</v>
      </c>
      <c r="E8" s="77" t="s">
        <v>388</v>
      </c>
      <c r="F8" s="78">
        <v>0.15</v>
      </c>
    </row>
    <row r="9" spans="2:6" ht="47.25" x14ac:dyDescent="0.2">
      <c r="B9" s="693" t="s">
        <v>389</v>
      </c>
      <c r="C9" s="695" t="s">
        <v>158</v>
      </c>
      <c r="D9" s="76" t="s">
        <v>167</v>
      </c>
      <c r="E9" s="77" t="s">
        <v>390</v>
      </c>
      <c r="F9" s="79" t="s">
        <v>391</v>
      </c>
    </row>
    <row r="10" spans="2:6" ht="63" x14ac:dyDescent="0.2">
      <c r="B10" s="693"/>
      <c r="C10" s="695"/>
      <c r="D10" s="76" t="s">
        <v>392</v>
      </c>
      <c r="E10" s="77" t="s">
        <v>393</v>
      </c>
      <c r="F10" s="79" t="s">
        <v>391</v>
      </c>
    </row>
    <row r="11" spans="2:6" ht="47.25" x14ac:dyDescent="0.2">
      <c r="B11" s="693"/>
      <c r="C11" s="695" t="s">
        <v>159</v>
      </c>
      <c r="D11" s="76" t="s">
        <v>168</v>
      </c>
      <c r="E11" s="77" t="s">
        <v>394</v>
      </c>
      <c r="F11" s="79" t="s">
        <v>391</v>
      </c>
    </row>
    <row r="12" spans="2:6" ht="47.25" x14ac:dyDescent="0.2">
      <c r="B12" s="693"/>
      <c r="C12" s="695"/>
      <c r="D12" s="76" t="s">
        <v>177</v>
      </c>
      <c r="E12" s="77" t="s">
        <v>395</v>
      </c>
      <c r="F12" s="79" t="s">
        <v>391</v>
      </c>
    </row>
    <row r="13" spans="2:6" ht="31.5" x14ac:dyDescent="0.2">
      <c r="B13" s="693"/>
      <c r="C13" s="695" t="s">
        <v>160</v>
      </c>
      <c r="D13" s="76" t="s">
        <v>169</v>
      </c>
      <c r="E13" s="77" t="s">
        <v>396</v>
      </c>
      <c r="F13" s="79" t="s">
        <v>391</v>
      </c>
    </row>
    <row r="14" spans="2:6" ht="32.25" thickBot="1" x14ac:dyDescent="0.25">
      <c r="B14" s="696"/>
      <c r="C14" s="697"/>
      <c r="D14" s="80" t="s">
        <v>397</v>
      </c>
      <c r="E14" s="81" t="s">
        <v>398</v>
      </c>
      <c r="F14" s="82" t="s">
        <v>391</v>
      </c>
    </row>
    <row r="15" spans="2:6" ht="49.5" customHeight="1" x14ac:dyDescent="0.2">
      <c r="B15" s="689" t="s">
        <v>399</v>
      </c>
      <c r="C15" s="689"/>
      <c r="D15" s="689"/>
      <c r="E15" s="689"/>
      <c r="F15" s="689"/>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400</v>
      </c>
      <c r="E2" t="s">
        <v>401</v>
      </c>
    </row>
    <row r="3" spans="2:5" x14ac:dyDescent="0.25">
      <c r="B3" t="s">
        <v>170</v>
      </c>
      <c r="E3" t="s">
        <v>161</v>
      </c>
    </row>
    <row r="4" spans="2:5" x14ac:dyDescent="0.25">
      <c r="B4" t="s">
        <v>402</v>
      </c>
      <c r="E4" t="s">
        <v>403</v>
      </c>
    </row>
    <row r="5" spans="2:5" x14ac:dyDescent="0.25">
      <c r="B5" t="s">
        <v>178</v>
      </c>
    </row>
    <row r="8" spans="2:5" x14ac:dyDescent="0.25">
      <c r="B8" t="s">
        <v>404</v>
      </c>
    </row>
    <row r="9" spans="2:5" x14ac:dyDescent="0.25">
      <c r="B9" t="s">
        <v>405</v>
      </c>
    </row>
    <row r="10" spans="2:5" x14ac:dyDescent="0.25">
      <c r="B10" t="s">
        <v>406</v>
      </c>
    </row>
    <row r="13" spans="2:5" x14ac:dyDescent="0.25">
      <c r="B13" t="s">
        <v>407</v>
      </c>
    </row>
    <row r="14" spans="2:5" x14ac:dyDescent="0.25">
      <c r="B14" t="s">
        <v>182</v>
      </c>
    </row>
    <row r="15" spans="2:5" x14ac:dyDescent="0.25">
      <c r="B15" t="s">
        <v>408</v>
      </c>
    </row>
    <row r="16" spans="2:5" x14ac:dyDescent="0.25">
      <c r="B16" t="s">
        <v>409</v>
      </c>
    </row>
    <row r="17" spans="2:7" x14ac:dyDescent="0.25">
      <c r="B17" t="s">
        <v>410</v>
      </c>
    </row>
    <row r="18" spans="2:7" x14ac:dyDescent="0.25">
      <c r="B18" t="s">
        <v>163</v>
      </c>
    </row>
    <row r="19" spans="2:7" x14ac:dyDescent="0.25">
      <c r="B19" t="s">
        <v>411</v>
      </c>
    </row>
    <row r="20" spans="2:7" x14ac:dyDescent="0.25">
      <c r="B20" t="s">
        <v>412</v>
      </c>
    </row>
    <row r="21" spans="2:7" x14ac:dyDescent="0.25">
      <c r="B21" t="s">
        <v>311</v>
      </c>
    </row>
    <row r="22" spans="2:7" x14ac:dyDescent="0.25">
      <c r="B22" t="s">
        <v>309</v>
      </c>
    </row>
    <row r="23" spans="2:7" x14ac:dyDescent="0.25">
      <c r="B23" t="s">
        <v>313</v>
      </c>
    </row>
    <row r="27" spans="2:7" ht="15.75" thickBot="1" x14ac:dyDescent="0.3"/>
    <row r="28" spans="2:7" ht="15.75" thickBot="1" x14ac:dyDescent="0.3">
      <c r="B28" t="s">
        <v>319</v>
      </c>
      <c r="F28" s="158" t="s">
        <v>316</v>
      </c>
      <c r="G28" s="159" t="s">
        <v>317</v>
      </c>
    </row>
    <row r="29" spans="2:7" ht="15.75" thickBot="1" x14ac:dyDescent="0.3">
      <c r="B29" t="s">
        <v>332</v>
      </c>
      <c r="F29" s="685" t="s">
        <v>319</v>
      </c>
      <c r="G29" s="160" t="s">
        <v>320</v>
      </c>
    </row>
    <row r="30" spans="2:7" ht="15.75" thickBot="1" x14ac:dyDescent="0.3">
      <c r="B30" t="s">
        <v>339</v>
      </c>
      <c r="F30" s="683"/>
      <c r="G30" s="160" t="s">
        <v>322</v>
      </c>
    </row>
    <row r="31" spans="2:7" ht="15.75" thickBot="1" x14ac:dyDescent="0.3">
      <c r="B31" t="s">
        <v>343</v>
      </c>
      <c r="F31" s="683"/>
      <c r="G31" s="160" t="s">
        <v>324</v>
      </c>
    </row>
    <row r="32" spans="2:7" ht="15.75" thickBot="1" x14ac:dyDescent="0.3">
      <c r="B32" t="s">
        <v>347</v>
      </c>
      <c r="F32" s="683"/>
      <c r="G32" s="160" t="s">
        <v>326</v>
      </c>
    </row>
    <row r="33" spans="2:7" ht="15.75" thickBot="1" x14ac:dyDescent="0.3">
      <c r="B33" t="s">
        <v>359</v>
      </c>
      <c r="F33" s="683"/>
      <c r="G33" s="160" t="s">
        <v>328</v>
      </c>
    </row>
    <row r="34" spans="2:7" ht="15.75" thickBot="1" x14ac:dyDescent="0.3">
      <c r="B34" t="s">
        <v>365</v>
      </c>
      <c r="F34" s="684"/>
      <c r="G34" s="160" t="s">
        <v>330</v>
      </c>
    </row>
    <row r="35" spans="2:7" ht="15.75" thickBot="1" x14ac:dyDescent="0.3">
      <c r="B35" t="s">
        <v>371</v>
      </c>
      <c r="F35" s="682" t="s">
        <v>332</v>
      </c>
      <c r="G35" s="160" t="s">
        <v>333</v>
      </c>
    </row>
    <row r="36" spans="2:7" ht="15.75" thickBot="1" x14ac:dyDescent="0.3">
      <c r="F36" s="683"/>
      <c r="G36" s="160" t="s">
        <v>335</v>
      </c>
    </row>
    <row r="37" spans="2:7" ht="15.75" thickBot="1" x14ac:dyDescent="0.3">
      <c r="F37" s="683"/>
      <c r="G37" s="160" t="s">
        <v>336</v>
      </c>
    </row>
    <row r="38" spans="2:7" ht="21.75" customHeight="1" thickBot="1" x14ac:dyDescent="0.3">
      <c r="F38" s="683"/>
      <c r="G38" s="160" t="s">
        <v>337</v>
      </c>
    </row>
    <row r="39" spans="2:7" ht="15.75" thickBot="1" x14ac:dyDescent="0.3">
      <c r="F39" s="684"/>
      <c r="G39" s="160" t="s">
        <v>338</v>
      </c>
    </row>
    <row r="40" spans="2:7" ht="45.75" customHeight="1" thickBot="1" x14ac:dyDescent="0.3">
      <c r="F40" s="682" t="s">
        <v>339</v>
      </c>
      <c r="G40" s="160" t="s">
        <v>340</v>
      </c>
    </row>
    <row r="41" spans="2:7" ht="15.75" thickBot="1" x14ac:dyDescent="0.3">
      <c r="F41" s="683"/>
      <c r="G41" s="160" t="s">
        <v>341</v>
      </c>
    </row>
    <row r="42" spans="2:7" ht="30" customHeight="1" thickBot="1" x14ac:dyDescent="0.3">
      <c r="F42" s="684"/>
      <c r="G42" s="160" t="s">
        <v>342</v>
      </c>
    </row>
    <row r="43" spans="2:7" ht="15.75" thickBot="1" x14ac:dyDescent="0.3">
      <c r="F43" s="682" t="s">
        <v>343</v>
      </c>
      <c r="G43" s="160" t="s">
        <v>344</v>
      </c>
    </row>
    <row r="44" spans="2:7" ht="15.75" thickBot="1" x14ac:dyDescent="0.3">
      <c r="F44" s="683"/>
      <c r="G44" s="160" t="s">
        <v>345</v>
      </c>
    </row>
    <row r="45" spans="2:7" ht="15.75" thickBot="1" x14ac:dyDescent="0.3">
      <c r="F45" s="684"/>
      <c r="G45" s="160" t="s">
        <v>346</v>
      </c>
    </row>
    <row r="46" spans="2:7" ht="24.75" thickBot="1" x14ac:dyDescent="0.3">
      <c r="F46" s="682" t="s">
        <v>347</v>
      </c>
      <c r="G46" s="160" t="s">
        <v>348</v>
      </c>
    </row>
    <row r="47" spans="2:7" ht="15.75" thickBot="1" x14ac:dyDescent="0.3">
      <c r="F47" s="683"/>
      <c r="G47" s="160" t="s">
        <v>349</v>
      </c>
    </row>
    <row r="48" spans="2:7" ht="15.75" thickBot="1" x14ac:dyDescent="0.3">
      <c r="F48" s="683"/>
      <c r="G48" s="160" t="s">
        <v>350</v>
      </c>
    </row>
    <row r="49" spans="6:7" ht="15.75" thickBot="1" x14ac:dyDescent="0.3">
      <c r="F49" s="683"/>
      <c r="G49" s="160" t="s">
        <v>351</v>
      </c>
    </row>
    <row r="50" spans="6:7" ht="15.75" thickBot="1" x14ac:dyDescent="0.3">
      <c r="F50" s="683"/>
      <c r="G50" s="160" t="s">
        <v>352</v>
      </c>
    </row>
    <row r="51" spans="6:7" ht="24.75" thickBot="1" x14ac:dyDescent="0.3">
      <c r="F51" s="683"/>
      <c r="G51" s="160" t="s">
        <v>353</v>
      </c>
    </row>
    <row r="52" spans="6:7" ht="15.75" thickBot="1" x14ac:dyDescent="0.3">
      <c r="F52" s="683"/>
      <c r="G52" s="160" t="s">
        <v>354</v>
      </c>
    </row>
    <row r="53" spans="6:7" ht="24.75" thickBot="1" x14ac:dyDescent="0.3">
      <c r="F53" s="683"/>
      <c r="G53" s="160" t="s">
        <v>355</v>
      </c>
    </row>
    <row r="54" spans="6:7" ht="15.75" thickBot="1" x14ac:dyDescent="0.3">
      <c r="F54" s="683"/>
      <c r="G54" s="160" t="s">
        <v>356</v>
      </c>
    </row>
    <row r="55" spans="6:7" ht="15.75" thickBot="1" x14ac:dyDescent="0.3">
      <c r="F55" s="683"/>
      <c r="G55" s="160" t="s">
        <v>357</v>
      </c>
    </row>
    <row r="56" spans="6:7" ht="15.75" thickBot="1" x14ac:dyDescent="0.3">
      <c r="F56" s="684"/>
      <c r="G56" s="160" t="s">
        <v>358</v>
      </c>
    </row>
    <row r="57" spans="6:7" ht="15.75" thickBot="1" x14ac:dyDescent="0.3">
      <c r="F57" s="682" t="s">
        <v>359</v>
      </c>
      <c r="G57" s="160" t="s">
        <v>360</v>
      </c>
    </row>
    <row r="58" spans="6:7" ht="15.75" thickBot="1" x14ac:dyDescent="0.3">
      <c r="F58" s="683"/>
      <c r="G58" s="160" t="s">
        <v>361</v>
      </c>
    </row>
    <row r="59" spans="6:7" ht="24.75" thickBot="1" x14ac:dyDescent="0.3">
      <c r="F59" s="683"/>
      <c r="G59" s="160" t="s">
        <v>362</v>
      </c>
    </row>
    <row r="60" spans="6:7" ht="15.75" thickBot="1" x14ac:dyDescent="0.3">
      <c r="F60" s="683"/>
      <c r="G60" s="160" t="s">
        <v>363</v>
      </c>
    </row>
    <row r="61" spans="6:7" ht="36.75" thickBot="1" x14ac:dyDescent="0.3">
      <c r="F61" s="684"/>
      <c r="G61" s="160" t="s">
        <v>364</v>
      </c>
    </row>
    <row r="62" spans="6:7" ht="15.75" thickBot="1" x14ac:dyDescent="0.3">
      <c r="F62" s="682" t="s">
        <v>365</v>
      </c>
      <c r="G62" s="160" t="s">
        <v>366</v>
      </c>
    </row>
    <row r="63" spans="6:7" ht="15.75" thickBot="1" x14ac:dyDescent="0.3">
      <c r="F63" s="683"/>
      <c r="G63" s="160" t="s">
        <v>367</v>
      </c>
    </row>
    <row r="64" spans="6:7" ht="15.75" thickBot="1" x14ac:dyDescent="0.3">
      <c r="F64" s="683"/>
      <c r="G64" s="160" t="s">
        <v>368</v>
      </c>
    </row>
    <row r="65" spans="6:7" ht="15.75" thickBot="1" x14ac:dyDescent="0.3">
      <c r="F65" s="683"/>
      <c r="G65" s="160" t="s">
        <v>369</v>
      </c>
    </row>
    <row r="66" spans="6:7" ht="15.75" thickBot="1" x14ac:dyDescent="0.3">
      <c r="F66" s="684"/>
      <c r="G66" s="160" t="s">
        <v>370</v>
      </c>
    </row>
    <row r="67" spans="6:7" ht="15.75" thickBot="1" x14ac:dyDescent="0.3">
      <c r="F67" s="682" t="s">
        <v>371</v>
      </c>
      <c r="G67" s="160" t="s">
        <v>372</v>
      </c>
    </row>
    <row r="68" spans="6:7" ht="15.75" thickBot="1" x14ac:dyDescent="0.3">
      <c r="F68" s="683"/>
      <c r="G68" s="160" t="s">
        <v>373</v>
      </c>
    </row>
    <row r="69" spans="6:7" ht="15.75" thickBot="1" x14ac:dyDescent="0.3">
      <c r="F69" s="683"/>
      <c r="G69" s="160" t="s">
        <v>374</v>
      </c>
    </row>
    <row r="70" spans="6:7" ht="15.75" thickBot="1" x14ac:dyDescent="0.3">
      <c r="F70" s="683"/>
      <c r="G70" s="160" t="s">
        <v>375</v>
      </c>
    </row>
    <row r="71" spans="6:7" ht="24.75" thickBot="1" x14ac:dyDescent="0.3">
      <c r="F71" s="684"/>
      <c r="G71" s="160" t="s">
        <v>376</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165</v>
      </c>
    </row>
    <row r="4" spans="1:1" x14ac:dyDescent="0.2">
      <c r="A4" s="2" t="s">
        <v>383</v>
      </c>
    </row>
    <row r="5" spans="1:1" x14ac:dyDescent="0.2">
      <c r="A5" s="2" t="s">
        <v>183</v>
      </c>
    </row>
    <row r="6" spans="1:1" x14ac:dyDescent="0.2">
      <c r="A6" s="2" t="s">
        <v>386</v>
      </c>
    </row>
    <row r="7" spans="1:1" x14ac:dyDescent="0.2">
      <c r="A7" s="2" t="s">
        <v>166</v>
      </c>
    </row>
    <row r="8" spans="1:1" x14ac:dyDescent="0.2">
      <c r="A8" s="2" t="s">
        <v>167</v>
      </c>
    </row>
    <row r="9" spans="1:1" x14ac:dyDescent="0.2">
      <c r="A9" s="2" t="s">
        <v>392</v>
      </c>
    </row>
    <row r="10" spans="1:1" x14ac:dyDescent="0.2">
      <c r="A10" s="2" t="s">
        <v>168</v>
      </c>
    </row>
    <row r="11" spans="1:1" x14ac:dyDescent="0.2">
      <c r="A11" s="2" t="s">
        <v>177</v>
      </c>
    </row>
    <row r="12" spans="1:1" x14ac:dyDescent="0.2">
      <c r="A12" s="2" t="s">
        <v>413</v>
      </c>
    </row>
    <row r="13" spans="1:1" x14ac:dyDescent="0.2">
      <c r="A13" s="2" t="s">
        <v>414</v>
      </c>
    </row>
    <row r="14" spans="1:1" x14ac:dyDescent="0.2">
      <c r="A14" s="2" t="s">
        <v>415</v>
      </c>
    </row>
    <row r="16" spans="1:1" x14ac:dyDescent="0.2">
      <c r="A16" s="2" t="s">
        <v>416</v>
      </c>
    </row>
    <row r="17" spans="1:1" x14ac:dyDescent="0.2">
      <c r="A17" s="2" t="s">
        <v>400</v>
      </c>
    </row>
    <row r="18" spans="1:1" x14ac:dyDescent="0.2">
      <c r="A18" s="2" t="s">
        <v>170</v>
      </c>
    </row>
    <row r="20" spans="1:1" x14ac:dyDescent="0.2">
      <c r="A20" s="2" t="s">
        <v>405</v>
      </c>
    </row>
    <row r="21" spans="1:1" x14ac:dyDescent="0.2">
      <c r="A21" s="2" t="s">
        <v>406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9"/>
  <sheetViews>
    <sheetView topLeftCell="C18" zoomScale="73" zoomScaleNormal="73" zoomScaleSheetLayoutView="30" zoomScalePageLayoutView="60" workbookViewId="0">
      <selection activeCell="D18" sqref="D18"/>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30.140625" style="147" customWidth="1"/>
    <col min="5" max="5" width="101.7109375" style="121" customWidth="1"/>
    <col min="6" max="6" width="34.42578125" style="119" customWidth="1"/>
    <col min="7" max="16384" width="11.42578125" style="119"/>
  </cols>
  <sheetData>
    <row r="1" spans="1:13" ht="20.25" customHeight="1" x14ac:dyDescent="0.35"/>
    <row r="2" spans="1:13" ht="63.75" customHeight="1" x14ac:dyDescent="0.35">
      <c r="B2" s="345"/>
      <c r="C2" s="345"/>
      <c r="D2" s="346" t="s">
        <v>77</v>
      </c>
      <c r="E2" s="346"/>
      <c r="F2" s="346"/>
      <c r="G2" s="129"/>
      <c r="H2" s="129"/>
      <c r="I2" s="129"/>
      <c r="J2" s="129"/>
      <c r="K2" s="129"/>
      <c r="L2" s="129"/>
      <c r="M2" s="129"/>
    </row>
    <row r="3" spans="1:13" ht="30.75" customHeight="1" x14ac:dyDescent="0.35">
      <c r="B3" s="345"/>
      <c r="C3" s="345"/>
      <c r="D3" s="300" t="s">
        <v>78</v>
      </c>
      <c r="E3" s="348" t="s">
        <v>79</v>
      </c>
      <c r="F3" s="348"/>
      <c r="G3" s="129"/>
      <c r="H3" s="129"/>
      <c r="I3" s="129"/>
      <c r="J3" s="129"/>
      <c r="K3" s="129"/>
      <c r="L3" s="129"/>
    </row>
    <row r="4" spans="1:13" ht="30.75" customHeight="1" x14ac:dyDescent="0.35">
      <c r="B4" s="345"/>
      <c r="C4" s="345"/>
      <c r="D4" s="347" t="s">
        <v>80</v>
      </c>
      <c r="E4" s="347"/>
      <c r="F4" s="347"/>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44" t="s">
        <v>81</v>
      </c>
      <c r="C6" s="344"/>
      <c r="D6" s="349"/>
      <c r="E6" s="350"/>
      <c r="F6" s="350"/>
      <c r="G6" s="129"/>
      <c r="H6" s="129"/>
      <c r="I6" s="129"/>
      <c r="J6" s="129"/>
      <c r="K6" s="129"/>
      <c r="L6" s="129"/>
    </row>
    <row r="7" spans="1:13" ht="24" customHeight="1" x14ac:dyDescent="0.35">
      <c r="B7" s="344" t="s">
        <v>82</v>
      </c>
      <c r="C7" s="344"/>
      <c r="D7" s="351"/>
      <c r="E7" s="352"/>
      <c r="F7" s="352"/>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57" t="s">
        <v>83</v>
      </c>
      <c r="C9" s="358"/>
      <c r="D9" s="358"/>
      <c r="E9" s="359"/>
      <c r="F9" s="355" t="s">
        <v>84</v>
      </c>
      <c r="G9" s="129"/>
      <c r="H9" s="129"/>
      <c r="I9" s="129"/>
      <c r="J9" s="129"/>
      <c r="K9" s="129"/>
      <c r="L9" s="129"/>
    </row>
    <row r="10" spans="1:13" s="129" customFormat="1" ht="50.25" customHeight="1" thickBot="1" x14ac:dyDescent="0.4">
      <c r="A10" s="125"/>
      <c r="B10" s="360" t="s">
        <v>85</v>
      </c>
      <c r="C10" s="184" t="s">
        <v>86</v>
      </c>
      <c r="D10" s="185" t="s">
        <v>87</v>
      </c>
      <c r="E10" s="186" t="s">
        <v>88</v>
      </c>
      <c r="F10" s="356"/>
    </row>
    <row r="11" spans="1:13" s="129" customFormat="1" ht="278.25" customHeight="1" thickBot="1" x14ac:dyDescent="0.4">
      <c r="A11" s="125"/>
      <c r="B11" s="361"/>
      <c r="C11" s="130" t="s">
        <v>89</v>
      </c>
      <c r="D11" s="293" t="s">
        <v>424</v>
      </c>
      <c r="E11" s="294" t="s">
        <v>423</v>
      </c>
      <c r="F11" s="195"/>
    </row>
    <row r="12" spans="1:13" s="129" customFormat="1" ht="238.5" thickBot="1" x14ac:dyDescent="0.4">
      <c r="A12" s="125"/>
      <c r="B12" s="361"/>
      <c r="C12" s="170" t="s">
        <v>90</v>
      </c>
      <c r="D12" s="295" t="s">
        <v>425</v>
      </c>
      <c r="E12" s="295" t="s">
        <v>432</v>
      </c>
      <c r="F12" s="165"/>
    </row>
    <row r="13" spans="1:13" s="129" customFormat="1" ht="409.6" customHeight="1" thickBot="1" x14ac:dyDescent="0.4">
      <c r="A13" s="125"/>
      <c r="B13" s="361"/>
      <c r="C13" s="171" t="s">
        <v>91</v>
      </c>
      <c r="D13" s="296" t="s">
        <v>433</v>
      </c>
      <c r="E13" s="296" t="s">
        <v>434</v>
      </c>
      <c r="F13" s="165"/>
    </row>
    <row r="14" spans="1:13" s="129" customFormat="1" ht="240" customHeight="1" thickBot="1" x14ac:dyDescent="0.4">
      <c r="A14" s="125"/>
      <c r="B14" s="361"/>
      <c r="C14" s="172" t="s">
        <v>92</v>
      </c>
      <c r="D14" s="295" t="s">
        <v>435</v>
      </c>
      <c r="E14" s="297" t="s">
        <v>436</v>
      </c>
      <c r="F14" s="196"/>
    </row>
    <row r="15" spans="1:13" s="129" customFormat="1" ht="242.25" customHeight="1" thickBot="1" x14ac:dyDescent="0.4">
      <c r="A15" s="125"/>
      <c r="B15" s="361"/>
      <c r="C15" s="173" t="s">
        <v>93</v>
      </c>
      <c r="D15" s="298" t="s">
        <v>437</v>
      </c>
      <c r="E15" s="294" t="s">
        <v>438</v>
      </c>
      <c r="F15" s="196"/>
    </row>
    <row r="16" spans="1:13" s="129" customFormat="1" ht="309.75" thickBot="1" x14ac:dyDescent="0.4">
      <c r="A16" s="125"/>
      <c r="B16" s="361"/>
      <c r="C16" s="172" t="s">
        <v>94</v>
      </c>
      <c r="D16" s="295" t="s">
        <v>421</v>
      </c>
      <c r="E16" s="299" t="s">
        <v>439</v>
      </c>
      <c r="F16" s="197"/>
    </row>
    <row r="17" spans="1:6" s="141" customFormat="1" ht="394.5" thickBot="1" x14ac:dyDescent="0.4">
      <c r="A17" s="139"/>
      <c r="B17" s="361"/>
      <c r="C17" s="193" t="s">
        <v>95</v>
      </c>
      <c r="D17" s="295" t="s">
        <v>420</v>
      </c>
      <c r="E17" s="298" t="s">
        <v>440</v>
      </c>
      <c r="F17" s="198"/>
    </row>
    <row r="18" spans="1:6" ht="168" customHeight="1" thickBot="1" x14ac:dyDescent="0.3">
      <c r="B18" s="361"/>
      <c r="C18" s="194" t="s">
        <v>96</v>
      </c>
      <c r="D18" s="297" t="s">
        <v>422</v>
      </c>
      <c r="E18" s="298" t="s">
        <v>441</v>
      </c>
      <c r="F18" s="199"/>
    </row>
    <row r="20" spans="1:6" x14ac:dyDescent="0.25">
      <c r="B20" s="353"/>
      <c r="C20" s="353"/>
      <c r="D20" s="353"/>
      <c r="E20" s="353"/>
    </row>
    <row r="21" spans="1:6" ht="27" x14ac:dyDescent="0.25">
      <c r="B21" s="354"/>
      <c r="C21" s="187"/>
      <c r="D21" s="187"/>
      <c r="E21" s="187"/>
    </row>
    <row r="22" spans="1:6" x14ac:dyDescent="0.25">
      <c r="B22" s="354"/>
      <c r="C22" s="188"/>
      <c r="D22" s="189"/>
      <c r="E22" s="189"/>
    </row>
    <row r="23" spans="1:6" x14ac:dyDescent="0.25">
      <c r="B23" s="354"/>
      <c r="C23" s="188"/>
      <c r="D23" s="190"/>
      <c r="E23" s="190"/>
    </row>
    <row r="24" spans="1:6" x14ac:dyDescent="0.25">
      <c r="B24" s="354"/>
      <c r="C24" s="188"/>
      <c r="D24" s="190"/>
      <c r="E24" s="190"/>
    </row>
    <row r="25" spans="1:6" x14ac:dyDescent="0.25">
      <c r="B25" s="354"/>
      <c r="C25" s="188"/>
      <c r="D25" s="190"/>
      <c r="E25" s="190"/>
    </row>
    <row r="26" spans="1:6" x14ac:dyDescent="0.25">
      <c r="B26" s="354"/>
      <c r="C26" s="188"/>
      <c r="D26" s="190"/>
      <c r="E26" s="189"/>
    </row>
    <row r="27" spans="1:6" x14ac:dyDescent="0.25">
      <c r="B27" s="354"/>
      <c r="C27" s="188"/>
      <c r="D27" s="190"/>
      <c r="E27" s="189"/>
    </row>
    <row r="28" spans="1:6" x14ac:dyDescent="0.25">
      <c r="B28" s="354"/>
      <c r="C28" s="191"/>
      <c r="D28" s="190"/>
      <c r="E28" s="190"/>
    </row>
    <row r="29" spans="1:6" ht="27.75" x14ac:dyDescent="0.35">
      <c r="B29" s="354"/>
      <c r="C29" s="141"/>
      <c r="D29" s="192"/>
      <c r="E29" s="192"/>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62" t="s">
        <v>97</v>
      </c>
      <c r="C2" s="362"/>
      <c r="D2" s="362"/>
      <c r="E2" s="363"/>
      <c r="F2" s="367" t="s">
        <v>98</v>
      </c>
    </row>
    <row r="3" spans="1:6" s="129" customFormat="1" ht="40.5" customHeight="1" thickBot="1" x14ac:dyDescent="0.4">
      <c r="A3" s="125"/>
      <c r="B3" s="364" t="s">
        <v>99</v>
      </c>
      <c r="C3" s="126" t="s">
        <v>86</v>
      </c>
      <c r="D3" s="127" t="s">
        <v>87</v>
      </c>
      <c r="E3" s="128" t="s">
        <v>88</v>
      </c>
      <c r="F3" s="368"/>
    </row>
    <row r="4" spans="1:6" s="129" customFormat="1" ht="228.75" customHeight="1" thickBot="1" x14ac:dyDescent="0.4">
      <c r="A4" s="125"/>
      <c r="B4" s="365"/>
      <c r="C4" s="130" t="s">
        <v>89</v>
      </c>
      <c r="D4" s="131" t="s">
        <v>100</v>
      </c>
      <c r="E4" s="161" t="s">
        <v>101</v>
      </c>
      <c r="F4" s="166" t="s">
        <v>102</v>
      </c>
    </row>
    <row r="5" spans="1:6" s="129" customFormat="1" ht="289.5" thickBot="1" x14ac:dyDescent="0.4">
      <c r="A5" s="125"/>
      <c r="B5" s="365"/>
      <c r="C5" s="132" t="s">
        <v>90</v>
      </c>
      <c r="D5" s="133" t="s">
        <v>103</v>
      </c>
      <c r="E5" s="162" t="s">
        <v>104</v>
      </c>
      <c r="F5" s="165" t="s">
        <v>105</v>
      </c>
    </row>
    <row r="6" spans="1:6" s="129" customFormat="1" ht="237" thickBot="1" x14ac:dyDescent="0.4">
      <c r="A6" s="125"/>
      <c r="B6" s="365"/>
      <c r="C6" s="134" t="s">
        <v>91</v>
      </c>
      <c r="D6" s="135" t="s">
        <v>106</v>
      </c>
      <c r="E6" s="163" t="s">
        <v>107</v>
      </c>
      <c r="F6" s="165"/>
    </row>
    <row r="7" spans="1:6" s="129" customFormat="1" ht="154.5" customHeight="1" thickBot="1" x14ac:dyDescent="0.4">
      <c r="A7" s="125"/>
      <c r="B7" s="365"/>
      <c r="C7" s="136" t="s">
        <v>92</v>
      </c>
      <c r="D7" s="137"/>
      <c r="E7" s="162"/>
      <c r="F7" s="165"/>
    </row>
    <row r="8" spans="1:6" s="129" customFormat="1" ht="169.5" thickBot="1" x14ac:dyDescent="0.4">
      <c r="A8" s="125"/>
      <c r="B8" s="365"/>
      <c r="C8" s="138" t="s">
        <v>93</v>
      </c>
      <c r="D8" s="135" t="s">
        <v>108</v>
      </c>
      <c r="E8" s="164" t="s">
        <v>109</v>
      </c>
      <c r="F8" s="165"/>
    </row>
    <row r="9" spans="1:6" s="129" customFormat="1" ht="163.5" thickBot="1" x14ac:dyDescent="0.4">
      <c r="A9" s="125"/>
      <c r="B9" s="365"/>
      <c r="C9" s="136" t="s">
        <v>94</v>
      </c>
      <c r="D9" s="133" t="s">
        <v>110</v>
      </c>
      <c r="E9" s="164" t="s">
        <v>111</v>
      </c>
      <c r="F9" s="165"/>
    </row>
    <row r="10" spans="1:6" s="141" customFormat="1" ht="263.25" thickBot="1" x14ac:dyDescent="0.4">
      <c r="A10" s="139"/>
      <c r="B10" s="365"/>
      <c r="C10" s="140" t="s">
        <v>95</v>
      </c>
      <c r="D10" s="133" t="s">
        <v>112</v>
      </c>
      <c r="E10" s="163" t="s">
        <v>113</v>
      </c>
      <c r="F10" s="167"/>
    </row>
    <row r="11" spans="1:6" s="141" customFormat="1" ht="28.5" thickBot="1" x14ac:dyDescent="0.4">
      <c r="A11" s="139"/>
      <c r="B11" s="366"/>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M75"/>
  <sheetViews>
    <sheetView tabSelected="1" topLeftCell="A16" zoomScale="80" zoomScaleNormal="80" zoomScaleSheetLayoutView="30" zoomScalePageLayoutView="60" workbookViewId="0">
      <selection activeCell="U13" sqref="U13"/>
    </sheetView>
  </sheetViews>
  <sheetFormatPr baseColWidth="10" defaultColWidth="11.42578125" defaultRowHeight="15" x14ac:dyDescent="0.2"/>
  <cols>
    <col min="1" max="1" width="6.5703125" style="241" customWidth="1"/>
    <col min="2" max="2" width="16" style="241" customWidth="1"/>
    <col min="3" max="3" width="23.28515625" style="241" customWidth="1"/>
    <col min="4" max="4" width="32.85546875" style="241" customWidth="1"/>
    <col min="5" max="5" width="70.85546875" style="212" customWidth="1"/>
    <col min="6" max="6" width="15.140625" style="212" customWidth="1"/>
    <col min="7" max="8" width="16.7109375" style="242" customWidth="1"/>
    <col min="9" max="9" width="19.28515625" style="242" customWidth="1"/>
    <col min="10" max="11" width="16.7109375" style="242" customWidth="1"/>
    <col min="12" max="12" width="16.7109375" style="212" customWidth="1"/>
    <col min="13" max="13" width="20.42578125" style="212" customWidth="1"/>
    <col min="14" max="14" width="10" style="212" customWidth="1"/>
    <col min="15" max="15" width="35.85546875" style="212" customWidth="1"/>
    <col min="16" max="16" width="30.5703125" style="212" customWidth="1"/>
    <col min="17" max="17" width="17.5703125" style="212" customWidth="1"/>
    <col min="18" max="18" width="8.42578125" style="212" customWidth="1"/>
    <col min="19" max="19" width="16" style="212" customWidth="1"/>
    <col min="20" max="20" width="8.85546875" style="212" customWidth="1"/>
    <col min="21" max="21" width="89.42578125" style="212" customWidth="1"/>
    <col min="22" max="22" width="19" style="212" customWidth="1"/>
    <col min="23" max="23" width="6.85546875" style="212" customWidth="1"/>
    <col min="24" max="24" width="5" style="212" customWidth="1"/>
    <col min="25" max="25" width="5.5703125" style="212" customWidth="1"/>
    <col min="26" max="26" width="7.140625" style="212" customWidth="1"/>
    <col min="27" max="27" width="6.7109375" style="212" customWidth="1"/>
    <col min="28" max="28" width="7.5703125" style="212" customWidth="1"/>
    <col min="29" max="29" width="38.28515625" style="212" customWidth="1"/>
    <col min="30" max="34" width="10.85546875" style="212" customWidth="1"/>
    <col min="35" max="35" width="10.85546875" style="240" customWidth="1"/>
    <col min="36" max="36" width="28.140625" style="212" customWidth="1"/>
    <col min="37" max="37" width="18.85546875" style="212" customWidth="1"/>
    <col min="38" max="38" width="23.42578125" style="212" customWidth="1"/>
    <col min="39" max="39" width="22.42578125" style="212" customWidth="1"/>
    <col min="40" max="40" width="19.85546875" style="212" customWidth="1"/>
    <col min="41" max="41" width="16.42578125" style="212" customWidth="1"/>
    <col min="42" max="42" width="26.140625" style="212" customWidth="1"/>
    <col min="43" max="16384" width="11.42578125" style="212"/>
  </cols>
  <sheetData>
    <row r="1" spans="1:273" s="216" customFormat="1" ht="24" customHeight="1" x14ac:dyDescent="0.3">
      <c r="A1" s="472"/>
      <c r="B1" s="473"/>
      <c r="C1" s="474"/>
      <c r="D1" s="481" t="s">
        <v>114</v>
      </c>
      <c r="E1" s="482"/>
      <c r="F1" s="482"/>
      <c r="G1" s="482"/>
      <c r="H1" s="482"/>
      <c r="I1" s="482"/>
      <c r="J1" s="482"/>
      <c r="K1" s="482"/>
      <c r="L1" s="482"/>
      <c r="M1" s="482"/>
      <c r="N1" s="482"/>
      <c r="O1" s="482"/>
      <c r="P1" s="482"/>
      <c r="Q1" s="482"/>
      <c r="R1" s="482"/>
      <c r="S1" s="483"/>
      <c r="T1" s="214"/>
      <c r="U1" s="502" t="s">
        <v>114</v>
      </c>
      <c r="V1" s="503"/>
      <c r="W1" s="503"/>
      <c r="X1" s="503"/>
      <c r="Y1" s="503"/>
      <c r="Z1" s="503"/>
      <c r="AA1" s="503"/>
      <c r="AB1" s="503"/>
      <c r="AC1" s="503"/>
      <c r="AD1" s="503"/>
      <c r="AE1" s="503"/>
      <c r="AF1" s="503"/>
      <c r="AG1" s="503"/>
      <c r="AH1" s="503"/>
      <c r="AI1" s="503"/>
      <c r="AJ1" s="503"/>
      <c r="AK1" s="503"/>
      <c r="AL1" s="503"/>
      <c r="AM1" s="503"/>
      <c r="AN1" s="503"/>
      <c r="AO1" s="503"/>
      <c r="AP1" s="504"/>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row>
    <row r="2" spans="1:273" s="216" customFormat="1" ht="24" customHeight="1" thickBot="1" x14ac:dyDescent="0.35">
      <c r="A2" s="475"/>
      <c r="B2" s="476"/>
      <c r="C2" s="477"/>
      <c r="D2" s="484"/>
      <c r="E2" s="485"/>
      <c r="F2" s="485"/>
      <c r="G2" s="485"/>
      <c r="H2" s="485"/>
      <c r="I2" s="485"/>
      <c r="J2" s="485"/>
      <c r="K2" s="485"/>
      <c r="L2" s="485"/>
      <c r="M2" s="485"/>
      <c r="N2" s="485"/>
      <c r="O2" s="485"/>
      <c r="P2" s="485"/>
      <c r="Q2" s="485"/>
      <c r="R2" s="485"/>
      <c r="S2" s="486"/>
      <c r="T2" s="214"/>
      <c r="U2" s="505"/>
      <c r="V2" s="506"/>
      <c r="W2" s="506"/>
      <c r="X2" s="506"/>
      <c r="Y2" s="506"/>
      <c r="Z2" s="506"/>
      <c r="AA2" s="506"/>
      <c r="AB2" s="506"/>
      <c r="AC2" s="506"/>
      <c r="AD2" s="506"/>
      <c r="AE2" s="506"/>
      <c r="AF2" s="506"/>
      <c r="AG2" s="506"/>
      <c r="AH2" s="506"/>
      <c r="AI2" s="506"/>
      <c r="AJ2" s="506"/>
      <c r="AK2" s="506"/>
      <c r="AL2" s="506"/>
      <c r="AM2" s="506"/>
      <c r="AN2" s="506"/>
      <c r="AO2" s="506"/>
      <c r="AP2" s="507"/>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row>
    <row r="3" spans="1:273" s="216" customFormat="1" ht="24" customHeight="1" x14ac:dyDescent="0.3">
      <c r="A3" s="475"/>
      <c r="B3" s="476"/>
      <c r="C3" s="477"/>
      <c r="D3" s="487" t="s">
        <v>115</v>
      </c>
      <c r="E3" s="488"/>
      <c r="F3" s="488"/>
      <c r="G3" s="488"/>
      <c r="H3" s="488"/>
      <c r="I3" s="488"/>
      <c r="J3" s="488"/>
      <c r="K3" s="488"/>
      <c r="L3" s="488" t="s">
        <v>116</v>
      </c>
      <c r="M3" s="488"/>
      <c r="N3" s="488"/>
      <c r="O3" s="488"/>
      <c r="P3" s="488"/>
      <c r="Q3" s="488"/>
      <c r="R3" s="488"/>
      <c r="S3" s="489"/>
      <c r="T3" s="214"/>
      <c r="U3" s="508" t="s">
        <v>117</v>
      </c>
      <c r="V3" s="509"/>
      <c r="W3" s="509"/>
      <c r="X3" s="509"/>
      <c r="Y3" s="509"/>
      <c r="Z3" s="509"/>
      <c r="AA3" s="509"/>
      <c r="AB3" s="509"/>
      <c r="AC3" s="509"/>
      <c r="AD3" s="509"/>
      <c r="AE3" s="509"/>
      <c r="AF3" s="509"/>
      <c r="AG3" s="509"/>
      <c r="AH3" s="509"/>
      <c r="AI3" s="509"/>
      <c r="AJ3" s="509" t="s">
        <v>116</v>
      </c>
      <c r="AK3" s="509"/>
      <c r="AL3" s="509"/>
      <c r="AM3" s="509"/>
      <c r="AN3" s="509"/>
      <c r="AO3" s="509"/>
      <c r="AP3" s="511"/>
      <c r="AQ3" s="217"/>
      <c r="AR3" s="218"/>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row>
    <row r="4" spans="1:273" s="216" customFormat="1" ht="24" customHeight="1" thickBot="1" x14ac:dyDescent="0.35">
      <c r="A4" s="478"/>
      <c r="B4" s="479"/>
      <c r="C4" s="480"/>
      <c r="D4" s="490" t="s">
        <v>80</v>
      </c>
      <c r="E4" s="491"/>
      <c r="F4" s="491"/>
      <c r="G4" s="491"/>
      <c r="H4" s="491"/>
      <c r="I4" s="491"/>
      <c r="J4" s="491"/>
      <c r="K4" s="491"/>
      <c r="L4" s="491"/>
      <c r="M4" s="491"/>
      <c r="N4" s="491"/>
      <c r="O4" s="491"/>
      <c r="P4" s="491"/>
      <c r="Q4" s="491"/>
      <c r="R4" s="491"/>
      <c r="S4" s="492"/>
      <c r="T4" s="214"/>
      <c r="U4" s="510" t="s">
        <v>118</v>
      </c>
      <c r="V4" s="491"/>
      <c r="W4" s="491"/>
      <c r="X4" s="491"/>
      <c r="Y4" s="491"/>
      <c r="Z4" s="491"/>
      <c r="AA4" s="491"/>
      <c r="AB4" s="491"/>
      <c r="AC4" s="491"/>
      <c r="AD4" s="491"/>
      <c r="AE4" s="491"/>
      <c r="AF4" s="491"/>
      <c r="AG4" s="491"/>
      <c r="AH4" s="491"/>
      <c r="AI4" s="491"/>
      <c r="AJ4" s="491"/>
      <c r="AK4" s="491"/>
      <c r="AL4" s="491"/>
      <c r="AM4" s="491"/>
      <c r="AN4" s="491"/>
      <c r="AO4" s="491"/>
      <c r="AP4" s="492"/>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row>
    <row r="5" spans="1:273" ht="15.75" customHeight="1" thickBot="1" x14ac:dyDescent="0.25">
      <c r="A5" s="219"/>
      <c r="B5" s="220"/>
      <c r="C5" s="219"/>
      <c r="D5" s="219"/>
      <c r="E5" s="221"/>
      <c r="F5" s="221"/>
      <c r="G5" s="222"/>
      <c r="H5" s="222"/>
      <c r="I5" s="222"/>
      <c r="J5" s="222"/>
      <c r="K5" s="222"/>
      <c r="L5" s="221"/>
      <c r="M5" s="221"/>
      <c r="N5" s="221"/>
      <c r="O5" s="221"/>
      <c r="P5" s="221"/>
      <c r="Q5" s="221"/>
      <c r="R5" s="221"/>
      <c r="S5" s="221"/>
      <c r="T5" s="221"/>
      <c r="U5" s="221"/>
      <c r="V5" s="221"/>
      <c r="W5" s="221"/>
      <c r="X5" s="221"/>
      <c r="Y5" s="221"/>
      <c r="Z5" s="221"/>
      <c r="AA5" s="221"/>
      <c r="AB5" s="221"/>
      <c r="AC5" s="221"/>
      <c r="AD5" s="221"/>
      <c r="AE5" s="221"/>
      <c r="AF5" s="221"/>
      <c r="AG5" s="221"/>
      <c r="AH5" s="221"/>
      <c r="AI5" s="223"/>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row>
    <row r="6" spans="1:273" ht="27.75" customHeight="1" x14ac:dyDescent="0.2">
      <c r="A6" s="512" t="s">
        <v>119</v>
      </c>
      <c r="B6" s="513"/>
      <c r="C6" s="466" t="s">
        <v>68</v>
      </c>
      <c r="D6" s="467"/>
      <c r="E6" s="467"/>
      <c r="F6" s="467"/>
      <c r="G6" s="467"/>
      <c r="H6" s="467"/>
      <c r="I6" s="467"/>
      <c r="J6" s="467"/>
      <c r="K6" s="467"/>
      <c r="L6" s="467"/>
      <c r="M6" s="467"/>
      <c r="N6" s="467"/>
      <c r="O6" s="467"/>
      <c r="P6" s="467"/>
      <c r="Q6" s="467"/>
      <c r="R6" s="467"/>
      <c r="S6" s="468"/>
      <c r="T6" s="469" t="s">
        <v>119</v>
      </c>
      <c r="U6" s="470"/>
      <c r="V6" s="471"/>
      <c r="W6" s="493" t="str">
        <f>C6</f>
        <v>9. Gestión contractual</v>
      </c>
      <c r="X6" s="494"/>
      <c r="Y6" s="494"/>
      <c r="Z6" s="494"/>
      <c r="AA6" s="494"/>
      <c r="AB6" s="494"/>
      <c r="AC6" s="494"/>
      <c r="AD6" s="494"/>
      <c r="AE6" s="494"/>
      <c r="AF6" s="494"/>
      <c r="AG6" s="494"/>
      <c r="AH6" s="494"/>
      <c r="AI6" s="494"/>
      <c r="AJ6" s="494"/>
      <c r="AK6" s="494"/>
      <c r="AL6" s="494"/>
      <c r="AM6" s="494"/>
      <c r="AN6" s="494"/>
      <c r="AO6" s="494"/>
      <c r="AP6" s="495"/>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row>
    <row r="7" spans="1:273" ht="36.75" customHeight="1" x14ac:dyDescent="0.25">
      <c r="A7" s="514" t="s">
        <v>120</v>
      </c>
      <c r="B7" s="515"/>
      <c r="C7" s="449" t="s">
        <v>121</v>
      </c>
      <c r="D7" s="450"/>
      <c r="E7" s="450"/>
      <c r="F7" s="450"/>
      <c r="G7" s="450"/>
      <c r="H7" s="450"/>
      <c r="I7" s="450"/>
      <c r="J7" s="450"/>
      <c r="K7" s="450"/>
      <c r="L7" s="450"/>
      <c r="M7" s="450"/>
      <c r="N7" s="450"/>
      <c r="O7" s="450"/>
      <c r="P7" s="450"/>
      <c r="Q7" s="450"/>
      <c r="R7" s="450"/>
      <c r="S7" s="451"/>
      <c r="T7" s="224" t="s">
        <v>120</v>
      </c>
      <c r="U7" s="225"/>
      <c r="V7" s="226"/>
      <c r="W7" s="496" t="str">
        <f>C7</f>
        <v>Coordinar los diferentes procesos de contratación requeridos por la entidad, en las etapas precontractual, contractual y postcontractual, mediante la sujeción de la normatividad legal vigente, con el fin de garantizar la adquisición de bienes, servicios y obra pública para suplir las necesidades de la entidad, y el cumplimiento de las metas y los objetivos institucionales de la entidad, bajo parámetros de efectividad, calidad y transparencia.</v>
      </c>
      <c r="X7" s="497"/>
      <c r="Y7" s="497"/>
      <c r="Z7" s="497"/>
      <c r="AA7" s="497"/>
      <c r="AB7" s="497"/>
      <c r="AC7" s="497"/>
      <c r="AD7" s="497"/>
      <c r="AE7" s="497"/>
      <c r="AF7" s="497"/>
      <c r="AG7" s="497"/>
      <c r="AH7" s="497"/>
      <c r="AI7" s="497"/>
      <c r="AJ7" s="497"/>
      <c r="AK7" s="497"/>
      <c r="AL7" s="497"/>
      <c r="AM7" s="497"/>
      <c r="AN7" s="497"/>
      <c r="AO7" s="497"/>
      <c r="AP7" s="498"/>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row>
    <row r="8" spans="1:273" ht="30" customHeight="1" thickBot="1" x14ac:dyDescent="0.3">
      <c r="A8" s="516" t="s">
        <v>122</v>
      </c>
      <c r="B8" s="517"/>
      <c r="C8" s="452" t="s">
        <v>123</v>
      </c>
      <c r="D8" s="453"/>
      <c r="E8" s="453"/>
      <c r="F8" s="453"/>
      <c r="G8" s="453"/>
      <c r="H8" s="453"/>
      <c r="I8" s="453"/>
      <c r="J8" s="453"/>
      <c r="K8" s="453"/>
      <c r="L8" s="453"/>
      <c r="M8" s="453"/>
      <c r="N8" s="453"/>
      <c r="O8" s="453"/>
      <c r="P8" s="453"/>
      <c r="Q8" s="453"/>
      <c r="R8" s="453"/>
      <c r="S8" s="454"/>
      <c r="T8" s="227" t="s">
        <v>122</v>
      </c>
      <c r="U8" s="228"/>
      <c r="V8" s="229"/>
      <c r="W8" s="499" t="str">
        <f>C8</f>
        <v>Inicia con la identificación y programación de las necesidades de adquisición de bienes, servicios y obras públicas de la entidad y finaliza con la liquidación de los contratos, si a ello hay lugar y el archivo final de todos los documentos del proceso contractual.</v>
      </c>
      <c r="X8" s="500"/>
      <c r="Y8" s="500"/>
      <c r="Z8" s="500"/>
      <c r="AA8" s="500"/>
      <c r="AB8" s="500"/>
      <c r="AC8" s="500"/>
      <c r="AD8" s="500"/>
      <c r="AE8" s="500"/>
      <c r="AF8" s="500"/>
      <c r="AG8" s="500"/>
      <c r="AH8" s="500"/>
      <c r="AI8" s="500"/>
      <c r="AJ8" s="500"/>
      <c r="AK8" s="500"/>
      <c r="AL8" s="500"/>
      <c r="AM8" s="500"/>
      <c r="AN8" s="500"/>
      <c r="AO8" s="500"/>
      <c r="AP8" s="50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row>
    <row r="9" spans="1:273" ht="12" customHeight="1" x14ac:dyDescent="0.25">
      <c r="A9" s="230"/>
      <c r="B9" s="230"/>
      <c r="C9" s="231"/>
      <c r="D9" s="231"/>
      <c r="E9" s="231"/>
      <c r="F9" s="231"/>
      <c r="G9" s="231"/>
      <c r="H9" s="231"/>
      <c r="I9" s="231"/>
      <c r="J9" s="231"/>
      <c r="K9" s="231"/>
      <c r="L9" s="231"/>
      <c r="M9" s="231"/>
      <c r="N9" s="231"/>
      <c r="O9" s="231"/>
      <c r="P9" s="231"/>
      <c r="Q9" s="231"/>
      <c r="R9" s="231"/>
      <c r="S9" s="231"/>
      <c r="T9" s="232"/>
      <c r="U9" s="232"/>
      <c r="V9" s="232"/>
      <c r="W9" s="233"/>
      <c r="X9" s="233"/>
      <c r="Y9" s="233"/>
      <c r="Z9" s="233"/>
      <c r="AA9" s="233"/>
      <c r="AB9" s="233"/>
      <c r="AC9" s="233"/>
      <c r="AD9" s="233"/>
      <c r="AE9" s="233"/>
      <c r="AF9" s="233"/>
      <c r="AG9" s="233"/>
      <c r="AH9" s="233"/>
      <c r="AI9" s="233"/>
      <c r="AJ9" s="233"/>
      <c r="AK9" s="233"/>
      <c r="AL9" s="233"/>
      <c r="AM9" s="233"/>
      <c r="AN9" s="233"/>
      <c r="AO9" s="233"/>
      <c r="AP9" s="233"/>
    </row>
    <row r="10" spans="1:273" ht="26.25" customHeight="1" x14ac:dyDescent="0.2">
      <c r="A10" s="427" t="s">
        <v>124</v>
      </c>
      <c r="B10" s="427"/>
      <c r="C10" s="427"/>
      <c r="D10" s="427"/>
      <c r="E10" s="427"/>
      <c r="F10" s="427"/>
      <c r="G10" s="427"/>
      <c r="H10" s="427"/>
      <c r="I10" s="427"/>
      <c r="J10" s="427"/>
      <c r="K10" s="427"/>
      <c r="L10" s="427"/>
      <c r="M10" s="427" t="s">
        <v>125</v>
      </c>
      <c r="N10" s="427"/>
      <c r="O10" s="427"/>
      <c r="P10" s="427"/>
      <c r="Q10" s="427"/>
      <c r="R10" s="427"/>
      <c r="S10" s="427"/>
      <c r="T10" s="427" t="s">
        <v>126</v>
      </c>
      <c r="U10" s="427"/>
      <c r="V10" s="427"/>
      <c r="W10" s="427"/>
      <c r="X10" s="427"/>
      <c r="Y10" s="427"/>
      <c r="Z10" s="427"/>
      <c r="AA10" s="427"/>
      <c r="AB10" s="427"/>
      <c r="AC10" s="427" t="s">
        <v>127</v>
      </c>
      <c r="AD10" s="427"/>
      <c r="AE10" s="427"/>
      <c r="AF10" s="427"/>
      <c r="AG10" s="427"/>
      <c r="AH10" s="427"/>
      <c r="AI10" s="427"/>
      <c r="AJ10" s="427" t="s">
        <v>128</v>
      </c>
      <c r="AK10" s="427"/>
      <c r="AL10" s="427"/>
      <c r="AM10" s="427"/>
      <c r="AN10" s="427" t="s">
        <v>129</v>
      </c>
      <c r="AO10" s="427"/>
      <c r="AP10" s="427"/>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row>
    <row r="11" spans="1:273" ht="26.25" customHeight="1" x14ac:dyDescent="0.2">
      <c r="A11" s="458" t="s">
        <v>130</v>
      </c>
      <c r="B11" s="399" t="s">
        <v>15</v>
      </c>
      <c r="C11" s="401" t="s">
        <v>17</v>
      </c>
      <c r="D11" s="401" t="s">
        <v>19</v>
      </c>
      <c r="E11" s="399" t="s">
        <v>21</v>
      </c>
      <c r="F11" s="401" t="s">
        <v>131</v>
      </c>
      <c r="G11" s="438" t="s">
        <v>23</v>
      </c>
      <c r="H11" s="439" t="s">
        <v>132</v>
      </c>
      <c r="I11" s="438" t="s">
        <v>133</v>
      </c>
      <c r="J11" s="438" t="s">
        <v>134</v>
      </c>
      <c r="K11" s="438" t="s">
        <v>135</v>
      </c>
      <c r="L11" s="401" t="s">
        <v>136</v>
      </c>
      <c r="M11" s="401" t="s">
        <v>137</v>
      </c>
      <c r="N11" s="399" t="s">
        <v>138</v>
      </c>
      <c r="O11" s="401" t="s">
        <v>139</v>
      </c>
      <c r="P11" s="401" t="s">
        <v>140</v>
      </c>
      <c r="Q11" s="401" t="s">
        <v>141</v>
      </c>
      <c r="R11" s="399" t="s">
        <v>138</v>
      </c>
      <c r="S11" s="401" t="s">
        <v>29</v>
      </c>
      <c r="T11" s="418" t="s">
        <v>142</v>
      </c>
      <c r="U11" s="401" t="s">
        <v>31</v>
      </c>
      <c r="V11" s="401" t="s">
        <v>33</v>
      </c>
      <c r="W11" s="401" t="s">
        <v>143</v>
      </c>
      <c r="X11" s="401"/>
      <c r="Y11" s="401"/>
      <c r="Z11" s="401"/>
      <c r="AA11" s="401"/>
      <c r="AB11" s="401"/>
      <c r="AC11" s="418" t="s">
        <v>144</v>
      </c>
      <c r="AD11" s="418" t="s">
        <v>145</v>
      </c>
      <c r="AE11" s="418" t="s">
        <v>138</v>
      </c>
      <c r="AF11" s="418" t="s">
        <v>146</v>
      </c>
      <c r="AG11" s="418" t="s">
        <v>138</v>
      </c>
      <c r="AH11" s="418" t="s">
        <v>147</v>
      </c>
      <c r="AI11" s="418" t="s">
        <v>49</v>
      </c>
      <c r="AJ11" s="401" t="s">
        <v>148</v>
      </c>
      <c r="AK11" s="401" t="s">
        <v>149</v>
      </c>
      <c r="AL11" s="401" t="s">
        <v>150</v>
      </c>
      <c r="AM11" s="401" t="s">
        <v>151</v>
      </c>
      <c r="AN11" s="401" t="s">
        <v>152</v>
      </c>
      <c r="AO11" s="401" t="s">
        <v>153</v>
      </c>
      <c r="AP11" s="401" t="s">
        <v>154</v>
      </c>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row>
    <row r="12" spans="1:273" s="236" customFormat="1" ht="49.5" customHeight="1" thickBot="1" x14ac:dyDescent="0.3">
      <c r="A12" s="459"/>
      <c r="B12" s="400"/>
      <c r="C12" s="403"/>
      <c r="D12" s="403"/>
      <c r="E12" s="400"/>
      <c r="F12" s="403"/>
      <c r="G12" s="439"/>
      <c r="H12" s="440"/>
      <c r="I12" s="439"/>
      <c r="J12" s="439"/>
      <c r="K12" s="439"/>
      <c r="L12" s="403"/>
      <c r="M12" s="403"/>
      <c r="N12" s="400"/>
      <c r="O12" s="403"/>
      <c r="P12" s="403"/>
      <c r="Q12" s="400"/>
      <c r="R12" s="400"/>
      <c r="S12" s="403"/>
      <c r="T12" s="419"/>
      <c r="U12" s="403"/>
      <c r="V12" s="403"/>
      <c r="W12" s="285" t="s">
        <v>155</v>
      </c>
      <c r="X12" s="285" t="s">
        <v>156</v>
      </c>
      <c r="Y12" s="285" t="s">
        <v>157</v>
      </c>
      <c r="Z12" s="285" t="s">
        <v>158</v>
      </c>
      <c r="AA12" s="285" t="s">
        <v>159</v>
      </c>
      <c r="AB12" s="285" t="s">
        <v>160</v>
      </c>
      <c r="AC12" s="419"/>
      <c r="AD12" s="419"/>
      <c r="AE12" s="419"/>
      <c r="AF12" s="419"/>
      <c r="AG12" s="419"/>
      <c r="AH12" s="419"/>
      <c r="AI12" s="419"/>
      <c r="AJ12" s="402"/>
      <c r="AK12" s="402"/>
      <c r="AL12" s="402"/>
      <c r="AM12" s="403"/>
      <c r="AN12" s="403"/>
      <c r="AO12" s="403"/>
      <c r="AP12" s="403"/>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5"/>
      <c r="HC12" s="235"/>
      <c r="HD12" s="235"/>
      <c r="HE12" s="235"/>
      <c r="HF12" s="235"/>
      <c r="HG12" s="235"/>
      <c r="HH12" s="235"/>
      <c r="HI12" s="235"/>
      <c r="HJ12" s="235"/>
      <c r="HK12" s="235"/>
      <c r="HL12" s="235"/>
      <c r="HM12" s="235"/>
      <c r="HN12" s="235"/>
      <c r="HO12" s="235"/>
      <c r="HP12" s="235"/>
      <c r="HQ12" s="235"/>
      <c r="HR12" s="235"/>
      <c r="HS12" s="235"/>
      <c r="HT12" s="235"/>
      <c r="HU12" s="235"/>
      <c r="HV12" s="235"/>
      <c r="HW12" s="235"/>
      <c r="HX12" s="235"/>
      <c r="HY12" s="235"/>
      <c r="HZ12" s="235"/>
      <c r="IA12" s="235"/>
      <c r="IB12" s="235"/>
      <c r="IC12" s="235"/>
      <c r="ID12" s="235"/>
      <c r="IE12" s="235"/>
      <c r="IF12" s="235"/>
      <c r="IG12" s="235"/>
      <c r="IH12" s="235"/>
      <c r="II12" s="235"/>
      <c r="IJ12" s="235"/>
      <c r="IK12" s="235"/>
      <c r="IL12" s="235"/>
      <c r="IM12" s="235"/>
      <c r="IN12" s="235"/>
      <c r="IO12" s="235"/>
      <c r="IP12" s="235"/>
      <c r="IQ12" s="235"/>
      <c r="IR12" s="235"/>
      <c r="IS12" s="235"/>
      <c r="IT12" s="235"/>
      <c r="IU12" s="235"/>
      <c r="IV12" s="235"/>
      <c r="IW12" s="235"/>
      <c r="IX12" s="235"/>
      <c r="IY12" s="235"/>
      <c r="IZ12" s="235"/>
      <c r="JA12" s="235"/>
      <c r="JB12" s="235"/>
      <c r="JC12" s="235"/>
      <c r="JD12" s="235"/>
      <c r="JE12" s="235"/>
      <c r="JF12" s="235"/>
      <c r="JG12" s="235"/>
      <c r="JH12" s="235"/>
      <c r="JI12" s="235"/>
      <c r="JJ12" s="235"/>
      <c r="JK12" s="235"/>
      <c r="JL12" s="235"/>
      <c r="JM12" s="235"/>
    </row>
    <row r="13" spans="1:273" s="238" customFormat="1" ht="245.25" customHeight="1" x14ac:dyDescent="0.25">
      <c r="A13" s="441">
        <v>1</v>
      </c>
      <c r="B13" s="444" t="s">
        <v>161</v>
      </c>
      <c r="C13" s="420" t="s">
        <v>426</v>
      </c>
      <c r="D13" s="448" t="s">
        <v>427</v>
      </c>
      <c r="E13" s="420" t="s">
        <v>428</v>
      </c>
      <c r="F13" s="420" t="s">
        <v>162</v>
      </c>
      <c r="G13" s="420" t="s">
        <v>163</v>
      </c>
      <c r="H13" s="420"/>
      <c r="I13" s="420"/>
      <c r="J13" s="420"/>
      <c r="K13" s="420"/>
      <c r="L13" s="455">
        <v>650</v>
      </c>
      <c r="M13" s="411" t="str">
        <f>IF(L13&lt;=0,"",IF(L13&lt;=2,"Muy Baja",IF(L13&lt;=24,"Baja",IF(L13&lt;=500,"Media",IF(L13&lt;=5000,"Alta","Muy Alta")))))</f>
        <v>Alta</v>
      </c>
      <c r="N13" s="408">
        <f>IF(M13="","",IF(M13="Muy Baja",0.2,IF(M13="Baja",0.4,IF(M13="Media",0.6,IF(M13="Alta",0.8,IF(M13="Muy Alta",1,))))))</f>
        <v>0.8</v>
      </c>
      <c r="O13" s="434" t="s">
        <v>164</v>
      </c>
      <c r="P13" s="408" t="str">
        <f ca="1">IF(NOT(ISERROR(MATCH(O13,'Tabla Impacto'!$B$222:$B$224,0))),'Tabla Impacto'!$F$224&amp;"Por favor no seleccionar los criterios de impacto(Afectación Económica o presupuestal y Pérdida Reputacional)",O13)</f>
        <v xml:space="preserve">     El riesgo afecta la imagen de la entidad internamente, de conocimiento general, nivel interno, de junta dircetiva y accionistas y/o de provedores</v>
      </c>
      <c r="Q13" s="405" t="str">
        <f ca="1">IF(OR(P13='Tabla Impacto'!$C$12,P13='Tabla Impacto'!$D$12),"Leve",IF(OR(P13='Tabla Impacto'!$C$13,P13='Tabla Impacto'!$D$13),"Menor",IF(OR(P13='Tabla Impacto'!$C$14,P13='Tabla Impacto'!$D$14),"Moderado",IF(OR(P13='Tabla Impacto'!$C$15,P13='Tabla Impacto'!$D$15),"Mayor",IF(OR(P13='Tabla Impacto'!$C$16,P13='Tabla Impacto'!$D$16),"Catastrófico","")))))</f>
        <v>Menor</v>
      </c>
      <c r="R13" s="408">
        <f ca="1">IF(Q13="","",IF(Q13="Leve",0.2,IF(Q13="Menor",0.4,IF(Q13="Moderado",0.6,IF(Q13="Mayor",0.8,IF(Q13="Catastrófico",1,))))))</f>
        <v>0.4</v>
      </c>
      <c r="S13" s="414" t="str">
        <f ca="1">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8">
        <v>1</v>
      </c>
      <c r="U13" s="286" t="s">
        <v>448</v>
      </c>
      <c r="V13" s="260" t="str">
        <f t="shared" ref="V13:V44" si="0">IF(OR(W13="Preventivo",W13="Detectivo"),"Probabilidad",IF(W13="Correctivo","Impacto",""))</f>
        <v>Probabilidad</v>
      </c>
      <c r="W13" s="261" t="s">
        <v>165</v>
      </c>
      <c r="X13" s="261" t="s">
        <v>166</v>
      </c>
      <c r="Y13" s="262" t="str">
        <f t="shared" ref="Y13:Y44" si="1">IF(AND(W13="Preventivo",X13="Automático"),"50%",IF(AND(W13="Preventivo",X13="Manual"),"40%",IF(AND(W13="Detectivo",X13="Automático"),"40%",IF(AND(W13="Detectivo",X13="Manual"),"30%",IF(AND(W13="Correctivo",X13="Automático"),"35%",IF(AND(W13="Correctivo",X13="Manual"),"25%",""))))))</f>
        <v>40%</v>
      </c>
      <c r="Z13" s="261" t="s">
        <v>167</v>
      </c>
      <c r="AA13" s="261" t="s">
        <v>168</v>
      </c>
      <c r="AB13" s="261" t="s">
        <v>169</v>
      </c>
      <c r="AC13" s="263">
        <f>IFERROR(IF(V13="Probabilidad",(N13-(+N13*Y13)),IF(V13="Impacto",N13,"")),"")</f>
        <v>0.48</v>
      </c>
      <c r="AD13" s="264" t="str">
        <f>IFERROR(IF(AC13="","",IF(AC13&lt;=0.2,"Muy Baja",IF(AC13&lt;=0.4,"Baja",IF(AC13&lt;=0.6,"Media",IF(AC13&lt;=0.8,"Alta","Muy Alta"))))),"")</f>
        <v>Media</v>
      </c>
      <c r="AE13" s="262">
        <f t="shared" ref="AE13:AE44" si="2">+AC13</f>
        <v>0.48</v>
      </c>
      <c r="AF13" s="264" t="str">
        <f ca="1">IFERROR(IF(AG13="","",IF(AG13&lt;=0.2,"Leve",IF(AG13&lt;=0.4,"Menor",IF(AG13&lt;=0.6,"Moderado",IF(AG13&lt;=0.8,"Mayor","Catastrófico"))))),"")</f>
        <v>Menor</v>
      </c>
      <c r="AG13" s="262">
        <f ca="1">IFERROR(IF(V13="Impacto",(R13-(+R13*Y13)),IF(V13="Probabilidad",R13,"")),"")</f>
        <v>0.4</v>
      </c>
      <c r="AH13" s="265" t="str">
        <f t="shared" ref="AH13:AH44" ca="1" si="3">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66" t="s">
        <v>170</v>
      </c>
      <c r="AJ13" s="301" t="s">
        <v>442</v>
      </c>
      <c r="AK13" s="244" t="s">
        <v>171</v>
      </c>
      <c r="AL13" s="244" t="s">
        <v>172</v>
      </c>
      <c r="AM13" s="268">
        <v>44926</v>
      </c>
      <c r="AN13" s="428" t="s">
        <v>173</v>
      </c>
      <c r="AO13" s="420" t="s">
        <v>174</v>
      </c>
      <c r="AP13" s="431" t="s">
        <v>175</v>
      </c>
    </row>
    <row r="14" spans="1:273" ht="152.25" customHeight="1" x14ac:dyDescent="0.2">
      <c r="A14" s="442"/>
      <c r="B14" s="445"/>
      <c r="C14" s="421"/>
      <c r="D14" s="421"/>
      <c r="E14" s="421"/>
      <c r="F14" s="421"/>
      <c r="G14" s="421"/>
      <c r="H14" s="421"/>
      <c r="I14" s="421"/>
      <c r="J14" s="421"/>
      <c r="K14" s="421"/>
      <c r="L14" s="456"/>
      <c r="M14" s="412"/>
      <c r="N14" s="409"/>
      <c r="O14" s="435"/>
      <c r="P14" s="409">
        <f ca="1">IF(NOT(ISERROR(MATCH(O14,_xlfn.ANCHORARRAY(E25),0))),N27&amp;"Por favor no seleccionar los criterios de impacto",O14)</f>
        <v>0</v>
      </c>
      <c r="Q14" s="379"/>
      <c r="R14" s="409"/>
      <c r="S14" s="415"/>
      <c r="T14" s="237">
        <v>2</v>
      </c>
      <c r="U14" s="213" t="s">
        <v>176</v>
      </c>
      <c r="V14" s="203" t="str">
        <f t="shared" si="0"/>
        <v>Probabilidad</v>
      </c>
      <c r="W14" s="204" t="s">
        <v>165</v>
      </c>
      <c r="X14" s="204" t="s">
        <v>166</v>
      </c>
      <c r="Y14" s="205" t="str">
        <f t="shared" si="1"/>
        <v>40%</v>
      </c>
      <c r="Z14" s="204" t="s">
        <v>167</v>
      </c>
      <c r="AA14" s="204" t="s">
        <v>177</v>
      </c>
      <c r="AB14" s="204" t="s">
        <v>169</v>
      </c>
      <c r="AC14" s="206">
        <f>IFERROR(IF(AND(V13="Probabilidad",V14="Probabilidad"),(AE13-(+AE13*Y14)),IF(V14="Probabilidad",(N13-(+N13*Y14)),IF(V14="Impacto",AE13,""))),"")</f>
        <v>0.28799999999999998</v>
      </c>
      <c r="AD14" s="207" t="str">
        <f t="shared" ref="AD14:AD72" si="4">IFERROR(IF(AC14="","",IF(AC14&lt;=0.2,"Muy Baja",IF(AC14&lt;=0.4,"Baja",IF(AC14&lt;=0.6,"Media",IF(AC14&lt;=0.8,"Alta","Muy Alta"))))),"")</f>
        <v>Baja</v>
      </c>
      <c r="AE14" s="205">
        <f t="shared" si="2"/>
        <v>0.28799999999999998</v>
      </c>
      <c r="AF14" s="207" t="str">
        <f t="shared" ref="AF14:AF72" ca="1" si="5">IFERROR(IF(AG14="","",IF(AG14&lt;=0.2,"Leve",IF(AG14&lt;=0.4,"Menor",IF(AG14&lt;=0.6,"Moderado",IF(AG14&lt;=0.8,"Mayor","Catastrófico"))))),"")</f>
        <v>Menor</v>
      </c>
      <c r="AG14" s="205">
        <f ca="1">IFERROR(IF(AND(V13="Impacto",V14="Impacto"),(AG13-(+AG13*Y14)),IF(V14="Impacto",($R$13-(+$R$13*Y14)),IF(V14="Probabilidad",AG13,""))),"")</f>
        <v>0.4</v>
      </c>
      <c r="AH14" s="208" t="str">
        <f t="shared" ca="1" si="3"/>
        <v>Moderado</v>
      </c>
      <c r="AI14" s="209" t="s">
        <v>178</v>
      </c>
      <c r="AJ14" s="200" t="s">
        <v>179</v>
      </c>
      <c r="AK14" s="200" t="s">
        <v>171</v>
      </c>
      <c r="AL14" s="200" t="s">
        <v>180</v>
      </c>
      <c r="AM14" s="211">
        <v>44926</v>
      </c>
      <c r="AN14" s="429"/>
      <c r="AO14" s="421"/>
      <c r="AP14" s="432"/>
    </row>
    <row r="15" spans="1:273" ht="3" customHeight="1" x14ac:dyDescent="0.2">
      <c r="A15" s="442"/>
      <c r="B15" s="445"/>
      <c r="C15" s="421"/>
      <c r="D15" s="421"/>
      <c r="E15" s="421"/>
      <c r="F15" s="421"/>
      <c r="G15" s="421"/>
      <c r="H15" s="421"/>
      <c r="I15" s="421"/>
      <c r="J15" s="421"/>
      <c r="K15" s="421"/>
      <c r="L15" s="456"/>
      <c r="M15" s="412"/>
      <c r="N15" s="409"/>
      <c r="O15" s="435"/>
      <c r="P15" s="409">
        <f ca="1">IF(NOT(ISERROR(MATCH(O15,_xlfn.ANCHORARRAY(E26),0))),N28&amp;"Por favor no seleccionar los criterios de impacto",O15)</f>
        <v>0</v>
      </c>
      <c r="Q15" s="379"/>
      <c r="R15" s="409"/>
      <c r="S15" s="415"/>
      <c r="T15" s="237">
        <v>3</v>
      </c>
      <c r="U15" s="202"/>
      <c r="V15" s="203" t="str">
        <f t="shared" si="0"/>
        <v/>
      </c>
      <c r="W15" s="204"/>
      <c r="X15" s="204"/>
      <c r="Y15" s="205" t="str">
        <f t="shared" si="1"/>
        <v/>
      </c>
      <c r="Z15" s="204"/>
      <c r="AA15" s="204"/>
      <c r="AB15" s="204"/>
      <c r="AC15" s="206" t="str">
        <f>IFERROR(IF(AND(V14="Probabilidad",V15="Probabilidad"),(AE14-(+AE14*Y15)),IF(AND(V14="Impacto",V15="Probabilidad"),(AE13-(+AE13*Y15)),IF(V15="Impacto",AE14,""))),"")</f>
        <v/>
      </c>
      <c r="AD15" s="207" t="str">
        <f t="shared" si="4"/>
        <v/>
      </c>
      <c r="AE15" s="205" t="str">
        <f t="shared" si="2"/>
        <v/>
      </c>
      <c r="AF15" s="207" t="str">
        <f t="shared" si="5"/>
        <v/>
      </c>
      <c r="AG15" s="205" t="str">
        <f>IFERROR(IF(AND(V14="Impacto",V15="Impacto"),(AG14-(+AG14*Y15)),IF(AND(V14="Probabilidad",V15="Impacto"),(AG13-(+AG13*Y15)),IF(V15="Probabilidad",AG14,""))),"")</f>
        <v/>
      </c>
      <c r="AH15" s="208" t="str">
        <f t="shared" si="3"/>
        <v/>
      </c>
      <c r="AI15" s="209"/>
      <c r="AJ15" s="200"/>
      <c r="AK15" s="200"/>
      <c r="AL15" s="210"/>
      <c r="AM15" s="211"/>
      <c r="AN15" s="429"/>
      <c r="AO15" s="421"/>
      <c r="AP15" s="432"/>
    </row>
    <row r="16" spans="1:273" ht="3" customHeight="1" x14ac:dyDescent="0.2">
      <c r="A16" s="442"/>
      <c r="B16" s="445"/>
      <c r="C16" s="421"/>
      <c r="D16" s="421"/>
      <c r="E16" s="421"/>
      <c r="F16" s="421"/>
      <c r="G16" s="421"/>
      <c r="H16" s="421"/>
      <c r="I16" s="421"/>
      <c r="J16" s="421"/>
      <c r="K16" s="421"/>
      <c r="L16" s="456"/>
      <c r="M16" s="412"/>
      <c r="N16" s="409"/>
      <c r="O16" s="435"/>
      <c r="P16" s="409">
        <f ca="1">IF(NOT(ISERROR(MATCH(O16,_xlfn.ANCHORARRAY(E27),0))),N29&amp;"Por favor no seleccionar los criterios de impacto",O16)</f>
        <v>0</v>
      </c>
      <c r="Q16" s="379"/>
      <c r="R16" s="409"/>
      <c r="S16" s="415"/>
      <c r="T16" s="237">
        <v>4</v>
      </c>
      <c r="U16" s="201"/>
      <c r="V16" s="203" t="str">
        <f t="shared" si="0"/>
        <v/>
      </c>
      <c r="W16" s="204"/>
      <c r="X16" s="204"/>
      <c r="Y16" s="205" t="str">
        <f t="shared" si="1"/>
        <v/>
      </c>
      <c r="Z16" s="204"/>
      <c r="AA16" s="204"/>
      <c r="AB16" s="204"/>
      <c r="AC16" s="206" t="str">
        <f>IFERROR(IF(AND(V15="Probabilidad",V16="Probabilidad"),(AE15-(+AE15*Y16)),IF(AND(V15="Impacto",V16="Probabilidad"),(AE14-(+AE14*Y16)),IF(V16="Impacto",AE15,""))),"")</f>
        <v/>
      </c>
      <c r="AD16" s="207" t="str">
        <f t="shared" si="4"/>
        <v/>
      </c>
      <c r="AE16" s="205" t="str">
        <f t="shared" si="2"/>
        <v/>
      </c>
      <c r="AF16" s="207" t="str">
        <f t="shared" si="5"/>
        <v/>
      </c>
      <c r="AG16" s="205" t="str">
        <f>IFERROR(IF(AND(V15="Impacto",V16="Impacto"),(AG15-(+AG15*Y16)),IF(AND(V15="Probabilidad",V16="Impacto"),(AG14-(+AG14*Y16)),IF(V16="Probabilidad",AG15,""))),"")</f>
        <v/>
      </c>
      <c r="AH16" s="208" t="str">
        <f t="shared" si="3"/>
        <v/>
      </c>
      <c r="AI16" s="209"/>
      <c r="AJ16" s="200"/>
      <c r="AK16" s="210"/>
      <c r="AL16" s="210"/>
      <c r="AM16" s="211"/>
      <c r="AN16" s="429"/>
      <c r="AO16" s="421"/>
      <c r="AP16" s="432"/>
    </row>
    <row r="17" spans="1:42" ht="3" customHeight="1" x14ac:dyDescent="0.2">
      <c r="A17" s="442"/>
      <c r="B17" s="445"/>
      <c r="C17" s="421"/>
      <c r="D17" s="421"/>
      <c r="E17" s="421"/>
      <c r="F17" s="421"/>
      <c r="G17" s="421"/>
      <c r="H17" s="421"/>
      <c r="I17" s="421"/>
      <c r="J17" s="421"/>
      <c r="K17" s="421"/>
      <c r="L17" s="456"/>
      <c r="M17" s="412"/>
      <c r="N17" s="409"/>
      <c r="O17" s="435"/>
      <c r="P17" s="409">
        <f ca="1">IF(NOT(ISERROR(MATCH(O17,_xlfn.ANCHORARRAY(E28),0))),N30&amp;"Por favor no seleccionar los criterios de impacto",O17)</f>
        <v>0</v>
      </c>
      <c r="Q17" s="379"/>
      <c r="R17" s="409"/>
      <c r="S17" s="415"/>
      <c r="T17" s="237">
        <v>5</v>
      </c>
      <c r="U17" s="201"/>
      <c r="V17" s="203" t="str">
        <f t="shared" si="0"/>
        <v/>
      </c>
      <c r="W17" s="204"/>
      <c r="X17" s="204"/>
      <c r="Y17" s="205" t="str">
        <f t="shared" si="1"/>
        <v/>
      </c>
      <c r="Z17" s="204"/>
      <c r="AA17" s="204"/>
      <c r="AB17" s="204"/>
      <c r="AC17" s="206" t="str">
        <f>IFERROR(IF(AND(V16="Probabilidad",V17="Probabilidad"),(AE16-(+AE16*Y17)),IF(AND(V16="Impacto",V17="Probabilidad"),(AE15-(+AE15*Y17)),IF(V17="Impacto",AE16,""))),"")</f>
        <v/>
      </c>
      <c r="AD17" s="207" t="str">
        <f t="shared" si="4"/>
        <v/>
      </c>
      <c r="AE17" s="205" t="str">
        <f t="shared" si="2"/>
        <v/>
      </c>
      <c r="AF17" s="207" t="str">
        <f t="shared" si="5"/>
        <v/>
      </c>
      <c r="AG17" s="205" t="str">
        <f>IFERROR(IF(AND(V16="Impacto",V17="Impacto"),(AG16-(+AG16*Y17)),IF(AND(V16="Probabilidad",V17="Impacto"),(AG15-(+AG15*Y17)),IF(V17="Probabilidad",AG16,""))),"")</f>
        <v/>
      </c>
      <c r="AH17" s="208" t="str">
        <f t="shared" si="3"/>
        <v/>
      </c>
      <c r="AI17" s="209"/>
      <c r="AJ17" s="200"/>
      <c r="AK17" s="210"/>
      <c r="AL17" s="210"/>
      <c r="AM17" s="211"/>
      <c r="AN17" s="429"/>
      <c r="AO17" s="421"/>
      <c r="AP17" s="432"/>
    </row>
    <row r="18" spans="1:42" ht="3.75" customHeight="1" thickBot="1" x14ac:dyDescent="0.25">
      <c r="A18" s="443"/>
      <c r="B18" s="446"/>
      <c r="C18" s="422"/>
      <c r="D18" s="422"/>
      <c r="E18" s="422"/>
      <c r="F18" s="422"/>
      <c r="G18" s="422"/>
      <c r="H18" s="422"/>
      <c r="I18" s="422"/>
      <c r="J18" s="422"/>
      <c r="K18" s="422"/>
      <c r="L18" s="457"/>
      <c r="M18" s="413"/>
      <c r="N18" s="410"/>
      <c r="O18" s="436"/>
      <c r="P18" s="410">
        <f ca="1">IF(NOT(ISERROR(MATCH(O18,_xlfn.ANCHORARRAY(E29),0))),N31&amp;"Por favor no seleccionar los criterios de impacto",O18)</f>
        <v>0</v>
      </c>
      <c r="Q18" s="437"/>
      <c r="R18" s="410"/>
      <c r="S18" s="416"/>
      <c r="T18" s="270">
        <v>6</v>
      </c>
      <c r="U18" s="271"/>
      <c r="V18" s="272" t="str">
        <f t="shared" si="0"/>
        <v/>
      </c>
      <c r="W18" s="273"/>
      <c r="X18" s="273"/>
      <c r="Y18" s="274" t="str">
        <f t="shared" si="1"/>
        <v/>
      </c>
      <c r="Z18" s="273"/>
      <c r="AA18" s="273"/>
      <c r="AB18" s="273"/>
      <c r="AC18" s="275" t="str">
        <f>IFERROR(IF(AND(V17="Probabilidad",V18="Probabilidad"),(AE17-(+AE17*Y18)),IF(AND(V17="Impacto",V18="Probabilidad"),(AE16-(+AE16*Y18)),IF(V18="Impacto",AE17,""))),"")</f>
        <v/>
      </c>
      <c r="AD18" s="276" t="str">
        <f t="shared" si="4"/>
        <v/>
      </c>
      <c r="AE18" s="274" t="str">
        <f t="shared" si="2"/>
        <v/>
      </c>
      <c r="AF18" s="276" t="str">
        <f t="shared" si="5"/>
        <v/>
      </c>
      <c r="AG18" s="274" t="str">
        <f>IFERROR(IF(AND(V17="Impacto",V18="Impacto"),(AG17-(+AG17*Y18)),IF(AND(V17="Probabilidad",V18="Impacto"),(AG16-(+AG16*Y18)),IF(V18="Probabilidad",AG17,""))),"")</f>
        <v/>
      </c>
      <c r="AH18" s="277" t="str">
        <f t="shared" si="3"/>
        <v/>
      </c>
      <c r="AI18" s="278"/>
      <c r="AJ18" s="279"/>
      <c r="AK18" s="280"/>
      <c r="AL18" s="280"/>
      <c r="AM18" s="281"/>
      <c r="AN18" s="430"/>
      <c r="AO18" s="422"/>
      <c r="AP18" s="433"/>
    </row>
    <row r="19" spans="1:42" ht="210" x14ac:dyDescent="0.2">
      <c r="A19" s="441">
        <v>2</v>
      </c>
      <c r="B19" s="444" t="s">
        <v>161</v>
      </c>
      <c r="C19" s="447" t="s">
        <v>419</v>
      </c>
      <c r="D19" s="448" t="s">
        <v>417</v>
      </c>
      <c r="E19" s="420" t="s">
        <v>430</v>
      </c>
      <c r="F19" s="420" t="s">
        <v>181</v>
      </c>
      <c r="G19" s="420" t="s">
        <v>182</v>
      </c>
      <c r="H19" s="420"/>
      <c r="I19" s="420"/>
      <c r="J19" s="420"/>
      <c r="K19" s="420"/>
      <c r="L19" s="455">
        <v>50</v>
      </c>
      <c r="M19" s="411" t="str">
        <f>IF(L19&lt;=0,"",IF(L19&lt;=2,"Muy Baja",IF(L19&lt;=24,"Baja",IF(L19&lt;=500,"Media",IF(L19&lt;=5000,"Alta","Muy Alta")))))</f>
        <v>Media</v>
      </c>
      <c r="N19" s="406">
        <f>IF(M19="","",IF(M19="Muy Baja",0.2,IF(M19="Baja",0.4,IF(M19="Media",0.6,IF(M19="Alta",0.8,IF(M19="Muy Alta",1,))))))</f>
        <v>0.6</v>
      </c>
      <c r="O19" s="434" t="s">
        <v>164</v>
      </c>
      <c r="P19" s="408" t="str">
        <f ca="1">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411" t="str">
        <f ca="1">IF(OR(P19='Tabla Impacto'!$C$12,P19='Tabla Impacto'!$D$12),"Leve",IF(OR(P19='Tabla Impacto'!$C$13,P19='Tabla Impacto'!$D$13),"Menor",IF(OR(P19='Tabla Impacto'!$C$14,P19='Tabla Impacto'!$D$14),"Moderado",IF(OR(P19='Tabla Impacto'!$C$15,P19='Tabla Impacto'!$D$15),"Mayor",IF(OR(P19='Tabla Impacto'!$C$16,P19='Tabla Impacto'!$D$16),"Catastrófico","")))))</f>
        <v>Menor</v>
      </c>
      <c r="R19" s="408">
        <f ca="1">IF(Q19="","",IF(Q19="Leve",0.2,IF(Q19="Menor",0.4,IF(Q19="Moderado",0.6,IF(Q19="Mayor",0.8,IF(Q19="Catastrófico",1,))))))</f>
        <v>0.4</v>
      </c>
      <c r="S19" s="414" t="str">
        <f ca="1">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8">
        <v>1</v>
      </c>
      <c r="U19" s="259" t="s">
        <v>450</v>
      </c>
      <c r="V19" s="260" t="str">
        <f t="shared" si="0"/>
        <v>Impacto</v>
      </c>
      <c r="W19" s="261" t="s">
        <v>183</v>
      </c>
      <c r="X19" s="261" t="s">
        <v>166</v>
      </c>
      <c r="Y19" s="262" t="str">
        <f t="shared" si="1"/>
        <v>25%</v>
      </c>
      <c r="Z19" s="261" t="s">
        <v>167</v>
      </c>
      <c r="AA19" s="261" t="s">
        <v>168</v>
      </c>
      <c r="AB19" s="261" t="s">
        <v>169</v>
      </c>
      <c r="AC19" s="263">
        <f>IFERROR(IF(V19="Probabilidad",(N19-(+N19*Y19)),IF(V19="Impacto",N19,"")),"")</f>
        <v>0.6</v>
      </c>
      <c r="AD19" s="264" t="str">
        <f>IFERROR(IF(AC19="","",IF(AC19&lt;=0.2,"Muy Baja",IF(AC19&lt;=0.4,"Baja",IF(AC19&lt;=0.6,"Media",IF(AC19&lt;=0.8,"Alta","Muy Alta"))))),"")</f>
        <v>Media</v>
      </c>
      <c r="AE19" s="262">
        <f t="shared" si="2"/>
        <v>0.6</v>
      </c>
      <c r="AF19" s="264" t="str">
        <f ca="1">IFERROR(IF(AG19="","",IF(AG19&lt;=0.2,"Leve",IF(AG19&lt;=0.4,"Menor",IF(AG19&lt;=0.6,"Moderado",IF(AG19&lt;=0.8,"Mayor","Catastrófico"))))),"")</f>
        <v>Menor</v>
      </c>
      <c r="AG19" s="262">
        <f ca="1">IFERROR(IF(V19="Impacto",(R19-(+R19*Y19)),IF(V19="Probabilidad",R19,"")),"")</f>
        <v>0.30000000000000004</v>
      </c>
      <c r="AH19" s="265" t="str">
        <f t="shared" ca="1" si="3"/>
        <v>Moderado</v>
      </c>
      <c r="AI19" s="266" t="s">
        <v>170</v>
      </c>
      <c r="AJ19" s="200" t="s">
        <v>184</v>
      </c>
      <c r="AK19" s="200" t="s">
        <v>171</v>
      </c>
      <c r="AL19" s="200" t="s">
        <v>185</v>
      </c>
      <c r="AM19" s="268">
        <v>44926</v>
      </c>
      <c r="AN19" s="417" t="s">
        <v>173</v>
      </c>
      <c r="AO19" s="417" t="s">
        <v>174</v>
      </c>
      <c r="AP19" s="424" t="s">
        <v>175</v>
      </c>
    </row>
    <row r="20" spans="1:42" ht="142.5" customHeight="1" x14ac:dyDescent="0.2">
      <c r="A20" s="442"/>
      <c r="B20" s="445"/>
      <c r="C20" s="421"/>
      <c r="D20" s="421"/>
      <c r="E20" s="421"/>
      <c r="F20" s="421"/>
      <c r="G20" s="421"/>
      <c r="H20" s="421"/>
      <c r="I20" s="421"/>
      <c r="J20" s="421"/>
      <c r="K20" s="421"/>
      <c r="L20" s="456"/>
      <c r="M20" s="412"/>
      <c r="N20" s="377"/>
      <c r="O20" s="435"/>
      <c r="P20" s="409">
        <f ca="1">IF(NOT(ISERROR(MATCH(O20,_xlfn.ANCHORARRAY(E31),0))),N33&amp;"Por favor no seleccionar los criterios de impacto",O20)</f>
        <v>0</v>
      </c>
      <c r="Q20" s="412"/>
      <c r="R20" s="409"/>
      <c r="S20" s="415"/>
      <c r="T20" s="237">
        <v>2</v>
      </c>
      <c r="U20" s="213" t="s">
        <v>186</v>
      </c>
      <c r="V20" s="203" t="str">
        <f t="shared" si="0"/>
        <v>Probabilidad</v>
      </c>
      <c r="W20" s="204" t="s">
        <v>165</v>
      </c>
      <c r="X20" s="204" t="s">
        <v>166</v>
      </c>
      <c r="Y20" s="205" t="str">
        <f t="shared" si="1"/>
        <v>40%</v>
      </c>
      <c r="Z20" s="204" t="s">
        <v>167</v>
      </c>
      <c r="AA20" s="204" t="s">
        <v>168</v>
      </c>
      <c r="AB20" s="204" t="s">
        <v>169</v>
      </c>
      <c r="AC20" s="206">
        <f>IFERROR(IF(AND(V19="Probabilidad",V20="Probabilidad"),(AE19-(+AE19*Y20)),IF(V20="Probabilidad",(N19-(+N19*Y20)),IF(V20="Impacto",AE19,""))),"")</f>
        <v>0.36</v>
      </c>
      <c r="AD20" s="207" t="str">
        <f t="shared" si="4"/>
        <v>Baja</v>
      </c>
      <c r="AE20" s="205">
        <f t="shared" si="2"/>
        <v>0.36</v>
      </c>
      <c r="AF20" s="207" t="str">
        <f t="shared" ca="1" si="5"/>
        <v>Menor</v>
      </c>
      <c r="AG20" s="205">
        <f ca="1">IFERROR(IF(AND(V19="Impacto",V20="Impacto"),(AG13-(+AG13*Y20)),IF(V20="Impacto",($R$19-(+$R$19*Y20)),IF(V20="Probabilidad",AG13,""))),"")</f>
        <v>0.4</v>
      </c>
      <c r="AH20" s="208" t="str">
        <f t="shared" ca="1" si="3"/>
        <v>Moderado</v>
      </c>
      <c r="AI20" s="209" t="s">
        <v>170</v>
      </c>
      <c r="AJ20" s="200" t="s">
        <v>187</v>
      </c>
      <c r="AK20" s="200" t="s">
        <v>171</v>
      </c>
      <c r="AL20" s="200" t="s">
        <v>188</v>
      </c>
      <c r="AM20" s="211">
        <v>44926</v>
      </c>
      <c r="AN20" s="386"/>
      <c r="AO20" s="386"/>
      <c r="AP20" s="425"/>
    </row>
    <row r="21" spans="1:42" ht="4.5" customHeight="1" x14ac:dyDescent="0.2">
      <c r="A21" s="442"/>
      <c r="B21" s="445"/>
      <c r="C21" s="421"/>
      <c r="D21" s="421"/>
      <c r="E21" s="421"/>
      <c r="F21" s="421"/>
      <c r="G21" s="421"/>
      <c r="H21" s="421"/>
      <c r="I21" s="421"/>
      <c r="J21" s="421"/>
      <c r="K21" s="421"/>
      <c r="L21" s="456"/>
      <c r="M21" s="412"/>
      <c r="N21" s="409"/>
      <c r="O21" s="435"/>
      <c r="P21" s="409">
        <f ca="1">IF(NOT(ISERROR(MATCH(O21,_xlfn.ANCHORARRAY(E32),0))),N34&amp;"Por favor no seleccionar los criterios de impacto",O21)</f>
        <v>0</v>
      </c>
      <c r="Q21" s="412"/>
      <c r="R21" s="409"/>
      <c r="S21" s="415"/>
      <c r="T21" s="237">
        <v>3</v>
      </c>
      <c r="U21" s="202"/>
      <c r="V21" s="203" t="str">
        <f t="shared" si="0"/>
        <v/>
      </c>
      <c r="W21" s="204"/>
      <c r="X21" s="204"/>
      <c r="Y21" s="205" t="str">
        <f t="shared" si="1"/>
        <v/>
      </c>
      <c r="Z21" s="204"/>
      <c r="AA21" s="204"/>
      <c r="AB21" s="204"/>
      <c r="AC21" s="206" t="str">
        <f>IFERROR(IF(AND(V20="Probabilidad",V21="Probabilidad"),(AE20-(+AE20*Y21)),IF(AND(V20="Impacto",V21="Probabilidad"),(AE19-(+AE19*Y21)),IF(V21="Impacto",AE20,""))),"")</f>
        <v/>
      </c>
      <c r="AD21" s="207" t="str">
        <f t="shared" si="4"/>
        <v/>
      </c>
      <c r="AE21" s="205" t="str">
        <f t="shared" si="2"/>
        <v/>
      </c>
      <c r="AF21" s="207" t="str">
        <f t="shared" si="5"/>
        <v/>
      </c>
      <c r="AG21" s="205" t="str">
        <f>IFERROR(IF(AND(V20="Impacto",V21="Impacto"),(AG20-(+AG20*Y21)),IF(AND(V20="Probabilidad",V21="Impacto"),(AG19-(+AG19*Y21)),IF(V21="Probabilidad",AG20,""))),"")</f>
        <v/>
      </c>
      <c r="AH21" s="208" t="str">
        <f t="shared" si="3"/>
        <v/>
      </c>
      <c r="AI21" s="209"/>
      <c r="AJ21" s="200"/>
      <c r="AK21" s="210"/>
      <c r="AL21" s="210"/>
      <c r="AM21" s="211"/>
      <c r="AN21" s="245"/>
      <c r="AO21" s="246"/>
      <c r="AP21" s="269"/>
    </row>
    <row r="22" spans="1:42" ht="6.75" customHeight="1" x14ac:dyDescent="0.2">
      <c r="A22" s="442"/>
      <c r="B22" s="445"/>
      <c r="C22" s="421"/>
      <c r="D22" s="421"/>
      <c r="E22" s="421"/>
      <c r="F22" s="421"/>
      <c r="G22" s="421"/>
      <c r="H22" s="421"/>
      <c r="I22" s="421"/>
      <c r="J22" s="421"/>
      <c r="K22" s="421"/>
      <c r="L22" s="456"/>
      <c r="M22" s="412"/>
      <c r="N22" s="409"/>
      <c r="O22" s="435"/>
      <c r="P22" s="409">
        <f ca="1">IF(NOT(ISERROR(MATCH(O22,_xlfn.ANCHORARRAY(E33),0))),N35&amp;"Por favor no seleccionar los criterios de impacto",O22)</f>
        <v>0</v>
      </c>
      <c r="Q22" s="412"/>
      <c r="R22" s="409"/>
      <c r="S22" s="415"/>
      <c r="T22" s="237">
        <v>4</v>
      </c>
      <c r="U22" s="201"/>
      <c r="V22" s="203" t="str">
        <f t="shared" si="0"/>
        <v/>
      </c>
      <c r="W22" s="204"/>
      <c r="X22" s="204"/>
      <c r="Y22" s="205" t="str">
        <f t="shared" si="1"/>
        <v/>
      </c>
      <c r="Z22" s="204"/>
      <c r="AA22" s="204"/>
      <c r="AB22" s="204"/>
      <c r="AC22" s="206" t="str">
        <f>IFERROR(IF(AND(V21="Probabilidad",V22="Probabilidad"),(AE21-(+AE21*Y22)),IF(AND(V21="Impacto",V22="Probabilidad"),(AE20-(+AE20*Y22)),IF(V22="Impacto",AE21,""))),"")</f>
        <v/>
      </c>
      <c r="AD22" s="207" t="str">
        <f t="shared" si="4"/>
        <v/>
      </c>
      <c r="AE22" s="205" t="str">
        <f t="shared" si="2"/>
        <v/>
      </c>
      <c r="AF22" s="207" t="str">
        <f t="shared" si="5"/>
        <v/>
      </c>
      <c r="AG22" s="205" t="str">
        <f>IFERROR(IF(AND(V21="Impacto",V22="Impacto"),(AG21-(+AG21*Y22)),IF(AND(V21="Probabilidad",V22="Impacto"),(AG20-(+AG20*Y22)),IF(V22="Probabilidad",AG21,""))),"")</f>
        <v/>
      </c>
      <c r="AH22" s="208" t="str">
        <f t="shared" si="3"/>
        <v/>
      </c>
      <c r="AI22" s="209"/>
      <c r="AJ22" s="200"/>
      <c r="AK22" s="210"/>
      <c r="AL22" s="210"/>
      <c r="AM22" s="211"/>
      <c r="AN22" s="245"/>
      <c r="AO22" s="246"/>
      <c r="AP22" s="269"/>
    </row>
    <row r="23" spans="1:42" ht="3.75" customHeight="1" x14ac:dyDescent="0.2">
      <c r="A23" s="442"/>
      <c r="B23" s="445"/>
      <c r="C23" s="421"/>
      <c r="D23" s="421"/>
      <c r="E23" s="421"/>
      <c r="F23" s="421"/>
      <c r="G23" s="421"/>
      <c r="H23" s="421"/>
      <c r="I23" s="421"/>
      <c r="J23" s="421"/>
      <c r="K23" s="421"/>
      <c r="L23" s="456"/>
      <c r="M23" s="412"/>
      <c r="N23" s="409"/>
      <c r="O23" s="435"/>
      <c r="P23" s="409">
        <f ca="1">IF(NOT(ISERROR(MATCH(O23,_xlfn.ANCHORARRAY(E34),0))),N36&amp;"Por favor no seleccionar los criterios de impacto",O23)</f>
        <v>0</v>
      </c>
      <c r="Q23" s="412"/>
      <c r="R23" s="409"/>
      <c r="S23" s="415"/>
      <c r="T23" s="237">
        <v>5</v>
      </c>
      <c r="U23" s="201"/>
      <c r="V23" s="203" t="str">
        <f t="shared" si="0"/>
        <v/>
      </c>
      <c r="W23" s="204"/>
      <c r="X23" s="204"/>
      <c r="Y23" s="205" t="str">
        <f t="shared" si="1"/>
        <v/>
      </c>
      <c r="Z23" s="204"/>
      <c r="AA23" s="204"/>
      <c r="AB23" s="204"/>
      <c r="AC23" s="206" t="str">
        <f>IFERROR(IF(AND(V22="Probabilidad",V23="Probabilidad"),(AE22-(+AE22*Y23)),IF(AND(V22="Impacto",V23="Probabilidad"),(AE21-(+AE21*Y23)),IF(V23="Impacto",AE22,""))),"")</f>
        <v/>
      </c>
      <c r="AD23" s="207" t="str">
        <f t="shared" si="4"/>
        <v/>
      </c>
      <c r="AE23" s="205" t="str">
        <f t="shared" si="2"/>
        <v/>
      </c>
      <c r="AF23" s="207" t="str">
        <f t="shared" si="5"/>
        <v/>
      </c>
      <c r="AG23" s="205" t="str">
        <f>IFERROR(IF(AND(V22="Impacto",V23="Impacto"),(AG22-(+AG22*Y23)),IF(AND(V22="Probabilidad",V23="Impacto"),(AG21-(+AG21*Y23)),IF(V23="Probabilidad",AG22,""))),"")</f>
        <v/>
      </c>
      <c r="AH23" s="208" t="str">
        <f t="shared" si="3"/>
        <v/>
      </c>
      <c r="AI23" s="209"/>
      <c r="AJ23" s="200"/>
      <c r="AK23" s="210"/>
      <c r="AL23" s="210"/>
      <c r="AM23" s="211"/>
      <c r="AN23" s="245"/>
      <c r="AO23" s="246"/>
      <c r="AP23" s="269"/>
    </row>
    <row r="24" spans="1:42" ht="4.5" customHeight="1" thickBot="1" x14ac:dyDescent="0.25">
      <c r="A24" s="443"/>
      <c r="B24" s="446"/>
      <c r="C24" s="422"/>
      <c r="D24" s="422"/>
      <c r="E24" s="422"/>
      <c r="F24" s="422"/>
      <c r="G24" s="422"/>
      <c r="H24" s="422"/>
      <c r="I24" s="422"/>
      <c r="J24" s="422"/>
      <c r="K24" s="422"/>
      <c r="L24" s="457"/>
      <c r="M24" s="413"/>
      <c r="N24" s="410"/>
      <c r="O24" s="436"/>
      <c r="P24" s="410">
        <f ca="1">IF(NOT(ISERROR(MATCH(O24,_xlfn.ANCHORARRAY(E35),0))),N37&amp;"Por favor no seleccionar los criterios de impacto",O24)</f>
        <v>0</v>
      </c>
      <c r="Q24" s="413"/>
      <c r="R24" s="410"/>
      <c r="S24" s="416"/>
      <c r="T24" s="270">
        <v>6</v>
      </c>
      <c r="U24" s="271"/>
      <c r="V24" s="272" t="str">
        <f t="shared" si="0"/>
        <v/>
      </c>
      <c r="W24" s="273"/>
      <c r="X24" s="273"/>
      <c r="Y24" s="274" t="str">
        <f t="shared" si="1"/>
        <v/>
      </c>
      <c r="Z24" s="273"/>
      <c r="AA24" s="273"/>
      <c r="AB24" s="273"/>
      <c r="AC24" s="275" t="str">
        <f>IFERROR(IF(AND(V23="Probabilidad",V24="Probabilidad"),(AE23-(+AE23*Y24)),IF(AND(V23="Impacto",V24="Probabilidad"),(AE22-(+AE22*Y24)),IF(V24="Impacto",AE23,""))),"")</f>
        <v/>
      </c>
      <c r="AD24" s="276" t="str">
        <f t="shared" si="4"/>
        <v/>
      </c>
      <c r="AE24" s="274" t="str">
        <f t="shared" si="2"/>
        <v/>
      </c>
      <c r="AF24" s="276" t="str">
        <f t="shared" si="5"/>
        <v/>
      </c>
      <c r="AG24" s="274" t="str">
        <f>IFERROR(IF(AND(V23="Impacto",V24="Impacto"),(AG23-(+AG23*Y24)),IF(AND(V23="Probabilidad",V24="Impacto"),(AG22-(+AG22*Y24)),IF(V24="Probabilidad",AG23,""))),"")</f>
        <v/>
      </c>
      <c r="AH24" s="277" t="str">
        <f t="shared" si="3"/>
        <v/>
      </c>
      <c r="AI24" s="278"/>
      <c r="AJ24" s="279"/>
      <c r="AK24" s="280"/>
      <c r="AL24" s="280"/>
      <c r="AM24" s="281"/>
      <c r="AN24" s="282"/>
      <c r="AO24" s="283"/>
      <c r="AP24" s="284"/>
    </row>
    <row r="25" spans="1:42" ht="192" customHeight="1" thickBot="1" x14ac:dyDescent="0.25">
      <c r="A25" s="441">
        <v>3</v>
      </c>
      <c r="B25" s="444" t="s">
        <v>161</v>
      </c>
      <c r="C25" s="518" t="s">
        <v>189</v>
      </c>
      <c r="D25" s="448" t="s">
        <v>418</v>
      </c>
      <c r="E25" s="420" t="s">
        <v>429</v>
      </c>
      <c r="F25" s="420" t="s">
        <v>181</v>
      </c>
      <c r="G25" s="420" t="s">
        <v>182</v>
      </c>
      <c r="H25" s="420"/>
      <c r="I25" s="420"/>
      <c r="J25" s="420"/>
      <c r="K25" s="420"/>
      <c r="L25" s="455">
        <v>50</v>
      </c>
      <c r="M25" s="411" t="str">
        <f>IF(L25&lt;=0,"",IF(L25&lt;=2,"Muy Baja",IF(L25&lt;=24,"Baja",IF(L25&lt;=500,"Media",IF(L25&lt;=5000,"Alta","Muy Alta")))))</f>
        <v>Media</v>
      </c>
      <c r="N25" s="408">
        <f>IF(M25="","",IF(M25="Muy Baja",0.2,IF(M25="Baja",0.4,IF(M25="Media",0.6,IF(M25="Alta",0.8,IF(M25="Muy Alta",1,))))))</f>
        <v>0.6</v>
      </c>
      <c r="O25" s="434" t="s">
        <v>190</v>
      </c>
      <c r="P25" s="408" t="str">
        <f ca="1">IF(NOT(ISERROR(MATCH(O25,'Tabla Impacto'!$B$222:$B$224,0))),'Tabla Impacto'!$F$224&amp;"Por favor no seleccionar los criterios de impacto(Afectación Económica o presupuestal y Pérdida Reputacional)",O25)</f>
        <v xml:space="preserve">     El riesgo afecta la imagen de la entidad con algunos usuarios de relevancia frente al logro de los objetivos</v>
      </c>
      <c r="Q25" s="411" t="str">
        <f ca="1">IF(OR(P25='Tabla Impacto'!$C$12,P25='Tabla Impacto'!$D$12),"Leve",IF(OR(P25='Tabla Impacto'!$C$13,P25='Tabla Impacto'!$D$13),"Menor",IF(OR(P25='Tabla Impacto'!$C$14,P25='Tabla Impacto'!$D$14),"Moderado",IF(OR(P25='Tabla Impacto'!$C$15,P25='Tabla Impacto'!$D$15),"Mayor",IF(OR(P25='Tabla Impacto'!$C$16,P25='Tabla Impacto'!$D$16),"Catastrófico","")))))</f>
        <v>Moderado</v>
      </c>
      <c r="R25" s="408">
        <f ca="1">IF(Q25="","",IF(Q25="Leve",0.2,IF(Q25="Menor",0.4,IF(Q25="Moderado",0.6,IF(Q25="Mayor",0.8,IF(Q25="Catastrófico",1,))))))</f>
        <v>0.6</v>
      </c>
      <c r="S25" s="414" t="str">
        <f ca="1">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58">
        <v>1</v>
      </c>
      <c r="U25" s="259" t="s">
        <v>449</v>
      </c>
      <c r="V25" s="260" t="str">
        <f t="shared" si="0"/>
        <v>Probabilidad</v>
      </c>
      <c r="W25" s="261" t="s">
        <v>165</v>
      </c>
      <c r="X25" s="261" t="s">
        <v>166</v>
      </c>
      <c r="Y25" s="262" t="str">
        <f t="shared" si="1"/>
        <v>40%</v>
      </c>
      <c r="Z25" s="261" t="s">
        <v>167</v>
      </c>
      <c r="AA25" s="261" t="s">
        <v>168</v>
      </c>
      <c r="AB25" s="261" t="s">
        <v>169</v>
      </c>
      <c r="AC25" s="263">
        <f>IFERROR(IF(V25="Probabilidad",(N25-(+N25*Y25)),IF(V25="Impacto",N25,"")),"")</f>
        <v>0.36</v>
      </c>
      <c r="AD25" s="264" t="str">
        <f>IFERROR(IF(AC25="","",IF(AC25&lt;=0.2,"Muy Baja",IF(AC25&lt;=0.4,"Baja",IF(AC25&lt;=0.6,"Media",IF(AC25&lt;=0.8,"Alta","Muy Alta"))))),"")</f>
        <v>Baja</v>
      </c>
      <c r="AE25" s="262">
        <f t="shared" si="2"/>
        <v>0.36</v>
      </c>
      <c r="AF25" s="264" t="str">
        <f ca="1">IFERROR(IF(AG25="","",IF(AG25&lt;=0.2,"Leve",IF(AG25&lt;=0.4,"Menor",IF(AG25&lt;=0.6,"Moderado",IF(AG25&lt;=0.8,"Mayor","Catastrófico"))))),"")</f>
        <v>Moderado</v>
      </c>
      <c r="AG25" s="262">
        <f ca="1">IFERROR(IF(V25="Impacto",(R25-(+R25*Y25)),IF(V25="Probabilidad",R25,"")),"")</f>
        <v>0.6</v>
      </c>
      <c r="AH25" s="265" t="str">
        <f t="shared" ca="1" si="3"/>
        <v>Moderado</v>
      </c>
      <c r="AI25" s="266" t="s">
        <v>170</v>
      </c>
      <c r="AJ25" s="302" t="s">
        <v>445</v>
      </c>
      <c r="AK25" s="200" t="s">
        <v>171</v>
      </c>
      <c r="AL25" s="267" t="s">
        <v>446</v>
      </c>
      <c r="AM25" s="268">
        <v>44926</v>
      </c>
      <c r="AN25" s="426" t="s">
        <v>191</v>
      </c>
      <c r="AO25" s="417" t="s">
        <v>174</v>
      </c>
      <c r="AP25" s="424" t="s">
        <v>192</v>
      </c>
    </row>
    <row r="26" spans="1:42" ht="188.25" customHeight="1" x14ac:dyDescent="0.2">
      <c r="A26" s="442"/>
      <c r="B26" s="445"/>
      <c r="C26" s="519"/>
      <c r="D26" s="521"/>
      <c r="E26" s="421"/>
      <c r="F26" s="421"/>
      <c r="G26" s="421"/>
      <c r="H26" s="421"/>
      <c r="I26" s="421"/>
      <c r="J26" s="421"/>
      <c r="K26" s="421"/>
      <c r="L26" s="456"/>
      <c r="M26" s="412"/>
      <c r="N26" s="409"/>
      <c r="O26" s="435"/>
      <c r="P26" s="409">
        <f ca="1">IF(NOT(ISERROR(MATCH(O26,_xlfn.ANCHORARRAY(E37),0))),N39&amp;"Por favor no seleccionar los criterios de impacto",O26)</f>
        <v>0</v>
      </c>
      <c r="Q26" s="412"/>
      <c r="R26" s="409"/>
      <c r="S26" s="415"/>
      <c r="T26" s="237">
        <v>2</v>
      </c>
      <c r="U26" s="213" t="s">
        <v>431</v>
      </c>
      <c r="V26" s="203" t="str">
        <f t="shared" si="0"/>
        <v>Probabilidad</v>
      </c>
      <c r="W26" s="204" t="s">
        <v>165</v>
      </c>
      <c r="X26" s="204" t="s">
        <v>166</v>
      </c>
      <c r="Y26" s="205" t="str">
        <f t="shared" si="1"/>
        <v>40%</v>
      </c>
      <c r="Z26" s="204" t="s">
        <v>167</v>
      </c>
      <c r="AA26" s="204" t="s">
        <v>168</v>
      </c>
      <c r="AB26" s="204" t="s">
        <v>169</v>
      </c>
      <c r="AC26" s="206">
        <f>IFERROR(IF(AND(V25="Probabilidad",V26="Probabilidad"),(AE25-(+AE25*Y26)),IF(V26="Probabilidad",(N25-(+N25*Y26)),IF(V26="Impacto",AE25,""))),"")</f>
        <v>0.216</v>
      </c>
      <c r="AD26" s="207" t="str">
        <f t="shared" si="4"/>
        <v>Baja</v>
      </c>
      <c r="AE26" s="205">
        <f t="shared" si="2"/>
        <v>0.216</v>
      </c>
      <c r="AF26" s="207" t="str">
        <f t="shared" ca="1" si="5"/>
        <v>Menor</v>
      </c>
      <c r="AG26" s="205">
        <f ca="1">IFERROR(IF(AND(V25="Impacto",V26="Impacto"),(AG19-(+AG19*Y26)),IF(V26="Impacto",($R$25-(+$R$25*Y26)),IF(V26="Probabilidad",AG19,""))),"")</f>
        <v>0.30000000000000004</v>
      </c>
      <c r="AH26" s="208" t="str">
        <f t="shared" ca="1" si="3"/>
        <v>Moderado</v>
      </c>
      <c r="AI26" s="209" t="s">
        <v>170</v>
      </c>
      <c r="AJ26" s="200" t="s">
        <v>193</v>
      </c>
      <c r="AK26" s="200" t="s">
        <v>171</v>
      </c>
      <c r="AL26" s="200" t="s">
        <v>447</v>
      </c>
      <c r="AM26" s="268">
        <v>44926</v>
      </c>
      <c r="AN26" s="426"/>
      <c r="AO26" s="386"/>
      <c r="AP26" s="425"/>
    </row>
    <row r="27" spans="1:42" ht="4.5" customHeight="1" x14ac:dyDescent="0.2">
      <c r="A27" s="442"/>
      <c r="B27" s="445"/>
      <c r="C27" s="519"/>
      <c r="D27" s="521"/>
      <c r="E27" s="421"/>
      <c r="F27" s="421"/>
      <c r="G27" s="421"/>
      <c r="H27" s="421"/>
      <c r="I27" s="421"/>
      <c r="J27" s="421"/>
      <c r="K27" s="421"/>
      <c r="L27" s="456"/>
      <c r="M27" s="412"/>
      <c r="N27" s="409"/>
      <c r="O27" s="435"/>
      <c r="P27" s="409">
        <f ca="1">IF(NOT(ISERROR(MATCH(O27,_xlfn.ANCHORARRAY(E38),0))),N40&amp;"Por favor no seleccionar los criterios de impacto",O27)</f>
        <v>0</v>
      </c>
      <c r="Q27" s="412"/>
      <c r="R27" s="409"/>
      <c r="S27" s="415"/>
      <c r="T27" s="237">
        <v>3</v>
      </c>
      <c r="U27" s="201"/>
      <c r="V27" s="203" t="str">
        <f t="shared" si="0"/>
        <v/>
      </c>
      <c r="W27" s="204"/>
      <c r="X27" s="204"/>
      <c r="Y27" s="205" t="str">
        <f t="shared" si="1"/>
        <v/>
      </c>
      <c r="Z27" s="204"/>
      <c r="AA27" s="204"/>
      <c r="AB27" s="204"/>
      <c r="AC27" s="206" t="str">
        <f>IFERROR(IF(AND(V26="Probabilidad",V27="Probabilidad"),(AE26-(+AE26*Y27)),IF(AND(V26="Impacto",V27="Probabilidad"),(AE25-(+AE25*Y27)),IF(V27="Impacto",AE26,""))),"")</f>
        <v/>
      </c>
      <c r="AD27" s="207" t="str">
        <f t="shared" si="4"/>
        <v/>
      </c>
      <c r="AE27" s="205" t="str">
        <f t="shared" si="2"/>
        <v/>
      </c>
      <c r="AF27" s="207" t="str">
        <f t="shared" si="5"/>
        <v/>
      </c>
      <c r="AG27" s="205" t="str">
        <f>IFERROR(IF(AND(V26="Impacto",V27="Impacto"),(AG26-(+AG26*Y27)),IF(AND(V26="Probabilidad",V27="Impacto"),(AG25-(+AG25*Y27)),IF(V27="Probabilidad",AG26,""))),"")</f>
        <v/>
      </c>
      <c r="AH27" s="208" t="str">
        <f t="shared" si="3"/>
        <v/>
      </c>
      <c r="AI27" s="209"/>
      <c r="AJ27" s="200"/>
      <c r="AK27" s="210"/>
      <c r="AL27" s="210"/>
      <c r="AP27" s="246"/>
    </row>
    <row r="28" spans="1:42" ht="5.25" customHeight="1" x14ac:dyDescent="0.2">
      <c r="A28" s="442"/>
      <c r="B28" s="445"/>
      <c r="C28" s="519"/>
      <c r="D28" s="521"/>
      <c r="E28" s="421"/>
      <c r="F28" s="421"/>
      <c r="G28" s="421"/>
      <c r="H28" s="421"/>
      <c r="I28" s="421"/>
      <c r="J28" s="421"/>
      <c r="K28" s="421"/>
      <c r="L28" s="456"/>
      <c r="M28" s="412"/>
      <c r="N28" s="409"/>
      <c r="O28" s="435"/>
      <c r="P28" s="409">
        <f ca="1">IF(NOT(ISERROR(MATCH(O28,_xlfn.ANCHORARRAY(E39),0))),N41&amp;"Por favor no seleccionar los criterios de impacto",O28)</f>
        <v>0</v>
      </c>
      <c r="Q28" s="412"/>
      <c r="R28" s="409"/>
      <c r="S28" s="415"/>
      <c r="T28" s="237">
        <v>4</v>
      </c>
      <c r="U28" s="201"/>
      <c r="V28" s="203" t="str">
        <f t="shared" si="0"/>
        <v/>
      </c>
      <c r="W28" s="204"/>
      <c r="X28" s="204"/>
      <c r="Y28" s="205" t="str">
        <f t="shared" si="1"/>
        <v/>
      </c>
      <c r="Z28" s="204"/>
      <c r="AA28" s="204"/>
      <c r="AB28" s="204"/>
      <c r="AC28" s="206" t="str">
        <f>IFERROR(IF(AND(V27="Probabilidad",V28="Probabilidad"),(AE27-(+AE27*Y28)),IF(AND(V27="Impacto",V28="Probabilidad"),(AE26-(+AE26*Y28)),IF(V28="Impacto",AE27,""))),"")</f>
        <v/>
      </c>
      <c r="AD28" s="207" t="str">
        <f t="shared" si="4"/>
        <v/>
      </c>
      <c r="AE28" s="205" t="str">
        <f t="shared" si="2"/>
        <v/>
      </c>
      <c r="AF28" s="207" t="str">
        <f t="shared" si="5"/>
        <v/>
      </c>
      <c r="AG28" s="205" t="str">
        <f>IFERROR(IF(AND(V27="Impacto",V28="Impacto"),(AG27-(+AG27*Y28)),IF(AND(V27="Probabilidad",V28="Impacto"),(AG26-(+AG26*Y28)),IF(V28="Probabilidad",AG27,""))),"")</f>
        <v/>
      </c>
      <c r="AH28" s="208" t="str">
        <f t="shared" si="3"/>
        <v/>
      </c>
      <c r="AI28" s="209"/>
      <c r="AJ28" s="200"/>
      <c r="AK28" s="210"/>
      <c r="AL28" s="210"/>
      <c r="AM28" s="211"/>
      <c r="AN28" s="211"/>
      <c r="AO28" s="211"/>
    </row>
    <row r="29" spans="1:42" ht="4.5" customHeight="1" x14ac:dyDescent="0.2">
      <c r="A29" s="442"/>
      <c r="B29" s="445"/>
      <c r="C29" s="519"/>
      <c r="D29" s="521"/>
      <c r="E29" s="421"/>
      <c r="F29" s="421"/>
      <c r="G29" s="421"/>
      <c r="H29" s="421"/>
      <c r="I29" s="421"/>
      <c r="J29" s="421"/>
      <c r="K29" s="421"/>
      <c r="L29" s="456"/>
      <c r="M29" s="412"/>
      <c r="N29" s="409"/>
      <c r="O29" s="435"/>
      <c r="P29" s="409">
        <f ca="1">IF(NOT(ISERROR(MATCH(O29,_xlfn.ANCHORARRAY(E40),0))),N42&amp;"Por favor no seleccionar los criterios de impacto",O29)</f>
        <v>0</v>
      </c>
      <c r="Q29" s="412"/>
      <c r="R29" s="409"/>
      <c r="S29" s="415"/>
      <c r="T29" s="237">
        <v>5</v>
      </c>
      <c r="U29" s="201"/>
      <c r="V29" s="203" t="str">
        <f t="shared" si="0"/>
        <v/>
      </c>
      <c r="W29" s="204"/>
      <c r="X29" s="204"/>
      <c r="Y29" s="205" t="str">
        <f t="shared" si="1"/>
        <v/>
      </c>
      <c r="Z29" s="204"/>
      <c r="AA29" s="204"/>
      <c r="AB29" s="204"/>
      <c r="AC29" s="206" t="str">
        <f>IFERROR(IF(AND(V28="Probabilidad",V29="Probabilidad"),(AE28-(+AE28*Y29)),IF(AND(V28="Impacto",V29="Probabilidad"),(AE27-(+AE27*Y29)),IF(V29="Impacto",AE28,""))),"")</f>
        <v/>
      </c>
      <c r="AD29" s="207" t="str">
        <f t="shared" si="4"/>
        <v/>
      </c>
      <c r="AE29" s="205" t="str">
        <f t="shared" si="2"/>
        <v/>
      </c>
      <c r="AF29" s="207" t="str">
        <f t="shared" si="5"/>
        <v/>
      </c>
      <c r="AG29" s="205" t="str">
        <f>IFERROR(IF(AND(V28="Impacto",V29="Impacto"),(AG28-(+AG28*Y29)),IF(AND(V28="Probabilidad",V29="Impacto"),(AG27-(+AG27*Y29)),IF(V29="Probabilidad",AG28,""))),"")</f>
        <v/>
      </c>
      <c r="AH29" s="208" t="str">
        <f t="shared" si="3"/>
        <v/>
      </c>
      <c r="AI29" s="209"/>
      <c r="AJ29" s="200"/>
      <c r="AK29" s="210"/>
      <c r="AL29" s="210"/>
      <c r="AM29" s="211"/>
      <c r="AN29" s="211"/>
      <c r="AO29" s="211"/>
      <c r="AP29" s="211"/>
    </row>
    <row r="30" spans="1:42" ht="5.25" customHeight="1" thickBot="1" x14ac:dyDescent="0.25">
      <c r="A30" s="443"/>
      <c r="B30" s="446"/>
      <c r="C30" s="520"/>
      <c r="D30" s="522"/>
      <c r="E30" s="422"/>
      <c r="F30" s="422"/>
      <c r="G30" s="422"/>
      <c r="H30" s="422"/>
      <c r="I30" s="422"/>
      <c r="J30" s="422"/>
      <c r="K30" s="422"/>
      <c r="L30" s="457"/>
      <c r="M30" s="413"/>
      <c r="N30" s="410"/>
      <c r="O30" s="436"/>
      <c r="P30" s="410">
        <f ca="1">IF(NOT(ISERROR(MATCH(O30,_xlfn.ANCHORARRAY(E41),0))),N43&amp;"Por favor no seleccionar los criterios de impacto",O30)</f>
        <v>0</v>
      </c>
      <c r="Q30" s="413"/>
      <c r="R30" s="410"/>
      <c r="S30" s="416"/>
      <c r="T30" s="270">
        <v>6</v>
      </c>
      <c r="U30" s="271"/>
      <c r="V30" s="272" t="str">
        <f t="shared" si="0"/>
        <v/>
      </c>
      <c r="W30" s="273"/>
      <c r="X30" s="273"/>
      <c r="Y30" s="274" t="str">
        <f t="shared" si="1"/>
        <v/>
      </c>
      <c r="Z30" s="273"/>
      <c r="AA30" s="273"/>
      <c r="AB30" s="273"/>
      <c r="AC30" s="275" t="str">
        <f>IFERROR(IF(AND(V29="Probabilidad",V30="Probabilidad"),(AE29-(+AE29*Y30)),IF(AND(V29="Impacto",V30="Probabilidad"),(AE28-(+AE28*Y30)),IF(V30="Impacto",AE29,""))),"")</f>
        <v/>
      </c>
      <c r="AD30" s="276" t="str">
        <f t="shared" si="4"/>
        <v/>
      </c>
      <c r="AE30" s="274" t="str">
        <f t="shared" si="2"/>
        <v/>
      </c>
      <c r="AF30" s="276" t="str">
        <f t="shared" si="5"/>
        <v/>
      </c>
      <c r="AG30" s="274" t="str">
        <f>IFERROR(IF(AND(V29="Impacto",V30="Impacto"),(AG29-(+AG29*Y30)),IF(AND(V29="Probabilidad",V30="Impacto"),(AG28-(+AG28*Y30)),IF(V30="Probabilidad",AG29,""))),"")</f>
        <v/>
      </c>
      <c r="AH30" s="277" t="str">
        <f t="shared" si="3"/>
        <v/>
      </c>
      <c r="AI30" s="278"/>
      <c r="AJ30" s="279"/>
      <c r="AK30" s="280"/>
      <c r="AL30" s="280"/>
      <c r="AM30" s="281"/>
      <c r="AN30" s="281"/>
      <c r="AO30" s="281"/>
      <c r="AP30" s="281"/>
    </row>
    <row r="31" spans="1:42" ht="37.5" customHeight="1" x14ac:dyDescent="0.2">
      <c r="A31" s="460">
        <v>4</v>
      </c>
      <c r="B31" s="417"/>
      <c r="C31" s="417"/>
      <c r="D31" s="417"/>
      <c r="E31" s="417"/>
      <c r="F31" s="417"/>
      <c r="G31" s="417"/>
      <c r="H31" s="417"/>
      <c r="I31" s="417"/>
      <c r="J31" s="417"/>
      <c r="K31" s="417"/>
      <c r="L31" s="423"/>
      <c r="M31" s="405" t="str">
        <f>IF(L31&lt;=0,"",IF(L31&lt;=2,"Muy Baja",IF(L31&lt;=24,"Baja",IF(L31&lt;=500,"Media",IF(L31&lt;=5000,"Alta","Muy Alta")))))</f>
        <v/>
      </c>
      <c r="N31" s="406" t="str">
        <f>IF(M31="","",IF(M31="Muy Baja",0.2,IF(M31="Baja",0.4,IF(M31="Media",0.6,IF(M31="Alta",0.8,IF(M31="Muy Alta",1,))))))</f>
        <v/>
      </c>
      <c r="O31" s="404"/>
      <c r="P31" s="287">
        <f ca="1">IF(NOT(ISERROR(MATCH(O31,'Tabla Impacto'!$B$222:$B$224,0))),'Tabla Impacto'!$F$224&amp;"Por favor no seleccionar los criterios de impacto(Afectación Económica o presupuestal y Pérdida Reputacional)",O31)</f>
        <v>0</v>
      </c>
      <c r="Q31" s="405" t="str">
        <f ca="1">IF(OR(P31='Tabla Impacto'!$C$12,P31='Tabla Impacto'!$D$12),"Leve",IF(OR(P31='Tabla Impacto'!$C$13,P31='Tabla Impacto'!$D$13),"Menor",IF(OR(P31='Tabla Impacto'!$C$14,P31='Tabla Impacto'!$D$14),"Moderado",IF(OR(P31='Tabla Impacto'!$C$15,P31='Tabla Impacto'!$D$15),"Mayor",IF(OR(P31='Tabla Impacto'!$C$16,P31='Tabla Impacto'!$D$16),"Catastrófico","")))))</f>
        <v/>
      </c>
      <c r="R31" s="406" t="str">
        <f ca="1">IF(Q31="","",IF(Q31="Leve",0.2,IF(Q31="Menor",0.4,IF(Q31="Moderado",0.6,IF(Q31="Mayor",0.8,IF(Q31="Catastrófico",1,))))))</f>
        <v/>
      </c>
      <c r="S31" s="407" t="str">
        <f ca="1">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7">
        <v>1</v>
      </c>
      <c r="U31" s="248"/>
      <c r="V31" s="249" t="str">
        <f t="shared" si="0"/>
        <v/>
      </c>
      <c r="W31" s="250"/>
      <c r="X31" s="250"/>
      <c r="Y31" s="251" t="str">
        <f t="shared" si="1"/>
        <v/>
      </c>
      <c r="Z31" s="250"/>
      <c r="AA31" s="250"/>
      <c r="AB31" s="250"/>
      <c r="AC31" s="252" t="str">
        <f>IFERROR(IF(V31="Probabilidad",(N31-(+N31*Y31)),IF(V31="Impacto",N31,"")),"")</f>
        <v/>
      </c>
      <c r="AD31" s="253" t="str">
        <f>IFERROR(IF(AC31="","",IF(AC31&lt;=0.2,"Muy Baja",IF(AC31&lt;=0.4,"Baja",IF(AC31&lt;=0.6,"Media",IF(AC31&lt;=0.8,"Alta","Muy Alta"))))),"")</f>
        <v/>
      </c>
      <c r="AE31" s="251" t="str">
        <f t="shared" si="2"/>
        <v/>
      </c>
      <c r="AF31" s="253" t="str">
        <f>IFERROR(IF(AG31="","",IF(AG31&lt;=0.2,"Leve",IF(AG31&lt;=0.4,"Menor",IF(AG31&lt;=0.6,"Moderado",IF(AG31&lt;=0.8,"Mayor","Catastrófico"))))),"")</f>
        <v/>
      </c>
      <c r="AG31" s="251" t="str">
        <f>IFERROR(IF(V31="Impacto",(R31-(+R31*Y31)),IF(V31="Probabilidad",R31,"")),"")</f>
        <v/>
      </c>
      <c r="AH31" s="254" t="str">
        <f t="shared" si="3"/>
        <v/>
      </c>
      <c r="AI31" s="255"/>
      <c r="AJ31" s="244"/>
      <c r="AK31" s="256"/>
      <c r="AL31" s="256"/>
      <c r="AM31" s="257"/>
      <c r="AN31" s="423"/>
      <c r="AO31" s="423"/>
      <c r="AP31" s="423"/>
    </row>
    <row r="32" spans="1:42" ht="37.5" customHeight="1" x14ac:dyDescent="0.2">
      <c r="A32" s="388"/>
      <c r="B32" s="385"/>
      <c r="C32" s="385"/>
      <c r="D32" s="385"/>
      <c r="E32" s="385"/>
      <c r="F32" s="385"/>
      <c r="G32" s="385"/>
      <c r="H32" s="385"/>
      <c r="I32" s="385"/>
      <c r="J32" s="385"/>
      <c r="K32" s="385"/>
      <c r="L32" s="397"/>
      <c r="M32" s="379"/>
      <c r="N32" s="376"/>
      <c r="O32" s="382"/>
      <c r="P32" s="288">
        <f ca="1">IF(NOT(ISERROR(MATCH(O32,_xlfn.ANCHORARRAY(E43),0))),N45&amp;"Por favor no seleccionar los criterios de impacto",O32)</f>
        <v>0</v>
      </c>
      <c r="Q32" s="379"/>
      <c r="R32" s="376"/>
      <c r="S32" s="373"/>
      <c r="T32" s="237">
        <v>2</v>
      </c>
      <c r="U32" s="201"/>
      <c r="V32" s="203" t="str">
        <f t="shared" si="0"/>
        <v/>
      </c>
      <c r="W32" s="204"/>
      <c r="X32" s="204"/>
      <c r="Y32" s="205" t="str">
        <f t="shared" si="1"/>
        <v/>
      </c>
      <c r="Z32" s="204"/>
      <c r="AA32" s="204"/>
      <c r="AB32" s="204"/>
      <c r="AC32" s="206" t="str">
        <f>IFERROR(IF(AND(V31="Probabilidad",V32="Probabilidad"),(AE31-(+AE31*Y32)),IF(V32="Probabilidad",(N31-(+N31*Y32)),IF(V32="Impacto",AE31,""))),"")</f>
        <v/>
      </c>
      <c r="AD32" s="207" t="str">
        <f t="shared" si="4"/>
        <v/>
      </c>
      <c r="AE32" s="205" t="str">
        <f t="shared" si="2"/>
        <v/>
      </c>
      <c r="AF32" s="207" t="str">
        <f t="shared" si="5"/>
        <v/>
      </c>
      <c r="AG32" s="205" t="str">
        <f>IFERROR(IF(AND(V31="Impacto",V32="Impacto"),(AG25-(+AG25*Y32)),IF(V32="Impacto",($R$31-(+$R$31*Y32)),IF(V32="Probabilidad",AG25,""))),"")</f>
        <v/>
      </c>
      <c r="AH32" s="208" t="str">
        <f t="shared" si="3"/>
        <v/>
      </c>
      <c r="AI32" s="209"/>
      <c r="AJ32" s="200"/>
      <c r="AK32" s="210"/>
      <c r="AL32" s="210"/>
      <c r="AM32" s="200"/>
      <c r="AN32" s="397"/>
      <c r="AO32" s="397"/>
      <c r="AP32" s="397"/>
    </row>
    <row r="33" spans="1:42" ht="37.5" customHeight="1" x14ac:dyDescent="0.2">
      <c r="A33" s="388"/>
      <c r="B33" s="385"/>
      <c r="C33" s="385"/>
      <c r="D33" s="385"/>
      <c r="E33" s="385"/>
      <c r="F33" s="385"/>
      <c r="G33" s="385"/>
      <c r="H33" s="385"/>
      <c r="I33" s="385"/>
      <c r="J33" s="385"/>
      <c r="K33" s="385"/>
      <c r="L33" s="397"/>
      <c r="M33" s="379"/>
      <c r="N33" s="376"/>
      <c r="O33" s="382"/>
      <c r="P33" s="288">
        <f ca="1">IF(NOT(ISERROR(MATCH(O33,_xlfn.ANCHORARRAY(E44),0))),N46&amp;"Por favor no seleccionar los criterios de impacto",O33)</f>
        <v>0</v>
      </c>
      <c r="Q33" s="379"/>
      <c r="R33" s="376"/>
      <c r="S33" s="373"/>
      <c r="T33" s="237">
        <v>3</v>
      </c>
      <c r="U33" s="202"/>
      <c r="V33" s="203" t="str">
        <f t="shared" si="0"/>
        <v/>
      </c>
      <c r="W33" s="204"/>
      <c r="X33" s="204"/>
      <c r="Y33" s="205" t="str">
        <f t="shared" si="1"/>
        <v/>
      </c>
      <c r="Z33" s="204"/>
      <c r="AA33" s="204"/>
      <c r="AB33" s="204"/>
      <c r="AC33" s="206" t="str">
        <f>IFERROR(IF(AND(V32="Probabilidad",V33="Probabilidad"),(AE32-(+AE32*Y33)),IF(AND(V32="Impacto",V33="Probabilidad"),(AE31-(+AE31*Y33)),IF(V33="Impacto",AE32,""))),"")</f>
        <v/>
      </c>
      <c r="AD33" s="207" t="str">
        <f t="shared" si="4"/>
        <v/>
      </c>
      <c r="AE33" s="205" t="str">
        <f t="shared" si="2"/>
        <v/>
      </c>
      <c r="AF33" s="207" t="str">
        <f t="shared" si="5"/>
        <v/>
      </c>
      <c r="AG33" s="205" t="str">
        <f>IFERROR(IF(AND(V32="Impacto",V33="Impacto"),(AG32-(+AG32*Y33)),IF(AND(V32="Probabilidad",V33="Impacto"),(AG31-(+AG31*Y33)),IF(V33="Probabilidad",AG32,""))),"")</f>
        <v/>
      </c>
      <c r="AH33" s="208" t="str">
        <f t="shared" si="3"/>
        <v/>
      </c>
      <c r="AI33" s="209"/>
      <c r="AJ33" s="200"/>
      <c r="AK33" s="210"/>
      <c r="AL33" s="210"/>
      <c r="AM33" s="211"/>
      <c r="AN33" s="397"/>
      <c r="AO33" s="397"/>
      <c r="AP33" s="397"/>
    </row>
    <row r="34" spans="1:42" ht="37.5" customHeight="1" x14ac:dyDescent="0.2">
      <c r="A34" s="388"/>
      <c r="B34" s="385"/>
      <c r="C34" s="385"/>
      <c r="D34" s="385"/>
      <c r="E34" s="385"/>
      <c r="F34" s="385"/>
      <c r="G34" s="385"/>
      <c r="H34" s="385"/>
      <c r="I34" s="385"/>
      <c r="J34" s="385"/>
      <c r="K34" s="385"/>
      <c r="L34" s="397"/>
      <c r="M34" s="379"/>
      <c r="N34" s="376"/>
      <c r="O34" s="382"/>
      <c r="P34" s="288">
        <f ca="1">IF(NOT(ISERROR(MATCH(O34,_xlfn.ANCHORARRAY(E45),0))),N47&amp;"Por favor no seleccionar los criterios de impacto",O34)</f>
        <v>0</v>
      </c>
      <c r="Q34" s="379"/>
      <c r="R34" s="376"/>
      <c r="S34" s="373"/>
      <c r="T34" s="237">
        <v>4</v>
      </c>
      <c r="U34" s="201"/>
      <c r="V34" s="203" t="str">
        <f t="shared" si="0"/>
        <v/>
      </c>
      <c r="W34" s="204"/>
      <c r="X34" s="204"/>
      <c r="Y34" s="205" t="str">
        <f t="shared" si="1"/>
        <v/>
      </c>
      <c r="Z34" s="204"/>
      <c r="AA34" s="204"/>
      <c r="AB34" s="204"/>
      <c r="AC34" s="206" t="str">
        <f>IFERROR(IF(AND(V33="Probabilidad",V34="Probabilidad"),(AE33-(+AE33*Y34)),IF(AND(V33="Impacto",V34="Probabilidad"),(AE32-(+AE32*Y34)),IF(V34="Impacto",AE33,""))),"")</f>
        <v/>
      </c>
      <c r="AD34" s="207" t="str">
        <f t="shared" si="4"/>
        <v/>
      </c>
      <c r="AE34" s="205" t="str">
        <f t="shared" si="2"/>
        <v/>
      </c>
      <c r="AF34" s="207" t="str">
        <f t="shared" si="5"/>
        <v/>
      </c>
      <c r="AG34" s="205" t="str">
        <f>IFERROR(IF(AND(V33="Impacto",V34="Impacto"),(AG33-(+AG33*Y34)),IF(AND(V33="Probabilidad",V34="Impacto"),(AG32-(+AG32*Y34)),IF(V34="Probabilidad",AG33,""))),"")</f>
        <v/>
      </c>
      <c r="AH34" s="208" t="str">
        <f t="shared" si="3"/>
        <v/>
      </c>
      <c r="AI34" s="209"/>
      <c r="AJ34" s="200"/>
      <c r="AK34" s="210"/>
      <c r="AL34" s="210"/>
      <c r="AM34" s="211"/>
      <c r="AN34" s="397"/>
      <c r="AO34" s="397"/>
      <c r="AP34" s="397"/>
    </row>
    <row r="35" spans="1:42" ht="37.5" customHeight="1" x14ac:dyDescent="0.2">
      <c r="A35" s="388"/>
      <c r="B35" s="385"/>
      <c r="C35" s="385"/>
      <c r="D35" s="385"/>
      <c r="E35" s="385"/>
      <c r="F35" s="385"/>
      <c r="G35" s="385"/>
      <c r="H35" s="385"/>
      <c r="I35" s="385"/>
      <c r="J35" s="385"/>
      <c r="K35" s="385"/>
      <c r="L35" s="397"/>
      <c r="M35" s="379"/>
      <c r="N35" s="376"/>
      <c r="O35" s="382"/>
      <c r="P35" s="288">
        <f ca="1">IF(NOT(ISERROR(MATCH(O35,_xlfn.ANCHORARRAY(E46),0))),N48&amp;"Por favor no seleccionar los criterios de impacto",O35)</f>
        <v>0</v>
      </c>
      <c r="Q35" s="379"/>
      <c r="R35" s="376"/>
      <c r="S35" s="373"/>
      <c r="T35" s="237">
        <v>5</v>
      </c>
      <c r="U35" s="201"/>
      <c r="V35" s="203" t="str">
        <f t="shared" si="0"/>
        <v/>
      </c>
      <c r="W35" s="204"/>
      <c r="X35" s="204"/>
      <c r="Y35" s="205" t="str">
        <f t="shared" si="1"/>
        <v/>
      </c>
      <c r="Z35" s="204"/>
      <c r="AA35" s="204"/>
      <c r="AB35" s="204"/>
      <c r="AC35" s="206" t="str">
        <f>IFERROR(IF(AND(V34="Probabilidad",V35="Probabilidad"),(AE34-(+AE34*Y35)),IF(AND(V34="Impacto",V35="Probabilidad"),(AE33-(+AE33*Y35)),IF(V35="Impacto",AE34,""))),"")</f>
        <v/>
      </c>
      <c r="AD35" s="207" t="str">
        <f>IFERROR(IF(AC35="","",IF(AC35&lt;=0.2,"Muy Baja",IF(AC35&lt;=0.4,"Baja",IF(AC35&lt;=0.6,"Media",IF(AC35&lt;=0.8,"Alta","Muy Alta"))))),"")</f>
        <v/>
      </c>
      <c r="AE35" s="205" t="str">
        <f t="shared" si="2"/>
        <v/>
      </c>
      <c r="AF35" s="207" t="str">
        <f t="shared" si="5"/>
        <v/>
      </c>
      <c r="AG35" s="205" t="str">
        <f>IFERROR(IF(AND(V34="Impacto",V35="Impacto"),(AG34-(+AG34*Y35)),IF(AND(V34="Probabilidad",V35="Impacto"),(AG33-(+AG33*Y35)),IF(V35="Probabilidad",AG34,""))),"")</f>
        <v/>
      </c>
      <c r="AH35" s="208" t="str">
        <f t="shared" si="3"/>
        <v/>
      </c>
      <c r="AI35" s="209"/>
      <c r="AJ35" s="304" t="s">
        <v>443</v>
      </c>
      <c r="AK35" s="210"/>
      <c r="AL35" s="210"/>
      <c r="AM35" s="211"/>
      <c r="AN35" s="397"/>
      <c r="AO35" s="397"/>
      <c r="AP35" s="397"/>
    </row>
    <row r="36" spans="1:42" ht="37.5" customHeight="1" thickBot="1" x14ac:dyDescent="0.25">
      <c r="A36" s="389"/>
      <c r="B36" s="386"/>
      <c r="C36" s="386"/>
      <c r="D36" s="386"/>
      <c r="E36" s="386"/>
      <c r="F36" s="386"/>
      <c r="G36" s="386"/>
      <c r="H36" s="386"/>
      <c r="I36" s="386"/>
      <c r="J36" s="386"/>
      <c r="K36" s="386"/>
      <c r="L36" s="398"/>
      <c r="M36" s="380"/>
      <c r="N36" s="377"/>
      <c r="O36" s="383"/>
      <c r="P36" s="288">
        <f ca="1">IF(NOT(ISERROR(MATCH(O36,_xlfn.ANCHORARRAY(E47),0))),N49&amp;"Por favor no seleccionar los criterios de impacto",O36)</f>
        <v>0</v>
      </c>
      <c r="Q36" s="380"/>
      <c r="R36" s="377"/>
      <c r="S36" s="374"/>
      <c r="T36" s="237">
        <v>6</v>
      </c>
      <c r="U36" s="201"/>
      <c r="V36" s="203" t="str">
        <f t="shared" si="0"/>
        <v/>
      </c>
      <c r="W36" s="204"/>
      <c r="X36" s="204"/>
      <c r="Y36" s="205" t="str">
        <f t="shared" si="1"/>
        <v/>
      </c>
      <c r="Z36" s="204"/>
      <c r="AA36" s="204"/>
      <c r="AB36" s="204"/>
      <c r="AC36" s="206" t="str">
        <f>IFERROR(IF(AND(V35="Probabilidad",V36="Probabilidad"),(AE35-(+AE35*Y36)),IF(AND(V35="Impacto",V36="Probabilidad"),(AE34-(+AE34*Y36)),IF(V36="Impacto",AE35,""))),"")</f>
        <v/>
      </c>
      <c r="AD36" s="207" t="str">
        <f t="shared" si="4"/>
        <v/>
      </c>
      <c r="AE36" s="205" t="str">
        <f t="shared" si="2"/>
        <v/>
      </c>
      <c r="AF36" s="207" t="str">
        <f t="shared" si="5"/>
        <v/>
      </c>
      <c r="AG36" s="205" t="str">
        <f>IFERROR(IF(AND(V35="Impacto",V36="Impacto"),(AG35-(+AG35*Y36)),IF(AND(V35="Probabilidad",V36="Impacto"),(AG34-(+AG34*Y36)),IF(V36="Probabilidad",AG35,""))),"")</f>
        <v/>
      </c>
      <c r="AH36" s="208" t="str">
        <f t="shared" si="3"/>
        <v/>
      </c>
      <c r="AI36" s="209"/>
      <c r="AJ36" s="303" t="s">
        <v>187</v>
      </c>
      <c r="AK36" s="210"/>
      <c r="AL36" s="210"/>
      <c r="AM36" s="211"/>
      <c r="AN36" s="398"/>
      <c r="AO36" s="398"/>
      <c r="AP36" s="398"/>
    </row>
    <row r="37" spans="1:42" ht="97.5" customHeight="1" x14ac:dyDescent="0.2">
      <c r="A37" s="387">
        <v>5</v>
      </c>
      <c r="B37" s="384"/>
      <c r="C37" s="384"/>
      <c r="D37" s="384"/>
      <c r="E37" s="384"/>
      <c r="F37" s="384"/>
      <c r="G37" s="384"/>
      <c r="H37" s="384"/>
      <c r="I37" s="384"/>
      <c r="J37" s="384"/>
      <c r="K37" s="384"/>
      <c r="L37" s="396"/>
      <c r="M37" s="378" t="str">
        <f>IF(L37&lt;=0,"",IF(L37&lt;=2,"Muy Baja",IF(L37&lt;=24,"Baja",IF(L37&lt;=500,"Media",IF(L37&lt;=5000,"Alta","Muy Alta")))))</f>
        <v/>
      </c>
      <c r="N37" s="375" t="str">
        <f>IF(M37="","",IF(M37="Muy Baja",0.2,IF(M37="Baja",0.4,IF(M37="Media",0.6,IF(M37="Alta",0.8,IF(M37="Muy Alta",1,))))))</f>
        <v/>
      </c>
      <c r="O37" s="381"/>
      <c r="P37" s="288">
        <f ca="1">IF(NOT(ISERROR(MATCH(O37,'Tabla Impacto'!$B$222:$B$224,0))),'Tabla Impacto'!$F$224&amp;"Por favor no seleccionar los criterios de impacto(Afectación Económica o presupuestal y Pérdida Reputacional)",O37)</f>
        <v>0</v>
      </c>
      <c r="Q37" s="378" t="str">
        <f ca="1">IF(OR(P37='Tabla Impacto'!$C$12,P37='Tabla Impacto'!$D$12),"Leve",IF(OR(P37='Tabla Impacto'!$C$13,P37='Tabla Impacto'!$D$13),"Menor",IF(OR(P37='Tabla Impacto'!$C$14,P37='Tabla Impacto'!$D$14),"Moderado",IF(OR(P37='Tabla Impacto'!$C$15,P37='Tabla Impacto'!$D$15),"Mayor",IF(OR(P37='Tabla Impacto'!$C$16,P37='Tabla Impacto'!$D$16),"Catastrófico","")))))</f>
        <v/>
      </c>
      <c r="R37" s="375" t="str">
        <f ca="1">IF(Q37="","",IF(Q37="Leve",0.2,IF(Q37="Menor",0.4,IF(Q37="Moderado",0.6,IF(Q37="Mayor",0.8,IF(Q37="Catastrófico",1,))))))</f>
        <v/>
      </c>
      <c r="S37" s="372" t="str">
        <f ca="1">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37">
        <v>1</v>
      </c>
      <c r="U37" s="201"/>
      <c r="V37" s="203" t="str">
        <f t="shared" si="0"/>
        <v/>
      </c>
      <c r="W37" s="204"/>
      <c r="X37" s="204"/>
      <c r="Y37" s="205" t="str">
        <f t="shared" si="1"/>
        <v/>
      </c>
      <c r="Z37" s="204"/>
      <c r="AA37" s="204"/>
      <c r="AB37" s="204"/>
      <c r="AC37" s="206" t="str">
        <f>IFERROR(IF(V37="Probabilidad",(N37-(+N37*Y37)),IF(V37="Impacto",N37,"")),"")</f>
        <v/>
      </c>
      <c r="AD37" s="207" t="str">
        <f>IFERROR(IF(AC37="","",IF(AC37&lt;=0.2,"Muy Baja",IF(AC37&lt;=0.4,"Baja",IF(AC37&lt;=0.6,"Media",IF(AC37&lt;=0.8,"Alta","Muy Alta"))))),"")</f>
        <v/>
      </c>
      <c r="AE37" s="205" t="str">
        <f t="shared" si="2"/>
        <v/>
      </c>
      <c r="AF37" s="207" t="str">
        <f>IFERROR(IF(AG37="","",IF(AG37&lt;=0.2,"Leve",IF(AG37&lt;=0.4,"Menor",IF(AG37&lt;=0.6,"Moderado",IF(AG37&lt;=0.8,"Mayor","Catastrófico"))))),"")</f>
        <v/>
      </c>
      <c r="AG37" s="205" t="str">
        <f>IFERROR(IF(V37="Impacto",(R37-(+R37*Y37)),IF(V37="Probabilidad",R37,"")),"")</f>
        <v/>
      </c>
      <c r="AH37" s="208" t="str">
        <f t="shared" si="3"/>
        <v/>
      </c>
      <c r="AI37" s="209"/>
      <c r="AJ37" s="698" t="s">
        <v>444</v>
      </c>
      <c r="AK37" s="302" t="s">
        <v>445</v>
      </c>
      <c r="AL37" s="210"/>
      <c r="AM37" s="211"/>
      <c r="AN37" s="396"/>
      <c r="AO37" s="396"/>
      <c r="AP37" s="396"/>
    </row>
    <row r="38" spans="1:42" ht="37.5" customHeight="1" x14ac:dyDescent="0.2">
      <c r="A38" s="388"/>
      <c r="B38" s="385"/>
      <c r="C38" s="385"/>
      <c r="D38" s="385"/>
      <c r="E38" s="385"/>
      <c r="F38" s="385"/>
      <c r="G38" s="385"/>
      <c r="H38" s="385"/>
      <c r="I38" s="385"/>
      <c r="J38" s="385"/>
      <c r="K38" s="385"/>
      <c r="L38" s="397"/>
      <c r="M38" s="379"/>
      <c r="N38" s="376"/>
      <c r="O38" s="382"/>
      <c r="P38" s="288">
        <f ca="1">IF(NOT(ISERROR(MATCH(O38,_xlfn.ANCHORARRAY(E49),0))),N51&amp;"Por favor no seleccionar los criterios de impacto",O38)</f>
        <v>0</v>
      </c>
      <c r="Q38" s="379"/>
      <c r="R38" s="376"/>
      <c r="S38" s="373"/>
      <c r="T38" s="237">
        <v>2</v>
      </c>
      <c r="U38" s="201"/>
      <c r="V38" s="203" t="str">
        <f t="shared" si="0"/>
        <v/>
      </c>
      <c r="W38" s="204"/>
      <c r="X38" s="204"/>
      <c r="Y38" s="205" t="str">
        <f t="shared" si="1"/>
        <v/>
      </c>
      <c r="Z38" s="204"/>
      <c r="AA38" s="204"/>
      <c r="AB38" s="204"/>
      <c r="AC38" s="206" t="str">
        <f>IFERROR(IF(AND(V37="Probabilidad",V38="Probabilidad"),(AE37-(+AE37*Y38)),IF(V38="Probabilidad",(N37-(+N37*Y38)),IF(V38="Impacto",AE37,""))),"")</f>
        <v/>
      </c>
      <c r="AD38" s="207" t="str">
        <f t="shared" si="4"/>
        <v/>
      </c>
      <c r="AE38" s="205" t="str">
        <f t="shared" si="2"/>
        <v/>
      </c>
      <c r="AF38" s="207" t="str">
        <f t="shared" si="5"/>
        <v/>
      </c>
      <c r="AG38" s="205" t="str">
        <f>IFERROR(IF(AND(V37="Impacto",V38="Impacto"),(AG31-(+AG31*Y38)),IF(V38="Impacto",($R$37-(+$R$37*Y38)),IF(V38="Probabilidad",AG31,""))),"")</f>
        <v/>
      </c>
      <c r="AH38" s="208" t="str">
        <f t="shared" si="3"/>
        <v/>
      </c>
      <c r="AI38" s="209"/>
      <c r="AJ38" s="200"/>
      <c r="AK38" s="210"/>
      <c r="AL38" s="210"/>
      <c r="AM38" s="211"/>
      <c r="AN38" s="397"/>
      <c r="AO38" s="397"/>
      <c r="AP38" s="397"/>
    </row>
    <row r="39" spans="1:42" ht="37.5" customHeight="1" x14ac:dyDescent="0.2">
      <c r="A39" s="388"/>
      <c r="B39" s="385"/>
      <c r="C39" s="385"/>
      <c r="D39" s="385"/>
      <c r="E39" s="385"/>
      <c r="F39" s="385"/>
      <c r="G39" s="385"/>
      <c r="H39" s="385"/>
      <c r="I39" s="385"/>
      <c r="J39" s="385"/>
      <c r="K39" s="385"/>
      <c r="L39" s="397"/>
      <c r="M39" s="379"/>
      <c r="N39" s="376"/>
      <c r="O39" s="382"/>
      <c r="P39" s="288">
        <f ca="1">IF(NOT(ISERROR(MATCH(O39,_xlfn.ANCHORARRAY(E50),0))),N52&amp;"Por favor no seleccionar los criterios de impacto",O39)</f>
        <v>0</v>
      </c>
      <c r="Q39" s="379"/>
      <c r="R39" s="376"/>
      <c r="S39" s="373"/>
      <c r="T39" s="237">
        <v>3</v>
      </c>
      <c r="U39" s="202"/>
      <c r="V39" s="203" t="str">
        <f t="shared" si="0"/>
        <v/>
      </c>
      <c r="W39" s="204"/>
      <c r="X39" s="204"/>
      <c r="Y39" s="205" t="str">
        <f t="shared" si="1"/>
        <v/>
      </c>
      <c r="Z39" s="204"/>
      <c r="AA39" s="204"/>
      <c r="AB39" s="204"/>
      <c r="AC39" s="206" t="str">
        <f>IFERROR(IF(AND(V38="Probabilidad",V39="Probabilidad"),(AE38-(+AE38*Y39)),IF(AND(V38="Impacto",V39="Probabilidad"),(AE37-(+AE37*Y39)),IF(V39="Impacto",AE38,""))),"")</f>
        <v/>
      </c>
      <c r="AD39" s="207" t="str">
        <f t="shared" si="4"/>
        <v/>
      </c>
      <c r="AE39" s="205" t="str">
        <f t="shared" si="2"/>
        <v/>
      </c>
      <c r="AF39" s="207" t="str">
        <f t="shared" si="5"/>
        <v/>
      </c>
      <c r="AG39" s="205" t="str">
        <f>IFERROR(IF(AND(V38="Impacto",V39="Impacto"),(AG38-(+AG38*Y39)),IF(AND(V38="Probabilidad",V39="Impacto"),(AG37-(+AG37*Y39)),IF(V39="Probabilidad",AG38,""))),"")</f>
        <v/>
      </c>
      <c r="AH39" s="208" t="str">
        <f t="shared" si="3"/>
        <v/>
      </c>
      <c r="AI39" s="209"/>
      <c r="AJ39" s="200"/>
      <c r="AK39" s="210"/>
      <c r="AL39" s="210"/>
      <c r="AM39" s="211"/>
      <c r="AN39" s="397"/>
      <c r="AO39" s="397"/>
      <c r="AP39" s="397"/>
    </row>
    <row r="40" spans="1:42" ht="37.5" customHeight="1" x14ac:dyDescent="0.2">
      <c r="A40" s="388"/>
      <c r="B40" s="385"/>
      <c r="C40" s="385"/>
      <c r="D40" s="385"/>
      <c r="E40" s="385"/>
      <c r="F40" s="385"/>
      <c r="G40" s="385"/>
      <c r="H40" s="385"/>
      <c r="I40" s="385"/>
      <c r="J40" s="385"/>
      <c r="K40" s="385"/>
      <c r="L40" s="397"/>
      <c r="M40" s="379"/>
      <c r="N40" s="376"/>
      <c r="O40" s="382"/>
      <c r="P40" s="288">
        <f ca="1">IF(NOT(ISERROR(MATCH(O40,_xlfn.ANCHORARRAY(E51),0))),N53&amp;"Por favor no seleccionar los criterios de impacto",O40)</f>
        <v>0</v>
      </c>
      <c r="Q40" s="379"/>
      <c r="R40" s="376"/>
      <c r="S40" s="373"/>
      <c r="T40" s="237">
        <v>4</v>
      </c>
      <c r="U40" s="201"/>
      <c r="V40" s="203" t="str">
        <f t="shared" si="0"/>
        <v/>
      </c>
      <c r="W40" s="204"/>
      <c r="X40" s="204"/>
      <c r="Y40" s="205" t="str">
        <f t="shared" si="1"/>
        <v/>
      </c>
      <c r="Z40" s="204"/>
      <c r="AA40" s="204"/>
      <c r="AB40" s="204"/>
      <c r="AC40" s="206" t="str">
        <f>IFERROR(IF(AND(V39="Probabilidad",V40="Probabilidad"),(AE39-(+AE39*Y40)),IF(AND(V39="Impacto",V40="Probabilidad"),(AE38-(+AE38*Y40)),IF(V40="Impacto",AE39,""))),"")</f>
        <v/>
      </c>
      <c r="AD40" s="207" t="str">
        <f t="shared" si="4"/>
        <v/>
      </c>
      <c r="AE40" s="205" t="str">
        <f t="shared" si="2"/>
        <v/>
      </c>
      <c r="AF40" s="207" t="str">
        <f t="shared" si="5"/>
        <v/>
      </c>
      <c r="AG40" s="205" t="str">
        <f>IFERROR(IF(AND(V39="Impacto",V40="Impacto"),(AG39-(+AG39*Y40)),IF(AND(V39="Probabilidad",V40="Impacto"),(AG38-(+AG38*Y40)),IF(V40="Probabilidad",AG39,""))),"")</f>
        <v/>
      </c>
      <c r="AH40" s="208" t="str">
        <f t="shared" si="3"/>
        <v/>
      </c>
      <c r="AI40" s="209"/>
      <c r="AJ40" s="200"/>
      <c r="AK40" s="210"/>
      <c r="AL40" s="210"/>
      <c r="AM40" s="211"/>
      <c r="AN40" s="397"/>
      <c r="AO40" s="397"/>
      <c r="AP40" s="397"/>
    </row>
    <row r="41" spans="1:42" ht="37.5" customHeight="1" x14ac:dyDescent="0.2">
      <c r="A41" s="388"/>
      <c r="B41" s="385"/>
      <c r="C41" s="385"/>
      <c r="D41" s="385"/>
      <c r="E41" s="385"/>
      <c r="F41" s="385"/>
      <c r="G41" s="385"/>
      <c r="H41" s="385"/>
      <c r="I41" s="385"/>
      <c r="J41" s="385"/>
      <c r="K41" s="385"/>
      <c r="L41" s="397"/>
      <c r="M41" s="379"/>
      <c r="N41" s="376"/>
      <c r="O41" s="382"/>
      <c r="P41" s="288">
        <f ca="1">IF(NOT(ISERROR(MATCH(O41,_xlfn.ANCHORARRAY(E52),0))),N54&amp;"Por favor no seleccionar los criterios de impacto",O41)</f>
        <v>0</v>
      </c>
      <c r="Q41" s="379"/>
      <c r="R41" s="376"/>
      <c r="S41" s="373"/>
      <c r="T41" s="237">
        <v>5</v>
      </c>
      <c r="U41" s="201"/>
      <c r="V41" s="203" t="str">
        <f t="shared" si="0"/>
        <v/>
      </c>
      <c r="W41" s="204"/>
      <c r="X41" s="204"/>
      <c r="Y41" s="205" t="str">
        <f t="shared" si="1"/>
        <v/>
      </c>
      <c r="Z41" s="204"/>
      <c r="AA41" s="204"/>
      <c r="AB41" s="204"/>
      <c r="AC41" s="206" t="str">
        <f>IFERROR(IF(AND(V40="Probabilidad",V41="Probabilidad"),(AE40-(+AE40*Y41)),IF(AND(V40="Impacto",V41="Probabilidad"),(AE39-(+AE39*Y41)),IF(V41="Impacto",AE40,""))),"")</f>
        <v/>
      </c>
      <c r="AD41" s="207" t="str">
        <f t="shared" si="4"/>
        <v/>
      </c>
      <c r="AE41" s="205" t="str">
        <f t="shared" si="2"/>
        <v/>
      </c>
      <c r="AF41" s="207" t="str">
        <f t="shared" si="5"/>
        <v/>
      </c>
      <c r="AG41" s="205" t="str">
        <f>IFERROR(IF(AND(V40="Impacto",V41="Impacto"),(AG40-(+AG40*Y41)),IF(AND(V40="Probabilidad",V41="Impacto"),(AG39-(+AG39*Y41)),IF(V41="Probabilidad",AG40,""))),"")</f>
        <v/>
      </c>
      <c r="AH41" s="208" t="str">
        <f t="shared" si="3"/>
        <v/>
      </c>
      <c r="AI41" s="209"/>
      <c r="AJ41" s="200"/>
      <c r="AK41" s="210"/>
      <c r="AL41" s="210"/>
      <c r="AM41" s="211"/>
      <c r="AN41" s="397"/>
      <c r="AO41" s="397"/>
      <c r="AP41" s="397"/>
    </row>
    <row r="42" spans="1:42" ht="37.5" customHeight="1" x14ac:dyDescent="0.2">
      <c r="A42" s="389"/>
      <c r="B42" s="386"/>
      <c r="C42" s="386"/>
      <c r="D42" s="386"/>
      <c r="E42" s="386"/>
      <c r="F42" s="386"/>
      <c r="G42" s="386"/>
      <c r="H42" s="386"/>
      <c r="I42" s="386"/>
      <c r="J42" s="386"/>
      <c r="K42" s="386"/>
      <c r="L42" s="398"/>
      <c r="M42" s="380"/>
      <c r="N42" s="377"/>
      <c r="O42" s="383"/>
      <c r="P42" s="288">
        <f ca="1">IF(NOT(ISERROR(MATCH(O42,_xlfn.ANCHORARRAY(E53),0))),N55&amp;"Por favor no seleccionar los criterios de impacto",O42)</f>
        <v>0</v>
      </c>
      <c r="Q42" s="380"/>
      <c r="R42" s="377"/>
      <c r="S42" s="374"/>
      <c r="T42" s="237">
        <v>6</v>
      </c>
      <c r="U42" s="201"/>
      <c r="V42" s="203" t="str">
        <f t="shared" si="0"/>
        <v/>
      </c>
      <c r="W42" s="204"/>
      <c r="X42" s="204"/>
      <c r="Y42" s="205" t="str">
        <f t="shared" si="1"/>
        <v/>
      </c>
      <c r="Z42" s="204"/>
      <c r="AA42" s="204"/>
      <c r="AB42" s="204"/>
      <c r="AC42" s="206" t="str">
        <f>IFERROR(IF(AND(V41="Probabilidad",V42="Probabilidad"),(AE41-(+AE41*Y42)),IF(AND(V41="Impacto",V42="Probabilidad"),(AE40-(+AE40*Y42)),IF(V42="Impacto",AE41,""))),"")</f>
        <v/>
      </c>
      <c r="AD42" s="207" t="str">
        <f t="shared" si="4"/>
        <v/>
      </c>
      <c r="AE42" s="205" t="str">
        <f t="shared" si="2"/>
        <v/>
      </c>
      <c r="AF42" s="207" t="str">
        <f t="shared" si="5"/>
        <v/>
      </c>
      <c r="AG42" s="205" t="str">
        <f>IFERROR(IF(AND(V41="Impacto",V42="Impacto"),(AG41-(+AG41*Y42)),IF(AND(V41="Probabilidad",V42="Impacto"),(AG40-(+AG40*Y42)),IF(V42="Probabilidad",AG41,""))),"")</f>
        <v/>
      </c>
      <c r="AH42" s="208" t="str">
        <f t="shared" si="3"/>
        <v/>
      </c>
      <c r="AI42" s="209"/>
      <c r="AJ42" s="200"/>
      <c r="AK42" s="210"/>
      <c r="AL42" s="210"/>
      <c r="AM42" s="211"/>
      <c r="AN42" s="398"/>
      <c r="AO42" s="398"/>
      <c r="AP42" s="398"/>
    </row>
    <row r="43" spans="1:42" ht="37.5" customHeight="1" x14ac:dyDescent="0.2">
      <c r="A43" s="387">
        <v>6</v>
      </c>
      <c r="B43" s="384"/>
      <c r="C43" s="384"/>
      <c r="D43" s="384"/>
      <c r="E43" s="384"/>
      <c r="F43" s="384"/>
      <c r="G43" s="384"/>
      <c r="H43" s="384"/>
      <c r="I43" s="384"/>
      <c r="J43" s="384"/>
      <c r="K43" s="384"/>
      <c r="L43" s="396"/>
      <c r="M43" s="378" t="str">
        <f>IF(L43&lt;=0,"",IF(L43&lt;=2,"Muy Baja",IF(L43&lt;=24,"Baja",IF(L43&lt;=500,"Media",IF(L43&lt;=5000,"Alta","Muy Alta")))))</f>
        <v/>
      </c>
      <c r="N43" s="375" t="str">
        <f>IF(M43="","",IF(M43="Muy Baja",0.2,IF(M43="Baja",0.4,IF(M43="Media",0.6,IF(M43="Alta",0.8,IF(M43="Muy Alta",1,))))))</f>
        <v/>
      </c>
      <c r="O43" s="381"/>
      <c r="P43" s="288">
        <f ca="1">IF(NOT(ISERROR(MATCH(O43,'Tabla Impacto'!$B$222:$B$224,0))),'Tabla Impacto'!$F$224&amp;"Por favor no seleccionar los criterios de impacto(Afectación Económica o presupuestal y Pérdida Reputacional)",O43)</f>
        <v>0</v>
      </c>
      <c r="Q43" s="378" t="str">
        <f ca="1">IF(OR(P43='Tabla Impacto'!$C$12,P43='Tabla Impacto'!$D$12),"Leve",IF(OR(P43='Tabla Impacto'!$C$13,P43='Tabla Impacto'!$D$13),"Menor",IF(OR(P43='Tabla Impacto'!$C$14,P43='Tabla Impacto'!$D$14),"Moderado",IF(OR(P43='Tabla Impacto'!$C$15,P43='Tabla Impacto'!$D$15),"Mayor",IF(OR(P43='Tabla Impacto'!$C$16,P43='Tabla Impacto'!$D$16),"Catastrófico","")))))</f>
        <v/>
      </c>
      <c r="R43" s="375" t="str">
        <f ca="1">IF(Q43="","",IF(Q43="Leve",0.2,IF(Q43="Menor",0.4,IF(Q43="Moderado",0.6,IF(Q43="Mayor",0.8,IF(Q43="Catastrófico",1,))))))</f>
        <v/>
      </c>
      <c r="S43" s="372" t="str">
        <f ca="1">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37">
        <v>1</v>
      </c>
      <c r="U43" s="201"/>
      <c r="V43" s="203" t="str">
        <f t="shared" si="0"/>
        <v/>
      </c>
      <c r="W43" s="204"/>
      <c r="X43" s="204"/>
      <c r="Y43" s="205" t="str">
        <f t="shared" si="1"/>
        <v/>
      </c>
      <c r="Z43" s="204"/>
      <c r="AA43" s="204"/>
      <c r="AB43" s="204"/>
      <c r="AC43" s="206" t="str">
        <f>IFERROR(IF(V43="Probabilidad",(N43-(+N43*Y43)),IF(V43="Impacto",N43,"")),"")</f>
        <v/>
      </c>
      <c r="AD43" s="207" t="str">
        <f>IFERROR(IF(AC43="","",IF(AC43&lt;=0.2,"Muy Baja",IF(AC43&lt;=0.4,"Baja",IF(AC43&lt;=0.6,"Media",IF(AC43&lt;=0.8,"Alta","Muy Alta"))))),"")</f>
        <v/>
      </c>
      <c r="AE43" s="205" t="str">
        <f t="shared" si="2"/>
        <v/>
      </c>
      <c r="AF43" s="207" t="str">
        <f>IFERROR(IF(AG43="","",IF(AG43&lt;=0.2,"Leve",IF(AG43&lt;=0.4,"Menor",IF(AG43&lt;=0.6,"Moderado",IF(AG43&lt;=0.8,"Mayor","Catastrófico"))))),"")</f>
        <v/>
      </c>
      <c r="AG43" s="205" t="str">
        <f>IFERROR(IF(V43="Impacto",(R43-(+R43*Y43)),IF(V43="Probabilidad",R43,"")),"")</f>
        <v/>
      </c>
      <c r="AH43" s="208" t="str">
        <f t="shared" si="3"/>
        <v/>
      </c>
      <c r="AI43" s="204"/>
      <c r="AJ43" s="200"/>
      <c r="AK43" s="210"/>
      <c r="AL43" s="210"/>
      <c r="AM43" s="211"/>
      <c r="AN43" s="396"/>
      <c r="AO43" s="396"/>
      <c r="AP43" s="396"/>
    </row>
    <row r="44" spans="1:42" ht="37.5" customHeight="1" x14ac:dyDescent="0.2">
      <c r="A44" s="388"/>
      <c r="B44" s="385"/>
      <c r="C44" s="385"/>
      <c r="D44" s="385"/>
      <c r="E44" s="385"/>
      <c r="F44" s="385"/>
      <c r="G44" s="385"/>
      <c r="H44" s="385"/>
      <c r="I44" s="385"/>
      <c r="J44" s="385"/>
      <c r="K44" s="385"/>
      <c r="L44" s="397"/>
      <c r="M44" s="379"/>
      <c r="N44" s="376"/>
      <c r="O44" s="382"/>
      <c r="P44" s="288">
        <f ca="1">IF(NOT(ISERROR(MATCH(O44,_xlfn.ANCHORARRAY(E55),0))),N57&amp;"Por favor no seleccionar los criterios de impacto",O44)</f>
        <v>0</v>
      </c>
      <c r="Q44" s="379"/>
      <c r="R44" s="376"/>
      <c r="S44" s="373"/>
      <c r="T44" s="237">
        <v>2</v>
      </c>
      <c r="U44" s="201"/>
      <c r="V44" s="203" t="str">
        <f t="shared" si="0"/>
        <v/>
      </c>
      <c r="W44" s="204"/>
      <c r="X44" s="204"/>
      <c r="Y44" s="205" t="str">
        <f t="shared" si="1"/>
        <v/>
      </c>
      <c r="Z44" s="204"/>
      <c r="AA44" s="204"/>
      <c r="AB44" s="204"/>
      <c r="AC44" s="206" t="str">
        <f>IFERROR(IF(AND(V43="Probabilidad",V44="Probabilidad"),(AE43-(+AE43*Y44)),IF(V44="Probabilidad",(N43-(+N43*Y44)),IF(V44="Impacto",AE43,""))),"")</f>
        <v/>
      </c>
      <c r="AD44" s="207" t="str">
        <f t="shared" si="4"/>
        <v/>
      </c>
      <c r="AE44" s="205" t="str">
        <f t="shared" si="2"/>
        <v/>
      </c>
      <c r="AF44" s="207" t="str">
        <f t="shared" si="5"/>
        <v/>
      </c>
      <c r="AG44" s="205" t="str">
        <f>IFERROR(IF(AND(V43="Impacto",V44="Impacto"),(AG37-(+AG37*Y44)),IF(V44="Impacto",($R$43-(+$R$43*Y44)),IF(V44="Probabilidad",AG37,""))),"")</f>
        <v/>
      </c>
      <c r="AH44" s="208" t="str">
        <f t="shared" si="3"/>
        <v/>
      </c>
      <c r="AI44" s="209"/>
      <c r="AJ44" s="200"/>
      <c r="AK44" s="210"/>
      <c r="AL44" s="210"/>
      <c r="AM44" s="211"/>
      <c r="AN44" s="397"/>
      <c r="AO44" s="397"/>
      <c r="AP44" s="397"/>
    </row>
    <row r="45" spans="1:42" ht="37.5" customHeight="1" x14ac:dyDescent="0.2">
      <c r="A45" s="388"/>
      <c r="B45" s="385"/>
      <c r="C45" s="385"/>
      <c r="D45" s="385"/>
      <c r="E45" s="385"/>
      <c r="F45" s="385"/>
      <c r="G45" s="385"/>
      <c r="H45" s="385"/>
      <c r="I45" s="385"/>
      <c r="J45" s="385"/>
      <c r="K45" s="385"/>
      <c r="L45" s="397"/>
      <c r="M45" s="379"/>
      <c r="N45" s="376"/>
      <c r="O45" s="382"/>
      <c r="P45" s="288">
        <f ca="1">IF(NOT(ISERROR(MATCH(O45,_xlfn.ANCHORARRAY(E56),0))),N58&amp;"Por favor no seleccionar los criterios de impacto",O45)</f>
        <v>0</v>
      </c>
      <c r="Q45" s="379"/>
      <c r="R45" s="376"/>
      <c r="S45" s="373"/>
      <c r="T45" s="237">
        <v>3</v>
      </c>
      <c r="U45" s="202"/>
      <c r="V45" s="203" t="str">
        <f t="shared" ref="V45:V66" si="6">IF(OR(W45="Preventivo",W45="Detectivo"),"Probabilidad",IF(W45="Correctivo","Impacto",""))</f>
        <v/>
      </c>
      <c r="W45" s="204"/>
      <c r="X45" s="204"/>
      <c r="Y45" s="205" t="str">
        <f t="shared" ref="Y45:Y66" si="7">IF(AND(W45="Preventivo",X45="Automático"),"50%",IF(AND(W45="Preventivo",X45="Manual"),"40%",IF(AND(W45="Detectivo",X45="Automático"),"40%",IF(AND(W45="Detectivo",X45="Manual"),"30%",IF(AND(W45="Correctivo",X45="Automático"),"35%",IF(AND(W45="Correctivo",X45="Manual"),"25%",""))))))</f>
        <v/>
      </c>
      <c r="Z45" s="204"/>
      <c r="AA45" s="204"/>
      <c r="AB45" s="204"/>
      <c r="AC45" s="206" t="str">
        <f>IFERROR(IF(AND(V44="Probabilidad",V45="Probabilidad"),(AE44-(+AE44*Y45)),IF(AND(V44="Impacto",V45="Probabilidad"),(AE43-(+AE43*Y45)),IF(V45="Impacto",AE44,""))),"")</f>
        <v/>
      </c>
      <c r="AD45" s="207" t="str">
        <f t="shared" si="4"/>
        <v/>
      </c>
      <c r="AE45" s="205" t="str">
        <f t="shared" ref="AE45:AE66" si="8">+AC45</f>
        <v/>
      </c>
      <c r="AF45" s="207" t="str">
        <f t="shared" si="5"/>
        <v/>
      </c>
      <c r="AG45" s="205" t="str">
        <f>IFERROR(IF(AND(V44="Impacto",V45="Impacto"),(AG44-(+AG44*Y45)),IF(AND(V44="Probabilidad",V45="Impacto"),(AG43-(+AG43*Y45)),IF(V45="Probabilidad",AG44,""))),"")</f>
        <v/>
      </c>
      <c r="AH45" s="208" t="str">
        <f t="shared" ref="AH45:AH66" si="9">IFERROR(IF(OR(AND(AD45="Muy Baja",AF45="Leve"),AND(AD45="Muy Baja",AF45="Menor"),AND(AD45="Baja",AF45="Leve")),"Bajo",IF(OR(AND(AD45="Muy baja",AF45="Moderado"),AND(AD45="Baja",AF45="Menor"),AND(AD45="Baja",AF45="Moderado"),AND(AD45="Media",AF45="Leve"),AND(AD45="Media",AF45="Menor"),AND(AD45="Media",AF45="Moderado"),AND(AD45="Alta",AF45="Leve"),AND(AD45="Alta",AF45="Menor")),"Moderado",IF(OR(AND(AD45="Muy Baja",AF45="Mayor"),AND(AD45="Baja",AF45="Mayor"),AND(AD45="Media",AF45="Mayor"),AND(AD45="Alta",AF45="Moderado"),AND(AD45="Alta",AF45="Mayor"),AND(AD45="Muy Alta",AF45="Leve"),AND(AD45="Muy Alta",AF45="Menor"),AND(AD45="Muy Alta",AF45="Moderado"),AND(AD45="Muy Alta",AF45="Mayor")),"Alto",IF(OR(AND(AD45="Muy Baja",AF45="Catastrófico"),AND(AD45="Baja",AF45="Catastrófico"),AND(AD45="Media",AF45="Catastrófico"),AND(AD45="Alta",AF45="Catastrófico"),AND(AD45="Muy Alta",AF45="Catastrófico")),"Extremo","")))),"")</f>
        <v/>
      </c>
      <c r="AI45" s="209"/>
      <c r="AJ45" s="200"/>
      <c r="AK45" s="210"/>
      <c r="AL45" s="210"/>
      <c r="AM45" s="211"/>
      <c r="AN45" s="397"/>
      <c r="AO45" s="397"/>
      <c r="AP45" s="397"/>
    </row>
    <row r="46" spans="1:42" ht="37.5" customHeight="1" x14ac:dyDescent="0.2">
      <c r="A46" s="388"/>
      <c r="B46" s="385"/>
      <c r="C46" s="385"/>
      <c r="D46" s="385"/>
      <c r="E46" s="385"/>
      <c r="F46" s="385"/>
      <c r="G46" s="385"/>
      <c r="H46" s="385"/>
      <c r="I46" s="385"/>
      <c r="J46" s="385"/>
      <c r="K46" s="385"/>
      <c r="L46" s="397"/>
      <c r="M46" s="379"/>
      <c r="N46" s="376"/>
      <c r="O46" s="382"/>
      <c r="P46" s="288">
        <f ca="1">IF(NOT(ISERROR(MATCH(O46,_xlfn.ANCHORARRAY(E57),0))),N59&amp;"Por favor no seleccionar los criterios de impacto",O46)</f>
        <v>0</v>
      </c>
      <c r="Q46" s="379"/>
      <c r="R46" s="376"/>
      <c r="S46" s="373"/>
      <c r="T46" s="237">
        <v>4</v>
      </c>
      <c r="U46" s="201"/>
      <c r="V46" s="203" t="str">
        <f t="shared" si="6"/>
        <v/>
      </c>
      <c r="W46" s="204"/>
      <c r="X46" s="204"/>
      <c r="Y46" s="205" t="str">
        <f t="shared" si="7"/>
        <v/>
      </c>
      <c r="Z46" s="204"/>
      <c r="AA46" s="204"/>
      <c r="AB46" s="204"/>
      <c r="AC46" s="206" t="str">
        <f>IFERROR(IF(AND(V45="Probabilidad",V46="Probabilidad"),(AE45-(+AE45*Y46)),IF(AND(V45="Impacto",V46="Probabilidad"),(AE44-(+AE44*Y46)),IF(V46="Impacto",AE45,""))),"")</f>
        <v/>
      </c>
      <c r="AD46" s="207" t="str">
        <f t="shared" si="4"/>
        <v/>
      </c>
      <c r="AE46" s="205" t="str">
        <f t="shared" si="8"/>
        <v/>
      </c>
      <c r="AF46" s="207" t="str">
        <f t="shared" si="5"/>
        <v/>
      </c>
      <c r="AG46" s="205" t="str">
        <f>IFERROR(IF(AND(V45="Impacto",V46="Impacto"),(AG45-(+AG45*Y46)),IF(AND(V45="Probabilidad",V46="Impacto"),(AG44-(+AG44*Y46)),IF(V46="Probabilidad",AG45,""))),"")</f>
        <v/>
      </c>
      <c r="AH46" s="208" t="str">
        <f t="shared" si="9"/>
        <v/>
      </c>
      <c r="AI46" s="209"/>
      <c r="AJ46" s="200"/>
      <c r="AK46" s="210"/>
      <c r="AL46" s="210"/>
      <c r="AM46" s="211"/>
      <c r="AN46" s="397"/>
      <c r="AO46" s="397"/>
      <c r="AP46" s="397"/>
    </row>
    <row r="47" spans="1:42" ht="37.5" customHeight="1" x14ac:dyDescent="0.2">
      <c r="A47" s="388"/>
      <c r="B47" s="385"/>
      <c r="C47" s="385"/>
      <c r="D47" s="385"/>
      <c r="E47" s="385"/>
      <c r="F47" s="385"/>
      <c r="G47" s="385"/>
      <c r="H47" s="385"/>
      <c r="I47" s="385"/>
      <c r="J47" s="385"/>
      <c r="K47" s="385"/>
      <c r="L47" s="397"/>
      <c r="M47" s="379"/>
      <c r="N47" s="376"/>
      <c r="O47" s="382"/>
      <c r="P47" s="288">
        <f ca="1">IF(NOT(ISERROR(MATCH(O47,_xlfn.ANCHORARRAY(E58),0))),N60&amp;"Por favor no seleccionar los criterios de impacto",O47)</f>
        <v>0</v>
      </c>
      <c r="Q47" s="379"/>
      <c r="R47" s="376"/>
      <c r="S47" s="373"/>
      <c r="T47" s="237">
        <v>5</v>
      </c>
      <c r="U47" s="201"/>
      <c r="V47" s="203" t="str">
        <f t="shared" si="6"/>
        <v/>
      </c>
      <c r="W47" s="204"/>
      <c r="X47" s="204"/>
      <c r="Y47" s="205" t="str">
        <f t="shared" si="7"/>
        <v/>
      </c>
      <c r="Z47" s="204"/>
      <c r="AA47" s="204"/>
      <c r="AB47" s="204"/>
      <c r="AC47" s="206" t="str">
        <f>IFERROR(IF(AND(V46="Probabilidad",V47="Probabilidad"),(AE46-(+AE46*Y47)),IF(AND(V46="Impacto",V47="Probabilidad"),(AE45-(+AE45*Y47)),IF(V47="Impacto",AE46,""))),"")</f>
        <v/>
      </c>
      <c r="AD47" s="207" t="str">
        <f t="shared" si="4"/>
        <v/>
      </c>
      <c r="AE47" s="205" t="str">
        <f t="shared" si="8"/>
        <v/>
      </c>
      <c r="AF47" s="207" t="str">
        <f t="shared" si="5"/>
        <v/>
      </c>
      <c r="AG47" s="205" t="str">
        <f>IFERROR(IF(AND(V46="Impacto",V47="Impacto"),(AG46-(+AG46*Y47)),IF(AND(V46="Probabilidad",V47="Impacto"),(AG45-(+AG45*Y47)),IF(V47="Probabilidad",AG46,""))),"")</f>
        <v/>
      </c>
      <c r="AH47" s="208" t="str">
        <f t="shared" si="9"/>
        <v/>
      </c>
      <c r="AI47" s="209"/>
      <c r="AJ47" s="200"/>
      <c r="AK47" s="210"/>
      <c r="AL47" s="210"/>
      <c r="AM47" s="211"/>
      <c r="AN47" s="397"/>
      <c r="AO47" s="397"/>
      <c r="AP47" s="397"/>
    </row>
    <row r="48" spans="1:42" ht="37.5" customHeight="1" x14ac:dyDescent="0.2">
      <c r="A48" s="389"/>
      <c r="B48" s="386"/>
      <c r="C48" s="386"/>
      <c r="D48" s="386"/>
      <c r="E48" s="386"/>
      <c r="F48" s="386"/>
      <c r="G48" s="386"/>
      <c r="H48" s="386"/>
      <c r="I48" s="386"/>
      <c r="J48" s="386"/>
      <c r="K48" s="386"/>
      <c r="L48" s="398"/>
      <c r="M48" s="380"/>
      <c r="N48" s="377"/>
      <c r="O48" s="383"/>
      <c r="P48" s="288">
        <f ca="1">IF(NOT(ISERROR(MATCH(O48,_xlfn.ANCHORARRAY(E59),0))),N61&amp;"Por favor no seleccionar los criterios de impacto",O48)</f>
        <v>0</v>
      </c>
      <c r="Q48" s="380"/>
      <c r="R48" s="377"/>
      <c r="S48" s="374"/>
      <c r="T48" s="237">
        <v>6</v>
      </c>
      <c r="U48" s="201"/>
      <c r="V48" s="203" t="str">
        <f t="shared" si="6"/>
        <v/>
      </c>
      <c r="W48" s="204"/>
      <c r="X48" s="204"/>
      <c r="Y48" s="205" t="str">
        <f t="shared" si="7"/>
        <v/>
      </c>
      <c r="Z48" s="204"/>
      <c r="AA48" s="204"/>
      <c r="AB48" s="204"/>
      <c r="AC48" s="206" t="str">
        <f>IFERROR(IF(AND(V47="Probabilidad",V48="Probabilidad"),(AE47-(+AE47*Y48)),IF(AND(V47="Impacto",V48="Probabilidad"),(AE46-(+AE46*Y48)),IF(V48="Impacto",AE47,""))),"")</f>
        <v/>
      </c>
      <c r="AD48" s="207" t="str">
        <f t="shared" si="4"/>
        <v/>
      </c>
      <c r="AE48" s="205" t="str">
        <f t="shared" si="8"/>
        <v/>
      </c>
      <c r="AF48" s="207" t="str">
        <f>IFERROR(IF(AG48="","",IF(AG48&lt;=0.2,"Leve",IF(AG48&lt;=0.4,"Menor",IF(AG48&lt;=0.6,"Moderado",IF(AG48&lt;=0.8,"Mayor","Catastrófico"))))),"")</f>
        <v/>
      </c>
      <c r="AG48" s="205" t="str">
        <f>IFERROR(IF(AND(V47="Impacto",V48="Impacto"),(AG47-(+AG47*Y48)),IF(AND(V47="Probabilidad",V48="Impacto"),(AG46-(+AG46*Y48)),IF(V48="Probabilidad",AG47,""))),"")</f>
        <v/>
      </c>
      <c r="AH48" s="208" t="str">
        <f t="shared" si="9"/>
        <v/>
      </c>
      <c r="AI48" s="209"/>
      <c r="AJ48" s="200"/>
      <c r="AK48" s="210"/>
      <c r="AL48" s="210"/>
      <c r="AM48" s="211"/>
      <c r="AN48" s="398"/>
      <c r="AO48" s="398"/>
      <c r="AP48" s="398"/>
    </row>
    <row r="49" spans="1:42" ht="37.5" customHeight="1" x14ac:dyDescent="0.2">
      <c r="A49" s="387">
        <v>7</v>
      </c>
      <c r="B49" s="384"/>
      <c r="C49" s="384"/>
      <c r="D49" s="461"/>
      <c r="E49" s="384"/>
      <c r="F49" s="384"/>
      <c r="G49" s="384"/>
      <c r="H49" s="384"/>
      <c r="I49" s="384"/>
      <c r="J49" s="384"/>
      <c r="K49" s="384"/>
      <c r="L49" s="396"/>
      <c r="M49" s="378" t="str">
        <f>IF(L49&lt;=0,"",IF(L49&lt;=2,"Muy Baja",IF(L49&lt;=24,"Baja",IF(L49&lt;=500,"Media",IF(L49&lt;=5000,"Alta","Muy Alta")))))</f>
        <v/>
      </c>
      <c r="N49" s="375" t="str">
        <f>IF(M49="","",IF(M49="Muy Baja",0.2,IF(M49="Baja",0.4,IF(M49="Media",0.6,IF(M49="Alta",0.8,IF(M49="Muy Alta",1,))))))</f>
        <v/>
      </c>
      <c r="O49" s="381"/>
      <c r="P49" s="288">
        <f ca="1">IF(NOT(ISERROR(MATCH(O49,'Tabla Impacto'!$B$222:$B$224,0))),'Tabla Impacto'!$F$224&amp;"Por favor no seleccionar los criterios de impacto(Afectación Económica o presupuestal y Pérdida Reputacional)",O49)</f>
        <v>0</v>
      </c>
      <c r="Q49" s="378" t="str">
        <f ca="1">IF(OR(P49='Tabla Impacto'!$C$12,P49='Tabla Impacto'!$D$12),"Leve",IF(OR(P49='Tabla Impacto'!$C$13,P49='Tabla Impacto'!$D$13),"Menor",IF(OR(P49='Tabla Impacto'!$C$14,P49='Tabla Impacto'!$D$14),"Moderado",IF(OR(P49='Tabla Impacto'!$C$15,P49='Tabla Impacto'!$D$15),"Mayor",IF(OR(P49='Tabla Impacto'!$C$16,P49='Tabla Impacto'!$D$16),"Catastrófico","")))))</f>
        <v/>
      </c>
      <c r="R49" s="375" t="str">
        <f ca="1">IF(Q49="","",IF(Q49="Leve",0.2,IF(Q49="Menor",0.4,IF(Q49="Moderado",0.6,IF(Q49="Mayor",0.8,IF(Q49="Catastrófico",1,))))))</f>
        <v/>
      </c>
      <c r="S49" s="372" t="str">
        <f ca="1">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37">
        <v>1</v>
      </c>
      <c r="U49" s="213"/>
      <c r="V49" s="203" t="str">
        <f t="shared" si="6"/>
        <v/>
      </c>
      <c r="W49" s="204"/>
      <c r="X49" s="204"/>
      <c r="Y49" s="205" t="str">
        <f t="shared" si="7"/>
        <v/>
      </c>
      <c r="Z49" s="204"/>
      <c r="AA49" s="204"/>
      <c r="AB49" s="204"/>
      <c r="AC49" s="206" t="str">
        <f>IFERROR(IF(V49="Probabilidad",(N49-(+N49*Y49)),IF(V49="Impacto",N49,"")),"")</f>
        <v/>
      </c>
      <c r="AD49" s="207" t="str">
        <f>IFERROR(IF(AC49="","",IF(AC49&lt;=0.2,"Muy Baja",IF(AC49&lt;=0.4,"Baja",IF(AC49&lt;=0.6,"Media",IF(AC49&lt;=0.8,"Alta","Muy Alta"))))),"")</f>
        <v/>
      </c>
      <c r="AE49" s="205" t="str">
        <f t="shared" si="8"/>
        <v/>
      </c>
      <c r="AF49" s="207" t="str">
        <f>IFERROR(IF(AG49="","",IF(AG49&lt;=0.2,"Leve",IF(AG49&lt;=0.4,"Menor",IF(AG49&lt;=0.6,"Moderado",IF(AG49&lt;=0.8,"Mayor","Catastrófico"))))),"")</f>
        <v/>
      </c>
      <c r="AG49" s="205" t="str">
        <f>IFERROR(IF(V49="Impacto",(R49-(+R49*Y49)),IF(V49="Probabilidad",R49,"")),"")</f>
        <v/>
      </c>
      <c r="AH49" s="208" t="str">
        <f t="shared" si="9"/>
        <v/>
      </c>
      <c r="AI49" s="209"/>
      <c r="AJ49" s="200"/>
      <c r="AK49" s="210"/>
      <c r="AL49" s="210"/>
      <c r="AM49" s="211"/>
      <c r="AN49" s="396"/>
      <c r="AO49" s="396"/>
      <c r="AP49" s="396"/>
    </row>
    <row r="50" spans="1:42" ht="37.5" customHeight="1" x14ac:dyDescent="0.2">
      <c r="A50" s="388"/>
      <c r="B50" s="385"/>
      <c r="C50" s="385"/>
      <c r="D50" s="462"/>
      <c r="E50" s="385"/>
      <c r="F50" s="385"/>
      <c r="G50" s="385"/>
      <c r="H50" s="385"/>
      <c r="I50" s="385"/>
      <c r="J50" s="385"/>
      <c r="K50" s="385"/>
      <c r="L50" s="397"/>
      <c r="M50" s="379"/>
      <c r="N50" s="376"/>
      <c r="O50" s="382"/>
      <c r="P50" s="288">
        <f ca="1">IF(NOT(ISERROR(MATCH(O50,_xlfn.ANCHORARRAY(E61),0))),N63&amp;"Por favor no seleccionar los criterios de impacto",O50)</f>
        <v>0</v>
      </c>
      <c r="Q50" s="379"/>
      <c r="R50" s="376"/>
      <c r="S50" s="373"/>
      <c r="T50" s="237">
        <v>2</v>
      </c>
      <c r="U50" s="201"/>
      <c r="V50" s="203" t="str">
        <f t="shared" si="6"/>
        <v/>
      </c>
      <c r="W50" s="204"/>
      <c r="X50" s="204"/>
      <c r="Y50" s="205" t="str">
        <f t="shared" si="7"/>
        <v/>
      </c>
      <c r="Z50" s="204"/>
      <c r="AA50" s="204"/>
      <c r="AB50" s="204"/>
      <c r="AC50" s="206" t="str">
        <f>IFERROR(IF(AND(V49="Probabilidad",V50="Probabilidad"),(AE49-(+AE49*Y50)),IF(V50="Probabilidad",(N49-(+N49*Y50)),IF(V50="Impacto",AE49,""))),"")</f>
        <v/>
      </c>
      <c r="AD50" s="207" t="str">
        <f t="shared" si="4"/>
        <v/>
      </c>
      <c r="AE50" s="205" t="str">
        <f t="shared" si="8"/>
        <v/>
      </c>
      <c r="AF50" s="207" t="str">
        <f t="shared" si="5"/>
        <v/>
      </c>
      <c r="AG50" s="205" t="str">
        <f>IFERROR(IF(AND(V49="Impacto",V50="Impacto"),(AG43-(+AG43*Y50)),IF(V50="Impacto",($R$49-(+$R$49*Y50)),IF(V50="Probabilidad",AG43,""))),"")</f>
        <v/>
      </c>
      <c r="AH50" s="208" t="str">
        <f t="shared" si="9"/>
        <v/>
      </c>
      <c r="AI50" s="209"/>
      <c r="AJ50" s="200"/>
      <c r="AK50" s="210"/>
      <c r="AL50" s="210"/>
      <c r="AM50" s="211"/>
      <c r="AN50" s="397"/>
      <c r="AO50" s="397"/>
      <c r="AP50" s="397"/>
    </row>
    <row r="51" spans="1:42" ht="37.5" customHeight="1" x14ac:dyDescent="0.2">
      <c r="A51" s="388"/>
      <c r="B51" s="385"/>
      <c r="C51" s="385"/>
      <c r="D51" s="462"/>
      <c r="E51" s="385"/>
      <c r="F51" s="385"/>
      <c r="G51" s="385"/>
      <c r="H51" s="385"/>
      <c r="I51" s="385"/>
      <c r="J51" s="385"/>
      <c r="K51" s="385"/>
      <c r="L51" s="397"/>
      <c r="M51" s="379"/>
      <c r="N51" s="376"/>
      <c r="O51" s="382"/>
      <c r="P51" s="288">
        <f ca="1">IF(NOT(ISERROR(MATCH(O51,_xlfn.ANCHORARRAY(E62),0))),N64&amp;"Por favor no seleccionar los criterios de impacto",O51)</f>
        <v>0</v>
      </c>
      <c r="Q51" s="379"/>
      <c r="R51" s="376"/>
      <c r="S51" s="373"/>
      <c r="T51" s="237">
        <v>3</v>
      </c>
      <c r="U51" s="202"/>
      <c r="V51" s="203" t="str">
        <f t="shared" si="6"/>
        <v/>
      </c>
      <c r="W51" s="204"/>
      <c r="X51" s="204"/>
      <c r="Y51" s="205" t="str">
        <f t="shared" si="7"/>
        <v/>
      </c>
      <c r="Z51" s="204"/>
      <c r="AA51" s="204"/>
      <c r="AB51" s="204"/>
      <c r="AC51" s="206" t="str">
        <f>IFERROR(IF(AND(V50="Probabilidad",V51="Probabilidad"),(AE50-(+AE50*Y51)),IF(AND(V50="Impacto",V51="Probabilidad"),(AE49-(+AE49*Y51)),IF(V51="Impacto",AE50,""))),"")</f>
        <v/>
      </c>
      <c r="AD51" s="207" t="str">
        <f t="shared" si="4"/>
        <v/>
      </c>
      <c r="AE51" s="205" t="str">
        <f t="shared" si="8"/>
        <v/>
      </c>
      <c r="AF51" s="207" t="str">
        <f t="shared" si="5"/>
        <v/>
      </c>
      <c r="AG51" s="205" t="str">
        <f>IFERROR(IF(AND(V50="Impacto",V51="Impacto"),(AG50-(+AG50*Y51)),IF(AND(V50="Probabilidad",V51="Impacto"),(AG49-(+AG49*Y51)),IF(V51="Probabilidad",AG50,""))),"")</f>
        <v/>
      </c>
      <c r="AH51" s="208" t="str">
        <f t="shared" si="9"/>
        <v/>
      </c>
      <c r="AI51" s="209"/>
      <c r="AJ51" s="200"/>
      <c r="AK51" s="210"/>
      <c r="AL51" s="210"/>
      <c r="AM51" s="211"/>
      <c r="AN51" s="397"/>
      <c r="AO51" s="397"/>
      <c r="AP51" s="397"/>
    </row>
    <row r="52" spans="1:42" ht="37.5" customHeight="1" x14ac:dyDescent="0.2">
      <c r="A52" s="388"/>
      <c r="B52" s="385"/>
      <c r="C52" s="385"/>
      <c r="D52" s="462"/>
      <c r="E52" s="385"/>
      <c r="F52" s="385"/>
      <c r="G52" s="385"/>
      <c r="H52" s="385"/>
      <c r="I52" s="385"/>
      <c r="J52" s="385"/>
      <c r="K52" s="385"/>
      <c r="L52" s="397"/>
      <c r="M52" s="379"/>
      <c r="N52" s="376"/>
      <c r="O52" s="382"/>
      <c r="P52" s="288">
        <f ca="1">IF(NOT(ISERROR(MATCH(O52,_xlfn.ANCHORARRAY(E63),0))),N65&amp;"Por favor no seleccionar los criterios de impacto",O52)</f>
        <v>0</v>
      </c>
      <c r="Q52" s="379"/>
      <c r="R52" s="376"/>
      <c r="S52" s="373"/>
      <c r="T52" s="237">
        <v>4</v>
      </c>
      <c r="U52" s="201"/>
      <c r="V52" s="203" t="str">
        <f t="shared" si="6"/>
        <v/>
      </c>
      <c r="W52" s="204"/>
      <c r="X52" s="204"/>
      <c r="Y52" s="205" t="str">
        <f t="shared" si="7"/>
        <v/>
      </c>
      <c r="Z52" s="204"/>
      <c r="AA52" s="204"/>
      <c r="AB52" s="204"/>
      <c r="AC52" s="206" t="str">
        <f>IFERROR(IF(AND(V51="Probabilidad",V52="Probabilidad"),(AE51-(+AE51*Y52)),IF(AND(V51="Impacto",V52="Probabilidad"),(AE50-(+AE50*Y52)),IF(V52="Impacto",AE51,""))),"")</f>
        <v/>
      </c>
      <c r="AD52" s="207" t="str">
        <f t="shared" si="4"/>
        <v/>
      </c>
      <c r="AE52" s="205" t="str">
        <f t="shared" si="8"/>
        <v/>
      </c>
      <c r="AF52" s="207" t="str">
        <f t="shared" si="5"/>
        <v/>
      </c>
      <c r="AG52" s="205" t="str">
        <f>IFERROR(IF(AND(V51="Impacto",V52="Impacto"),(AG51-(+AG51*Y52)),IF(AND(V51="Probabilidad",V52="Impacto"),(AG50-(+AG50*Y52)),IF(V52="Probabilidad",AG51,""))),"")</f>
        <v/>
      </c>
      <c r="AH52" s="208" t="str">
        <f t="shared" si="9"/>
        <v/>
      </c>
      <c r="AI52" s="209"/>
      <c r="AJ52" s="200"/>
      <c r="AK52" s="210"/>
      <c r="AL52" s="210"/>
      <c r="AM52" s="211"/>
      <c r="AN52" s="397"/>
      <c r="AO52" s="397"/>
      <c r="AP52" s="397"/>
    </row>
    <row r="53" spans="1:42" ht="37.5" customHeight="1" x14ac:dyDescent="0.2">
      <c r="A53" s="388"/>
      <c r="B53" s="385"/>
      <c r="C53" s="385"/>
      <c r="D53" s="462"/>
      <c r="E53" s="385"/>
      <c r="F53" s="385"/>
      <c r="G53" s="385"/>
      <c r="H53" s="385"/>
      <c r="I53" s="385"/>
      <c r="J53" s="385"/>
      <c r="K53" s="385"/>
      <c r="L53" s="397"/>
      <c r="M53" s="379"/>
      <c r="N53" s="376"/>
      <c r="O53" s="382"/>
      <c r="P53" s="288">
        <f ca="1">IF(NOT(ISERROR(MATCH(O53,_xlfn.ANCHORARRAY(E64),0))),N66&amp;"Por favor no seleccionar los criterios de impacto",O53)</f>
        <v>0</v>
      </c>
      <c r="Q53" s="379"/>
      <c r="R53" s="376"/>
      <c r="S53" s="373"/>
      <c r="T53" s="237">
        <v>5</v>
      </c>
      <c r="U53" s="201"/>
      <c r="V53" s="203" t="str">
        <f t="shared" si="6"/>
        <v/>
      </c>
      <c r="W53" s="204"/>
      <c r="X53" s="204"/>
      <c r="Y53" s="205" t="str">
        <f t="shared" si="7"/>
        <v/>
      </c>
      <c r="Z53" s="204"/>
      <c r="AA53" s="204"/>
      <c r="AB53" s="204"/>
      <c r="AC53" s="206" t="str">
        <f>IFERROR(IF(AND(V52="Probabilidad",V53="Probabilidad"),(AE52-(+AE52*Y53)),IF(AND(V52="Impacto",V53="Probabilidad"),(AE51-(+AE51*Y53)),IF(V53="Impacto",AE52,""))),"")</f>
        <v/>
      </c>
      <c r="AD53" s="207" t="str">
        <f t="shared" si="4"/>
        <v/>
      </c>
      <c r="AE53" s="205" t="str">
        <f t="shared" si="8"/>
        <v/>
      </c>
      <c r="AF53" s="207" t="str">
        <f t="shared" si="5"/>
        <v/>
      </c>
      <c r="AG53" s="205" t="str">
        <f>IFERROR(IF(AND(V52="Impacto",V53="Impacto"),(AG52-(+AG52*Y53)),IF(AND(V52="Probabilidad",V53="Impacto"),(AG51-(+AG51*Y53)),IF(V53="Probabilidad",AG52,""))),"")</f>
        <v/>
      </c>
      <c r="AH53" s="208" t="str">
        <f t="shared" si="9"/>
        <v/>
      </c>
      <c r="AI53" s="209"/>
      <c r="AJ53" s="200"/>
      <c r="AK53" s="210"/>
      <c r="AL53" s="210"/>
      <c r="AM53" s="211"/>
      <c r="AN53" s="397"/>
      <c r="AO53" s="397"/>
      <c r="AP53" s="397"/>
    </row>
    <row r="54" spans="1:42" ht="37.5" customHeight="1" x14ac:dyDescent="0.2">
      <c r="A54" s="389"/>
      <c r="B54" s="386"/>
      <c r="C54" s="386"/>
      <c r="D54" s="463"/>
      <c r="E54" s="386"/>
      <c r="F54" s="386"/>
      <c r="G54" s="386"/>
      <c r="H54" s="386"/>
      <c r="I54" s="386"/>
      <c r="J54" s="386"/>
      <c r="K54" s="386"/>
      <c r="L54" s="398"/>
      <c r="M54" s="380"/>
      <c r="N54" s="377"/>
      <c r="O54" s="383"/>
      <c r="P54" s="288">
        <f ca="1">IF(NOT(ISERROR(MATCH(O54,_xlfn.ANCHORARRAY(E65),0))),N67&amp;"Por favor no seleccionar los criterios de impacto",O54)</f>
        <v>0</v>
      </c>
      <c r="Q54" s="380"/>
      <c r="R54" s="377"/>
      <c r="S54" s="374"/>
      <c r="T54" s="237">
        <v>6</v>
      </c>
      <c r="U54" s="201"/>
      <c r="V54" s="203" t="str">
        <f t="shared" si="6"/>
        <v/>
      </c>
      <c r="W54" s="204"/>
      <c r="X54" s="204"/>
      <c r="Y54" s="205" t="str">
        <f t="shared" si="7"/>
        <v/>
      </c>
      <c r="Z54" s="204"/>
      <c r="AA54" s="204"/>
      <c r="AB54" s="204"/>
      <c r="AC54" s="206" t="str">
        <f>IFERROR(IF(AND(V53="Probabilidad",V54="Probabilidad"),(AE53-(+AE53*Y54)),IF(AND(V53="Impacto",V54="Probabilidad"),(AE52-(+AE52*Y54)),IF(V54="Impacto",AE53,""))),"")</f>
        <v/>
      </c>
      <c r="AD54" s="207" t="str">
        <f t="shared" si="4"/>
        <v/>
      </c>
      <c r="AE54" s="205" t="str">
        <f t="shared" si="8"/>
        <v/>
      </c>
      <c r="AF54" s="207" t="str">
        <f t="shared" si="5"/>
        <v/>
      </c>
      <c r="AG54" s="205" t="str">
        <f>IFERROR(IF(AND(V53="Impacto",V54="Impacto"),(AG53-(+AG53*Y54)),IF(AND(V53="Probabilidad",V54="Impacto"),(AG52-(+AG52*Y54)),IF(V54="Probabilidad",AG53,""))),"")</f>
        <v/>
      </c>
      <c r="AH54" s="208" t="str">
        <f t="shared" si="9"/>
        <v/>
      </c>
      <c r="AI54" s="209"/>
      <c r="AJ54" s="200"/>
      <c r="AK54" s="210"/>
      <c r="AL54" s="210"/>
      <c r="AM54" s="211"/>
      <c r="AN54" s="398"/>
      <c r="AO54" s="398"/>
      <c r="AP54" s="398"/>
    </row>
    <row r="55" spans="1:42" ht="37.5" customHeight="1" x14ac:dyDescent="0.2">
      <c r="A55" s="387">
        <v>8</v>
      </c>
      <c r="B55" s="384"/>
      <c r="C55" s="384"/>
      <c r="D55" s="384"/>
      <c r="E55" s="384"/>
      <c r="F55" s="384"/>
      <c r="G55" s="384"/>
      <c r="H55" s="384"/>
      <c r="I55" s="384"/>
      <c r="J55" s="384"/>
      <c r="K55" s="384"/>
      <c r="L55" s="396"/>
      <c r="M55" s="378" t="str">
        <f>IF(L55&lt;=0,"",IF(L55&lt;=2,"Muy Baja",IF(L55&lt;=24,"Baja",IF(L55&lt;=500,"Media",IF(L55&lt;=5000,"Alta","Muy Alta")))))</f>
        <v/>
      </c>
      <c r="N55" s="375" t="str">
        <f>IF(M55="","",IF(M55="Muy Baja",0.2,IF(M55="Baja",0.4,IF(M55="Media",0.6,IF(M55="Alta",0.8,IF(M55="Muy Alta",1,))))))</f>
        <v/>
      </c>
      <c r="O55" s="381"/>
      <c r="P55" s="288">
        <f ca="1">IF(NOT(ISERROR(MATCH(O55,'Tabla Impacto'!$B$222:$B$224,0))),'Tabla Impacto'!$F$224&amp;"Por favor no seleccionar los criterios de impacto(Afectación Económica o presupuestal y Pérdida Reputacional)",O55)</f>
        <v>0</v>
      </c>
      <c r="Q55" s="378" t="str">
        <f ca="1">IF(OR(P55='Tabla Impacto'!$C$12,P55='Tabla Impacto'!$D$12),"Leve",IF(OR(P55='Tabla Impacto'!$C$13,P55='Tabla Impacto'!$D$13),"Menor",IF(OR(P55='Tabla Impacto'!$C$14,P55='Tabla Impacto'!$D$14),"Moderado",IF(OR(P55='Tabla Impacto'!$C$15,P55='Tabla Impacto'!$D$15),"Mayor",IF(OR(P55='Tabla Impacto'!$C$16,P55='Tabla Impacto'!$D$16),"Catastrófico","")))))</f>
        <v/>
      </c>
      <c r="R55" s="375" t="str">
        <f ca="1">IF(Q55="","",IF(Q55="Leve",0.2,IF(Q55="Menor",0.4,IF(Q55="Moderado",0.6,IF(Q55="Mayor",0.8,IF(Q55="Catastrófico",1,))))))</f>
        <v/>
      </c>
      <c r="S55" s="372" t="str">
        <f ca="1">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37">
        <v>1</v>
      </c>
      <c r="U55" s="201"/>
      <c r="V55" s="203" t="str">
        <f t="shared" si="6"/>
        <v/>
      </c>
      <c r="W55" s="204"/>
      <c r="X55" s="204"/>
      <c r="Y55" s="205" t="str">
        <f t="shared" si="7"/>
        <v/>
      </c>
      <c r="Z55" s="204"/>
      <c r="AA55" s="204"/>
      <c r="AB55" s="204"/>
      <c r="AC55" s="206" t="str">
        <f>IFERROR(IF(V55="Probabilidad",(N55-(+N55*Y55)),IF(V55="Impacto",N55,"")),"")</f>
        <v/>
      </c>
      <c r="AD55" s="207" t="str">
        <f>IFERROR(IF(AC55="","",IF(AC55&lt;=0.2,"Muy Baja",IF(AC55&lt;=0.4,"Baja",IF(AC55&lt;=0.6,"Media",IF(AC55&lt;=0.8,"Alta","Muy Alta"))))),"")</f>
        <v/>
      </c>
      <c r="AE55" s="205" t="str">
        <f t="shared" si="8"/>
        <v/>
      </c>
      <c r="AF55" s="207" t="str">
        <f>IFERROR(IF(AG55="","",IF(AG55&lt;=0.2,"Leve",IF(AG55&lt;=0.4,"Menor",IF(AG55&lt;=0.6,"Moderado",IF(AG55&lt;=0.8,"Mayor","Catastrófico"))))),"")</f>
        <v/>
      </c>
      <c r="AG55" s="205" t="str">
        <f>IFERROR(IF(V55="Impacto",(R55-(+R55*Y55)),IF(V55="Probabilidad",R55,"")),"")</f>
        <v/>
      </c>
      <c r="AH55" s="208" t="str">
        <f t="shared" si="9"/>
        <v/>
      </c>
      <c r="AI55" s="209"/>
      <c r="AJ55" s="200"/>
      <c r="AK55" s="210"/>
      <c r="AL55" s="210"/>
      <c r="AM55" s="211"/>
      <c r="AN55" s="396"/>
      <c r="AO55" s="396"/>
      <c r="AP55" s="396"/>
    </row>
    <row r="56" spans="1:42" ht="37.5" customHeight="1" x14ac:dyDescent="0.2">
      <c r="A56" s="388"/>
      <c r="B56" s="385"/>
      <c r="C56" s="385"/>
      <c r="D56" s="385"/>
      <c r="E56" s="385"/>
      <c r="F56" s="385"/>
      <c r="G56" s="385"/>
      <c r="H56" s="385"/>
      <c r="I56" s="385"/>
      <c r="J56" s="385"/>
      <c r="K56" s="385"/>
      <c r="L56" s="397"/>
      <c r="M56" s="379"/>
      <c r="N56" s="376"/>
      <c r="O56" s="382"/>
      <c r="P56" s="288">
        <f ca="1">IF(NOT(ISERROR(MATCH(O56,_xlfn.ANCHORARRAY(E67),0))),N69&amp;"Por favor no seleccionar los criterios de impacto",O56)</f>
        <v>0</v>
      </c>
      <c r="Q56" s="379"/>
      <c r="R56" s="376"/>
      <c r="S56" s="373"/>
      <c r="T56" s="237">
        <v>2</v>
      </c>
      <c r="U56" s="201"/>
      <c r="V56" s="203" t="str">
        <f t="shared" si="6"/>
        <v/>
      </c>
      <c r="W56" s="204"/>
      <c r="X56" s="204"/>
      <c r="Y56" s="205" t="str">
        <f t="shared" si="7"/>
        <v/>
      </c>
      <c r="Z56" s="204"/>
      <c r="AA56" s="204"/>
      <c r="AB56" s="204"/>
      <c r="AC56" s="206" t="str">
        <f>IFERROR(IF(AND(V55="Probabilidad",V56="Probabilidad"),(AE55-(+AE55*Y56)),IF(V56="Probabilidad",(N55-(+N55*Y56)),IF(V56="Impacto",AE55,""))),"")</f>
        <v/>
      </c>
      <c r="AD56" s="207" t="str">
        <f t="shared" si="4"/>
        <v/>
      </c>
      <c r="AE56" s="205" t="str">
        <f t="shared" si="8"/>
        <v/>
      </c>
      <c r="AF56" s="207" t="str">
        <f t="shared" si="5"/>
        <v/>
      </c>
      <c r="AG56" s="205" t="str">
        <f>IFERROR(IF(AND(V55="Impacto",V56="Impacto"),(AG49-(+AG49*Y56)),IF(V56="Impacto",($R$55-(+$R$55*Y56)),IF(V56="Probabilidad",AG49,""))),"")</f>
        <v/>
      </c>
      <c r="AH56" s="208" t="str">
        <f t="shared" si="9"/>
        <v/>
      </c>
      <c r="AI56" s="209"/>
      <c r="AJ56" s="200"/>
      <c r="AK56" s="210"/>
      <c r="AL56" s="210"/>
      <c r="AM56" s="211"/>
      <c r="AN56" s="397"/>
      <c r="AO56" s="397"/>
      <c r="AP56" s="397"/>
    </row>
    <row r="57" spans="1:42" ht="37.5" customHeight="1" x14ac:dyDescent="0.2">
      <c r="A57" s="388"/>
      <c r="B57" s="385"/>
      <c r="C57" s="385"/>
      <c r="D57" s="385"/>
      <c r="E57" s="385"/>
      <c r="F57" s="385"/>
      <c r="G57" s="385"/>
      <c r="H57" s="385"/>
      <c r="I57" s="385"/>
      <c r="J57" s="385"/>
      <c r="K57" s="385"/>
      <c r="L57" s="397"/>
      <c r="M57" s="379"/>
      <c r="N57" s="376"/>
      <c r="O57" s="382"/>
      <c r="P57" s="288">
        <f ca="1">IF(NOT(ISERROR(MATCH(O57,_xlfn.ANCHORARRAY(E68),0))),N70&amp;"Por favor no seleccionar los criterios de impacto",O57)</f>
        <v>0</v>
      </c>
      <c r="Q57" s="379"/>
      <c r="R57" s="376"/>
      <c r="S57" s="373"/>
      <c r="T57" s="237">
        <v>3</v>
      </c>
      <c r="U57" s="202"/>
      <c r="V57" s="203" t="str">
        <f t="shared" si="6"/>
        <v/>
      </c>
      <c r="W57" s="204"/>
      <c r="X57" s="204"/>
      <c r="Y57" s="205" t="str">
        <f t="shared" si="7"/>
        <v/>
      </c>
      <c r="Z57" s="204"/>
      <c r="AA57" s="204"/>
      <c r="AB57" s="204"/>
      <c r="AC57" s="206" t="str">
        <f>IFERROR(IF(AND(V56="Probabilidad",V57="Probabilidad"),(AE56-(+AE56*Y57)),IF(AND(V56="Impacto",V57="Probabilidad"),(AE55-(+AE55*Y57)),IF(V57="Impacto",AE56,""))),"")</f>
        <v/>
      </c>
      <c r="AD57" s="207" t="str">
        <f t="shared" si="4"/>
        <v/>
      </c>
      <c r="AE57" s="205" t="str">
        <f t="shared" si="8"/>
        <v/>
      </c>
      <c r="AF57" s="207" t="str">
        <f t="shared" si="5"/>
        <v/>
      </c>
      <c r="AG57" s="205" t="str">
        <f>IFERROR(IF(AND(V56="Impacto",V57="Impacto"),(AG56-(+AG56*Y57)),IF(AND(V56="Probabilidad",V57="Impacto"),(AG55-(+AG55*Y57)),IF(V57="Probabilidad",AG56,""))),"")</f>
        <v/>
      </c>
      <c r="AH57" s="208" t="str">
        <f t="shared" si="9"/>
        <v/>
      </c>
      <c r="AI57" s="209"/>
      <c r="AJ57" s="200"/>
      <c r="AK57" s="210"/>
      <c r="AL57" s="210"/>
      <c r="AM57" s="211"/>
      <c r="AN57" s="397"/>
      <c r="AO57" s="397"/>
      <c r="AP57" s="397"/>
    </row>
    <row r="58" spans="1:42" ht="37.5" customHeight="1" x14ac:dyDescent="0.2">
      <c r="A58" s="388"/>
      <c r="B58" s="385"/>
      <c r="C58" s="385"/>
      <c r="D58" s="385"/>
      <c r="E58" s="385"/>
      <c r="F58" s="385"/>
      <c r="G58" s="385"/>
      <c r="H58" s="385"/>
      <c r="I58" s="385"/>
      <c r="J58" s="385"/>
      <c r="K58" s="385"/>
      <c r="L58" s="397"/>
      <c r="M58" s="379"/>
      <c r="N58" s="376"/>
      <c r="O58" s="382"/>
      <c r="P58" s="288">
        <f ca="1">IF(NOT(ISERROR(MATCH(O58,_xlfn.ANCHORARRAY(E69),0))),N71&amp;"Por favor no seleccionar los criterios de impacto",O58)</f>
        <v>0</v>
      </c>
      <c r="Q58" s="379"/>
      <c r="R58" s="376"/>
      <c r="S58" s="373"/>
      <c r="T58" s="237">
        <v>4</v>
      </c>
      <c r="U58" s="201"/>
      <c r="V58" s="203" t="str">
        <f t="shared" si="6"/>
        <v/>
      </c>
      <c r="W58" s="204"/>
      <c r="X58" s="204"/>
      <c r="Y58" s="205" t="str">
        <f t="shared" si="7"/>
        <v/>
      </c>
      <c r="Z58" s="204"/>
      <c r="AA58" s="204"/>
      <c r="AB58" s="204"/>
      <c r="AC58" s="206" t="str">
        <f>IFERROR(IF(AND(V57="Probabilidad",V58="Probabilidad"),(AE57-(+AE57*Y58)),IF(AND(V57="Impacto",V58="Probabilidad"),(AE56-(+AE56*Y58)),IF(V58="Impacto",AE57,""))),"")</f>
        <v/>
      </c>
      <c r="AD58" s="207" t="str">
        <f t="shared" si="4"/>
        <v/>
      </c>
      <c r="AE58" s="205" t="str">
        <f t="shared" si="8"/>
        <v/>
      </c>
      <c r="AF58" s="207" t="str">
        <f t="shared" si="5"/>
        <v/>
      </c>
      <c r="AG58" s="205" t="str">
        <f>IFERROR(IF(AND(V57="Impacto",V58="Impacto"),(AG57-(+AG57*Y58)),IF(AND(V57="Probabilidad",V58="Impacto"),(AG56-(+AG56*Y58)),IF(V58="Probabilidad",AG57,""))),"")</f>
        <v/>
      </c>
      <c r="AH58" s="208" t="str">
        <f t="shared" si="9"/>
        <v/>
      </c>
      <c r="AI58" s="209"/>
      <c r="AJ58" s="200"/>
      <c r="AK58" s="210"/>
      <c r="AL58" s="210"/>
      <c r="AM58" s="211"/>
      <c r="AN58" s="397"/>
      <c r="AO58" s="397"/>
      <c r="AP58" s="397"/>
    </row>
    <row r="59" spans="1:42" ht="37.5" customHeight="1" x14ac:dyDescent="0.2">
      <c r="A59" s="388"/>
      <c r="B59" s="385"/>
      <c r="C59" s="385"/>
      <c r="D59" s="385"/>
      <c r="E59" s="385"/>
      <c r="F59" s="385"/>
      <c r="G59" s="385"/>
      <c r="H59" s="385"/>
      <c r="I59" s="385"/>
      <c r="J59" s="385"/>
      <c r="K59" s="385"/>
      <c r="L59" s="397"/>
      <c r="M59" s="379"/>
      <c r="N59" s="376"/>
      <c r="O59" s="382"/>
      <c r="P59" s="288">
        <f ca="1">IF(NOT(ISERROR(MATCH(O59,_xlfn.ANCHORARRAY(E70),0))),N72&amp;"Por favor no seleccionar los criterios de impacto",O59)</f>
        <v>0</v>
      </c>
      <c r="Q59" s="379"/>
      <c r="R59" s="376"/>
      <c r="S59" s="373"/>
      <c r="T59" s="237">
        <v>5</v>
      </c>
      <c r="U59" s="201"/>
      <c r="V59" s="203" t="str">
        <f t="shared" si="6"/>
        <v/>
      </c>
      <c r="W59" s="204"/>
      <c r="X59" s="204"/>
      <c r="Y59" s="205" t="str">
        <f t="shared" si="7"/>
        <v/>
      </c>
      <c r="Z59" s="204"/>
      <c r="AA59" s="204"/>
      <c r="AB59" s="204"/>
      <c r="AC59" s="206" t="str">
        <f>IFERROR(IF(AND(V58="Probabilidad",V59="Probabilidad"),(AE58-(+AE58*Y59)),IF(AND(V58="Impacto",V59="Probabilidad"),(AE57-(+AE57*Y59)),IF(V59="Impacto",AE58,""))),"")</f>
        <v/>
      </c>
      <c r="AD59" s="207" t="str">
        <f t="shared" si="4"/>
        <v/>
      </c>
      <c r="AE59" s="205" t="str">
        <f t="shared" si="8"/>
        <v/>
      </c>
      <c r="AF59" s="207" t="str">
        <f t="shared" si="5"/>
        <v/>
      </c>
      <c r="AG59" s="205" t="str">
        <f>IFERROR(IF(AND(V58="Impacto",V59="Impacto"),(AG58-(+AG58*Y59)),IF(AND(V58="Probabilidad",V59="Impacto"),(AG57-(+AG57*Y59)),IF(V59="Probabilidad",AG58,""))),"")</f>
        <v/>
      </c>
      <c r="AH59" s="208" t="str">
        <f t="shared" si="9"/>
        <v/>
      </c>
      <c r="AI59" s="209"/>
      <c r="AJ59" s="200"/>
      <c r="AK59" s="210"/>
      <c r="AL59" s="210"/>
      <c r="AM59" s="211"/>
      <c r="AN59" s="397"/>
      <c r="AO59" s="397"/>
      <c r="AP59" s="397"/>
    </row>
    <row r="60" spans="1:42" ht="37.5" customHeight="1" x14ac:dyDescent="0.2">
      <c r="A60" s="389"/>
      <c r="B60" s="386"/>
      <c r="C60" s="386"/>
      <c r="D60" s="386"/>
      <c r="E60" s="386"/>
      <c r="F60" s="386"/>
      <c r="G60" s="386"/>
      <c r="H60" s="386"/>
      <c r="I60" s="386"/>
      <c r="J60" s="386"/>
      <c r="K60" s="386"/>
      <c r="L60" s="398"/>
      <c r="M60" s="380"/>
      <c r="N60" s="377"/>
      <c r="O60" s="383"/>
      <c r="P60" s="288">
        <f ca="1">IF(NOT(ISERROR(MATCH(O60,_xlfn.ANCHORARRAY(E71),0))),N73&amp;"Por favor no seleccionar los criterios de impacto",O60)</f>
        <v>0</v>
      </c>
      <c r="Q60" s="380"/>
      <c r="R60" s="377"/>
      <c r="S60" s="374"/>
      <c r="T60" s="237">
        <v>6</v>
      </c>
      <c r="U60" s="201"/>
      <c r="V60" s="203" t="str">
        <f t="shared" si="6"/>
        <v/>
      </c>
      <c r="W60" s="204"/>
      <c r="X60" s="204"/>
      <c r="Y60" s="205" t="str">
        <f t="shared" si="7"/>
        <v/>
      </c>
      <c r="Z60" s="204"/>
      <c r="AA60" s="204"/>
      <c r="AB60" s="204"/>
      <c r="AC60" s="206" t="str">
        <f>IFERROR(IF(AND(V59="Probabilidad",V60="Probabilidad"),(AE59-(+AE59*Y60)),IF(AND(V59="Impacto",V60="Probabilidad"),(AE58-(+AE58*Y60)),IF(V60="Impacto",AE59,""))),"")</f>
        <v/>
      </c>
      <c r="AD60" s="207" t="str">
        <f t="shared" si="4"/>
        <v/>
      </c>
      <c r="AE60" s="205" t="str">
        <f t="shared" si="8"/>
        <v/>
      </c>
      <c r="AF60" s="207" t="str">
        <f t="shared" si="5"/>
        <v/>
      </c>
      <c r="AG60" s="205" t="str">
        <f>IFERROR(IF(AND(V59="Impacto",V60="Impacto"),(AG59-(+AG59*Y60)),IF(AND(V59="Probabilidad",V60="Impacto"),(AG58-(+AG58*Y60)),IF(V60="Probabilidad",AG59,""))),"")</f>
        <v/>
      </c>
      <c r="AH60" s="208" t="str">
        <f t="shared" si="9"/>
        <v/>
      </c>
      <c r="AI60" s="209"/>
      <c r="AJ60" s="200"/>
      <c r="AK60" s="210"/>
      <c r="AL60" s="210"/>
      <c r="AM60" s="211"/>
      <c r="AN60" s="398"/>
      <c r="AO60" s="398"/>
      <c r="AP60" s="398"/>
    </row>
    <row r="61" spans="1:42" ht="37.5" customHeight="1" x14ac:dyDescent="0.2">
      <c r="A61" s="387">
        <v>9</v>
      </c>
      <c r="B61" s="384"/>
      <c r="C61" s="384"/>
      <c r="D61" s="384"/>
      <c r="E61" s="384"/>
      <c r="F61" s="384"/>
      <c r="G61" s="384"/>
      <c r="H61" s="384"/>
      <c r="I61" s="384"/>
      <c r="J61" s="384"/>
      <c r="K61" s="384"/>
      <c r="L61" s="396"/>
      <c r="M61" s="378" t="str">
        <f>IF(L61&lt;=0,"",IF(L61&lt;=2,"Muy Baja",IF(L61&lt;=24,"Baja",IF(L61&lt;=500,"Media",IF(L61&lt;=5000,"Alta","Muy Alta")))))</f>
        <v/>
      </c>
      <c r="N61" s="375" t="str">
        <f>IF(M61="","",IF(M61="Muy Baja",0.2,IF(M61="Baja",0.4,IF(M61="Media",0.6,IF(M61="Alta",0.8,IF(M61="Muy Alta",1,))))))</f>
        <v/>
      </c>
      <c r="O61" s="381"/>
      <c r="P61" s="375">
        <f ca="1">IF(NOT(ISERROR(MATCH(O61,'Tabla Impacto'!$B$222:$B$224,0))),'Tabla Impacto'!$F$224&amp;"Por favor no seleccionar los criterios de impacto(Afectación Económica o presupuestal y Pérdida Reputacional)",O61)</f>
        <v>0</v>
      </c>
      <c r="Q61" s="378" t="str">
        <f ca="1">IF(OR(P61='Tabla Impacto'!$C$12,P61='Tabla Impacto'!$D$12),"Leve",IF(OR(P61='Tabla Impacto'!$C$13,P61='Tabla Impacto'!$D$13),"Menor",IF(OR(P61='Tabla Impacto'!$C$14,P61='Tabla Impacto'!$D$14),"Moderado",IF(OR(P61='Tabla Impacto'!$C$15,P61='Tabla Impacto'!$D$15),"Mayor",IF(OR(P61='Tabla Impacto'!$C$16,P61='Tabla Impacto'!$D$16),"Catastrófico","")))))</f>
        <v/>
      </c>
      <c r="R61" s="375" t="str">
        <f ca="1">IF(Q61="","",IF(Q61="Leve",0.2,IF(Q61="Menor",0.4,IF(Q61="Moderado",0.6,IF(Q61="Mayor",0.8,IF(Q61="Catastrófico",1,))))))</f>
        <v/>
      </c>
      <c r="S61" s="372" t="str">
        <f ca="1">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37">
        <v>1</v>
      </c>
      <c r="U61" s="201"/>
      <c r="V61" s="203" t="str">
        <f t="shared" si="6"/>
        <v/>
      </c>
      <c r="W61" s="204"/>
      <c r="X61" s="204"/>
      <c r="Y61" s="205" t="str">
        <f t="shared" si="7"/>
        <v/>
      </c>
      <c r="Z61" s="204"/>
      <c r="AA61" s="204"/>
      <c r="AB61" s="204"/>
      <c r="AC61" s="206" t="str">
        <f>IFERROR(IF(V61="Probabilidad",(N61-(+N61*Y61)),IF(V61="Impacto",N61,"")),"")</f>
        <v/>
      </c>
      <c r="AD61" s="207" t="str">
        <f>IFERROR(IF(AC61="","",IF(AC61&lt;=0.2,"Muy Baja",IF(AC61&lt;=0.4,"Baja",IF(AC61&lt;=0.6,"Media",IF(AC61&lt;=0.8,"Alta","Muy Alta"))))),"")</f>
        <v/>
      </c>
      <c r="AE61" s="205" t="str">
        <f t="shared" si="8"/>
        <v/>
      </c>
      <c r="AF61" s="207" t="str">
        <f>IFERROR(IF(AG61="","",IF(AG61&lt;=0.2,"Leve",IF(AG61&lt;=0.4,"Menor",IF(AG61&lt;=0.6,"Moderado",IF(AG61&lt;=0.8,"Mayor","Catastrófico"))))),"")</f>
        <v/>
      </c>
      <c r="AG61" s="205" t="str">
        <f>IFERROR(IF(V61="Impacto",(R61-(+R61*Y61)),IF(V61="Probabilidad",R61,"")),"")</f>
        <v/>
      </c>
      <c r="AH61" s="208" t="str">
        <f t="shared" si="9"/>
        <v/>
      </c>
      <c r="AI61" s="209"/>
      <c r="AJ61" s="200"/>
      <c r="AK61" s="210"/>
      <c r="AL61" s="210"/>
      <c r="AM61" s="211"/>
      <c r="AN61" s="396"/>
      <c r="AO61" s="396"/>
      <c r="AP61" s="396"/>
    </row>
    <row r="62" spans="1:42" ht="37.5" customHeight="1" x14ac:dyDescent="0.2">
      <c r="A62" s="388"/>
      <c r="B62" s="385"/>
      <c r="C62" s="385"/>
      <c r="D62" s="385"/>
      <c r="E62" s="385"/>
      <c r="F62" s="385"/>
      <c r="G62" s="385"/>
      <c r="H62" s="385"/>
      <c r="I62" s="385"/>
      <c r="J62" s="385"/>
      <c r="K62" s="385"/>
      <c r="L62" s="397"/>
      <c r="M62" s="379"/>
      <c r="N62" s="376"/>
      <c r="O62" s="382"/>
      <c r="P62" s="376">
        <f ca="1">IF(NOT(ISERROR(MATCH(O62,_xlfn.ANCHORARRAY(E73),0))),N75&amp;"Por favor no seleccionar los criterios de impacto",O62)</f>
        <v>0</v>
      </c>
      <c r="Q62" s="379"/>
      <c r="R62" s="376"/>
      <c r="S62" s="373"/>
      <c r="T62" s="237">
        <v>2</v>
      </c>
      <c r="U62" s="201"/>
      <c r="V62" s="203" t="str">
        <f t="shared" si="6"/>
        <v/>
      </c>
      <c r="W62" s="204"/>
      <c r="X62" s="204"/>
      <c r="Y62" s="205" t="str">
        <f t="shared" si="7"/>
        <v/>
      </c>
      <c r="Z62" s="204"/>
      <c r="AA62" s="204"/>
      <c r="AB62" s="204"/>
      <c r="AC62" s="206" t="str">
        <f>IFERROR(IF(AND(V61="Probabilidad",V62="Probabilidad"),(AE61-(+AE61*Y62)),IF(V62="Probabilidad",(N61-(+N61*Y62)),IF(V62="Impacto",AE61,""))),"")</f>
        <v/>
      </c>
      <c r="AD62" s="207" t="str">
        <f t="shared" si="4"/>
        <v/>
      </c>
      <c r="AE62" s="205" t="str">
        <f t="shared" si="8"/>
        <v/>
      </c>
      <c r="AF62" s="207" t="str">
        <f t="shared" si="5"/>
        <v/>
      </c>
      <c r="AG62" s="205" t="str">
        <f>IFERROR(IF(AND(V61="Impacto",V62="Impacto"),(AG55-(+AG55*Y62)),IF(V62="Impacto",($R$61-(+$R$61*Y62)),IF(V62="Probabilidad",AG55,""))),"")</f>
        <v/>
      </c>
      <c r="AH62" s="208" t="str">
        <f t="shared" si="9"/>
        <v/>
      </c>
      <c r="AI62" s="209"/>
      <c r="AJ62" s="200"/>
      <c r="AK62" s="210"/>
      <c r="AL62" s="210"/>
      <c r="AM62" s="211"/>
      <c r="AN62" s="397"/>
      <c r="AO62" s="397"/>
      <c r="AP62" s="397"/>
    </row>
    <row r="63" spans="1:42" ht="37.5" customHeight="1" x14ac:dyDescent="0.2">
      <c r="A63" s="388"/>
      <c r="B63" s="385"/>
      <c r="C63" s="385"/>
      <c r="D63" s="385"/>
      <c r="E63" s="385"/>
      <c r="F63" s="385"/>
      <c r="G63" s="385"/>
      <c r="H63" s="385"/>
      <c r="I63" s="385"/>
      <c r="J63" s="385"/>
      <c r="K63" s="385"/>
      <c r="L63" s="397"/>
      <c r="M63" s="379"/>
      <c r="N63" s="376"/>
      <c r="O63" s="382"/>
      <c r="P63" s="376">
        <f ca="1">IF(NOT(ISERROR(MATCH(O63,_xlfn.ANCHORARRAY(E74),0))),N76&amp;"Por favor no seleccionar los criterios de impacto",O63)</f>
        <v>0</v>
      </c>
      <c r="Q63" s="379"/>
      <c r="R63" s="376"/>
      <c r="S63" s="373"/>
      <c r="T63" s="237">
        <v>3</v>
      </c>
      <c r="U63" s="201"/>
      <c r="V63" s="203" t="str">
        <f t="shared" si="6"/>
        <v/>
      </c>
      <c r="W63" s="204"/>
      <c r="X63" s="204"/>
      <c r="Y63" s="205" t="str">
        <f t="shared" si="7"/>
        <v/>
      </c>
      <c r="Z63" s="204"/>
      <c r="AA63" s="204"/>
      <c r="AB63" s="204"/>
      <c r="AC63" s="206" t="str">
        <f>IFERROR(IF(AND(V62="Probabilidad",V63="Probabilidad"),(AE62-(+AE62*Y63)),IF(AND(V62="Impacto",V63="Probabilidad"),(AE61-(+AE61*Y63)),IF(V63="Impacto",AE62,""))),"")</f>
        <v/>
      </c>
      <c r="AD63" s="207" t="str">
        <f t="shared" si="4"/>
        <v/>
      </c>
      <c r="AE63" s="205" t="str">
        <f t="shared" si="8"/>
        <v/>
      </c>
      <c r="AF63" s="207" t="str">
        <f t="shared" si="5"/>
        <v/>
      </c>
      <c r="AG63" s="205" t="str">
        <f>IFERROR(IF(AND(V62="Impacto",V63="Impacto"),(AG62-(+AG62*Y63)),IF(AND(V62="Probabilidad",V63="Impacto"),(AG61-(+AG61*Y63)),IF(V63="Probabilidad",AG62,""))),"")</f>
        <v/>
      </c>
      <c r="AH63" s="208" t="str">
        <f t="shared" si="9"/>
        <v/>
      </c>
      <c r="AI63" s="209"/>
      <c r="AJ63" s="200"/>
      <c r="AK63" s="210"/>
      <c r="AL63" s="210"/>
      <c r="AM63" s="211"/>
      <c r="AN63" s="397"/>
      <c r="AO63" s="397"/>
      <c r="AP63" s="397"/>
    </row>
    <row r="64" spans="1:42" ht="37.5" customHeight="1" x14ac:dyDescent="0.2">
      <c r="A64" s="388"/>
      <c r="B64" s="385"/>
      <c r="C64" s="385"/>
      <c r="D64" s="385"/>
      <c r="E64" s="385"/>
      <c r="F64" s="385"/>
      <c r="G64" s="385"/>
      <c r="H64" s="385"/>
      <c r="I64" s="385"/>
      <c r="J64" s="385"/>
      <c r="K64" s="385"/>
      <c r="L64" s="397"/>
      <c r="M64" s="379"/>
      <c r="N64" s="376"/>
      <c r="O64" s="382"/>
      <c r="P64" s="376">
        <f ca="1">IF(NOT(ISERROR(MATCH(O64,_xlfn.ANCHORARRAY(E75),0))),N77&amp;"Por favor no seleccionar los criterios de impacto",O64)</f>
        <v>0</v>
      </c>
      <c r="Q64" s="379"/>
      <c r="R64" s="376"/>
      <c r="S64" s="373"/>
      <c r="T64" s="237">
        <v>4</v>
      </c>
      <c r="U64" s="201"/>
      <c r="V64" s="203" t="str">
        <f t="shared" si="6"/>
        <v/>
      </c>
      <c r="W64" s="204"/>
      <c r="X64" s="204"/>
      <c r="Y64" s="205" t="str">
        <f t="shared" si="7"/>
        <v/>
      </c>
      <c r="Z64" s="204"/>
      <c r="AA64" s="204"/>
      <c r="AB64" s="204"/>
      <c r="AC64" s="206" t="str">
        <f>IFERROR(IF(AND(V63="Probabilidad",V64="Probabilidad"),(AE63-(+AE63*Y64)),IF(AND(V63="Impacto",V64="Probabilidad"),(AE62-(+AE62*Y64)),IF(V64="Impacto",AE63,""))),"")</f>
        <v/>
      </c>
      <c r="AD64" s="207" t="str">
        <f t="shared" si="4"/>
        <v/>
      </c>
      <c r="AE64" s="205" t="str">
        <f t="shared" si="8"/>
        <v/>
      </c>
      <c r="AF64" s="207" t="str">
        <f t="shared" si="5"/>
        <v/>
      </c>
      <c r="AG64" s="205" t="str">
        <f>IFERROR(IF(AND(V63="Impacto",V64="Impacto"),(AG63-(+AG63*Y64)),IF(AND(V63="Probabilidad",V64="Impacto"),(AG62-(+AG62*Y64)),IF(V64="Probabilidad",AG63,""))),"")</f>
        <v/>
      </c>
      <c r="AH64" s="208" t="str">
        <f t="shared" si="9"/>
        <v/>
      </c>
      <c r="AI64" s="209"/>
      <c r="AJ64" s="200"/>
      <c r="AK64" s="210"/>
      <c r="AL64" s="210"/>
      <c r="AM64" s="211"/>
      <c r="AN64" s="397"/>
      <c r="AO64" s="397"/>
      <c r="AP64" s="397"/>
    </row>
    <row r="65" spans="1:42" ht="37.5" customHeight="1" x14ac:dyDescent="0.2">
      <c r="A65" s="388"/>
      <c r="B65" s="385"/>
      <c r="C65" s="385"/>
      <c r="D65" s="385"/>
      <c r="E65" s="385"/>
      <c r="F65" s="385"/>
      <c r="G65" s="385"/>
      <c r="H65" s="385"/>
      <c r="I65" s="385"/>
      <c r="J65" s="385"/>
      <c r="K65" s="385"/>
      <c r="L65" s="397"/>
      <c r="M65" s="379"/>
      <c r="N65" s="376"/>
      <c r="O65" s="382"/>
      <c r="P65" s="376">
        <f ca="1">IF(NOT(ISERROR(MATCH(O65,_xlfn.ANCHORARRAY(E76),0))),N78&amp;"Por favor no seleccionar los criterios de impacto",O65)</f>
        <v>0</v>
      </c>
      <c r="Q65" s="379"/>
      <c r="R65" s="376"/>
      <c r="S65" s="373"/>
      <c r="T65" s="237">
        <v>5</v>
      </c>
      <c r="U65" s="201"/>
      <c r="V65" s="203" t="str">
        <f t="shared" si="6"/>
        <v/>
      </c>
      <c r="W65" s="204"/>
      <c r="X65" s="204"/>
      <c r="Y65" s="205" t="str">
        <f t="shared" si="7"/>
        <v/>
      </c>
      <c r="Z65" s="204"/>
      <c r="AA65" s="204"/>
      <c r="AB65" s="204"/>
      <c r="AC65" s="206" t="str">
        <f>IFERROR(IF(AND(V64="Probabilidad",V65="Probabilidad"),(AE64-(+AE64*Y65)),IF(AND(V64="Impacto",V65="Probabilidad"),(AE63-(+AE63*Y65)),IF(V65="Impacto",AE64,""))),"")</f>
        <v/>
      </c>
      <c r="AD65" s="207" t="str">
        <f t="shared" si="4"/>
        <v/>
      </c>
      <c r="AE65" s="205" t="str">
        <f t="shared" si="8"/>
        <v/>
      </c>
      <c r="AF65" s="207" t="str">
        <f t="shared" si="5"/>
        <v/>
      </c>
      <c r="AG65" s="205" t="str">
        <f>IFERROR(IF(AND(V64="Impacto",V65="Impacto"),(AG64-(+AG64*Y65)),IF(AND(V64="Probabilidad",V65="Impacto"),(AG63-(+AG63*Y65)),IF(V65="Probabilidad",AG64,""))),"")</f>
        <v/>
      </c>
      <c r="AH65" s="208" t="str">
        <f t="shared" si="9"/>
        <v/>
      </c>
      <c r="AI65" s="209"/>
      <c r="AJ65" s="200"/>
      <c r="AK65" s="210"/>
      <c r="AL65" s="210"/>
      <c r="AM65" s="211"/>
      <c r="AN65" s="397"/>
      <c r="AO65" s="397"/>
      <c r="AP65" s="397"/>
    </row>
    <row r="66" spans="1:42" ht="37.5" customHeight="1" x14ac:dyDescent="0.2">
      <c r="A66" s="389"/>
      <c r="B66" s="386"/>
      <c r="C66" s="386"/>
      <c r="D66" s="386"/>
      <c r="E66" s="386"/>
      <c r="F66" s="386"/>
      <c r="G66" s="386"/>
      <c r="H66" s="386"/>
      <c r="I66" s="386"/>
      <c r="J66" s="386"/>
      <c r="K66" s="386"/>
      <c r="L66" s="398"/>
      <c r="M66" s="380"/>
      <c r="N66" s="377"/>
      <c r="O66" s="383"/>
      <c r="P66" s="377">
        <f ca="1">IF(NOT(ISERROR(MATCH(O66,_xlfn.ANCHORARRAY(E77),0))),N79&amp;"Por favor no seleccionar los criterios de impacto",O66)</f>
        <v>0</v>
      </c>
      <c r="Q66" s="380"/>
      <c r="R66" s="377"/>
      <c r="S66" s="374"/>
      <c r="T66" s="237">
        <v>6</v>
      </c>
      <c r="U66" s="201"/>
      <c r="V66" s="203" t="str">
        <f t="shared" si="6"/>
        <v/>
      </c>
      <c r="W66" s="204"/>
      <c r="X66" s="204"/>
      <c r="Y66" s="205" t="str">
        <f t="shared" si="7"/>
        <v/>
      </c>
      <c r="Z66" s="204"/>
      <c r="AA66" s="204"/>
      <c r="AB66" s="204"/>
      <c r="AC66" s="206" t="str">
        <f>IFERROR(IF(AND(V65="Probabilidad",V66="Probabilidad"),(AE65-(+AE65*Y66)),IF(AND(V65="Impacto",V66="Probabilidad"),(AE64-(+AE64*Y66)),IF(V66="Impacto",AE65,""))),"")</f>
        <v/>
      </c>
      <c r="AD66" s="207" t="str">
        <f t="shared" si="4"/>
        <v/>
      </c>
      <c r="AE66" s="205" t="str">
        <f t="shared" si="8"/>
        <v/>
      </c>
      <c r="AF66" s="207" t="str">
        <f t="shared" si="5"/>
        <v/>
      </c>
      <c r="AG66" s="205" t="str">
        <f>IFERROR(IF(AND(V65="Impacto",V66="Impacto"),(AG65-(+AG65*Y66)),IF(AND(V65="Probabilidad",V66="Impacto"),(AG64-(+AG64*Y66)),IF(V66="Probabilidad",AG65,""))),"")</f>
        <v/>
      </c>
      <c r="AH66" s="208" t="str">
        <f t="shared" si="9"/>
        <v/>
      </c>
      <c r="AI66" s="209"/>
      <c r="AJ66" s="200"/>
      <c r="AK66" s="210"/>
      <c r="AL66" s="210"/>
      <c r="AM66" s="211"/>
      <c r="AN66" s="398"/>
      <c r="AO66" s="398"/>
      <c r="AP66" s="398"/>
    </row>
    <row r="67" spans="1:42" x14ac:dyDescent="0.2">
      <c r="A67" s="369"/>
      <c r="B67" s="369"/>
      <c r="C67" s="369"/>
      <c r="D67" s="369"/>
      <c r="E67" s="390"/>
      <c r="F67" s="390"/>
      <c r="G67" s="393"/>
      <c r="H67" s="393"/>
      <c r="I67" s="393"/>
      <c r="J67" s="393"/>
      <c r="K67" s="393"/>
      <c r="L67" s="390"/>
      <c r="M67" s="390"/>
      <c r="N67" s="390"/>
      <c r="O67" s="390"/>
      <c r="Q67" s="390"/>
      <c r="R67" s="390"/>
      <c r="S67" s="390"/>
      <c r="AN67" s="390"/>
      <c r="AO67" s="390"/>
      <c r="AP67" s="390"/>
    </row>
    <row r="68" spans="1:42" ht="37.5" customHeight="1" x14ac:dyDescent="0.2">
      <c r="A68" s="370"/>
      <c r="B68" s="370"/>
      <c r="C68" s="370"/>
      <c r="D68" s="370"/>
      <c r="E68" s="391"/>
      <c r="F68" s="391"/>
      <c r="G68" s="394"/>
      <c r="H68" s="394"/>
      <c r="I68" s="394"/>
      <c r="J68" s="394"/>
      <c r="K68" s="394"/>
      <c r="L68" s="391"/>
      <c r="M68" s="391"/>
      <c r="N68" s="391"/>
      <c r="O68" s="391"/>
      <c r="P68" s="288">
        <f ca="1">IF(NOT(ISERROR(MATCH(O68,_xlfn.ANCHORARRAY(E79),0))),N81&amp;"Por favor no seleccionar los criterios de impacto",O68)</f>
        <v>0</v>
      </c>
      <c r="Q68" s="391"/>
      <c r="R68" s="391"/>
      <c r="S68" s="391"/>
      <c r="T68" s="237">
        <v>2</v>
      </c>
      <c r="U68" s="201"/>
      <c r="V68" s="203" t="str">
        <f>IF(OR(W68="Preventivo",W68="Detectivo"),"Probabilidad",IF(W68="Correctivo","Impacto",""))</f>
        <v/>
      </c>
      <c r="W68" s="204"/>
      <c r="X68" s="204"/>
      <c r="Y68" s="205" t="str">
        <f>IF(AND(W68="Preventivo",X68="Automático"),"50%",IF(AND(W68="Preventivo",X68="Manual"),"40%",IF(AND(W68="Detectivo",X68="Automático"),"40%",IF(AND(W68="Detectivo",X68="Manual"),"30%",IF(AND(W68="Correctivo",X68="Automático"),"35%",IF(AND(W68="Correctivo",X68="Manual"),"25%",""))))))</f>
        <v/>
      </c>
      <c r="Z68" s="204"/>
      <c r="AA68" s="204"/>
      <c r="AB68" s="204"/>
      <c r="AC68" s="206" t="str">
        <f>IFERROR(IF(AND(V67="Probabilidad",V68="Probabilidad"),(AE67-(+AE67*Y68)),IF(V68="Probabilidad",(N67-(+N67*Y68)),IF(V68="Impacto",AE67,""))),"")</f>
        <v/>
      </c>
      <c r="AD68" s="207" t="str">
        <f t="shared" si="4"/>
        <v/>
      </c>
      <c r="AE68" s="205" t="str">
        <f>+AC68</f>
        <v/>
      </c>
      <c r="AF68" s="207" t="str">
        <f t="shared" si="5"/>
        <v/>
      </c>
      <c r="AG68" s="205" t="str">
        <f>IFERROR(IF(AND(V67="Impacto",V68="Impacto"),(AG61-(+AG61*Y68)),IF(V68="Impacto",($R$67-(+$R$67*Y68)),IF(V68="Probabilidad",AG61,""))),"")</f>
        <v/>
      </c>
      <c r="AH68" s="208" t="str">
        <f>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09"/>
      <c r="AJ68" s="200"/>
      <c r="AK68" s="210"/>
      <c r="AL68" s="210"/>
      <c r="AM68" s="211"/>
      <c r="AN68" s="391"/>
      <c r="AO68" s="391"/>
      <c r="AP68" s="391"/>
    </row>
    <row r="69" spans="1:42" ht="37.5" customHeight="1" x14ac:dyDescent="0.2">
      <c r="A69" s="370"/>
      <c r="B69" s="370"/>
      <c r="C69" s="370"/>
      <c r="D69" s="370"/>
      <c r="E69" s="391"/>
      <c r="F69" s="391"/>
      <c r="G69" s="394"/>
      <c r="H69" s="394"/>
      <c r="I69" s="394"/>
      <c r="J69" s="394"/>
      <c r="K69" s="394"/>
      <c r="L69" s="391"/>
      <c r="M69" s="391"/>
      <c r="N69" s="391"/>
      <c r="O69" s="391"/>
      <c r="P69" s="288">
        <f ca="1">IF(NOT(ISERROR(MATCH(O69,_xlfn.ANCHORARRAY(E80),0))),N82&amp;"Por favor no seleccionar los criterios de impacto",O69)</f>
        <v>0</v>
      </c>
      <c r="Q69" s="391"/>
      <c r="R69" s="391"/>
      <c r="S69" s="391"/>
      <c r="T69" s="237">
        <v>3</v>
      </c>
      <c r="U69" s="201"/>
      <c r="V69" s="203" t="str">
        <f>IF(OR(W69="Preventivo",W69="Detectivo"),"Probabilidad",IF(W69="Correctivo","Impacto",""))</f>
        <v/>
      </c>
      <c r="W69" s="204"/>
      <c r="X69" s="204"/>
      <c r="Y69" s="205" t="str">
        <f>IF(AND(W69="Preventivo",X69="Automático"),"50%",IF(AND(W69="Preventivo",X69="Manual"),"40%",IF(AND(W69="Detectivo",X69="Automático"),"40%",IF(AND(W69="Detectivo",X69="Manual"),"30%",IF(AND(W69="Correctivo",X69="Automático"),"35%",IF(AND(W69="Correctivo",X69="Manual"),"25%",""))))))</f>
        <v/>
      </c>
      <c r="Z69" s="204"/>
      <c r="AA69" s="204"/>
      <c r="AB69" s="204"/>
      <c r="AC69" s="206" t="str">
        <f>IFERROR(IF(AND(V68="Probabilidad",V69="Probabilidad"),(AE68-(+AE68*Y69)),IF(AND(V68="Impacto",V69="Probabilidad"),(AE67-(+AE67*Y69)),IF(V69="Impacto",AE68,""))),"")</f>
        <v/>
      </c>
      <c r="AD69" s="207" t="str">
        <f t="shared" si="4"/>
        <v/>
      </c>
      <c r="AE69" s="205" t="str">
        <f>+AC69</f>
        <v/>
      </c>
      <c r="AF69" s="207" t="str">
        <f t="shared" si="5"/>
        <v/>
      </c>
      <c r="AG69" s="205" t="str">
        <f>IFERROR(IF(AND(V68="Impacto",V69="Impacto"),(AG68-(+AG68*Y69)),IF(AND(V68="Probabilidad",V69="Impacto"),(AG67-(+AG67*Y69)),IF(V69="Probabilidad",AG68,""))),"")</f>
        <v/>
      </c>
      <c r="AH69" s="208" t="str">
        <f>IFERROR(IF(OR(AND(AD69="Muy Baja",AF69="Leve"),AND(AD69="Muy Baja",AF69="Menor"),AND(AD69="Baja",AF69="Leve")),"Bajo",IF(OR(AND(AD69="Muy baja",AF69="Moderado"),AND(AD69="Baja",AF69="Menor"),AND(AD69="Baja",AF69="Moderado"),AND(AD69="Media",AF69="Leve"),AND(AD69="Media",AF69="Menor"),AND(AD69="Media",AF69="Moderado"),AND(AD69="Alta",AF69="Leve"),AND(AD69="Alta",AF69="Menor")),"Moderado",IF(OR(AND(AD69="Muy Baja",AF69="Mayor"),AND(AD69="Baja",AF69="Mayor"),AND(AD69="Media",AF69="Mayor"),AND(AD69="Alta",AF69="Moderado"),AND(AD69="Alta",AF69="Mayor"),AND(AD69="Muy Alta",AF69="Leve"),AND(AD69="Muy Alta",AF69="Menor"),AND(AD69="Muy Alta",AF69="Moderado"),AND(AD69="Muy Alta",AF69="Mayor")),"Alto",IF(OR(AND(AD69="Muy Baja",AF69="Catastrófico"),AND(AD69="Baja",AF69="Catastrófico"),AND(AD69="Media",AF69="Catastrófico"),AND(AD69="Alta",AF69="Catastrófico"),AND(AD69="Muy Alta",AF69="Catastrófico")),"Extremo","")))),"")</f>
        <v/>
      </c>
      <c r="AI69" s="209"/>
      <c r="AJ69" s="200"/>
      <c r="AK69" s="210"/>
      <c r="AL69" s="210"/>
      <c r="AM69" s="211"/>
      <c r="AN69" s="391"/>
      <c r="AO69" s="391"/>
      <c r="AP69" s="391"/>
    </row>
    <row r="70" spans="1:42" ht="37.5" customHeight="1" x14ac:dyDescent="0.2">
      <c r="A70" s="370"/>
      <c r="B70" s="370"/>
      <c r="C70" s="370"/>
      <c r="D70" s="370"/>
      <c r="E70" s="391"/>
      <c r="F70" s="391"/>
      <c r="G70" s="394"/>
      <c r="H70" s="394"/>
      <c r="I70" s="394"/>
      <c r="J70" s="394"/>
      <c r="K70" s="394"/>
      <c r="L70" s="391"/>
      <c r="M70" s="391"/>
      <c r="N70" s="391"/>
      <c r="O70" s="391"/>
      <c r="P70" s="288">
        <f ca="1">IF(NOT(ISERROR(MATCH(O70,_xlfn.ANCHORARRAY(E81),0))),N83&amp;"Por favor no seleccionar los criterios de impacto",O70)</f>
        <v>0</v>
      </c>
      <c r="Q70" s="391"/>
      <c r="R70" s="391"/>
      <c r="S70" s="391"/>
      <c r="T70" s="237">
        <v>4</v>
      </c>
      <c r="U70" s="201"/>
      <c r="V70" s="203" t="str">
        <f>IF(OR(W70="Preventivo",W70="Detectivo"),"Probabilidad",IF(W70="Correctivo","Impacto",""))</f>
        <v/>
      </c>
      <c r="W70" s="204"/>
      <c r="X70" s="204"/>
      <c r="Y70" s="205" t="str">
        <f>IF(AND(W70="Preventivo",X70="Automático"),"50%",IF(AND(W70="Preventivo",X70="Manual"),"40%",IF(AND(W70="Detectivo",X70="Automático"),"40%",IF(AND(W70="Detectivo",X70="Manual"),"30%",IF(AND(W70="Correctivo",X70="Automático"),"35%",IF(AND(W70="Correctivo",X70="Manual"),"25%",""))))))</f>
        <v/>
      </c>
      <c r="Z70" s="204"/>
      <c r="AA70" s="204"/>
      <c r="AB70" s="204"/>
      <c r="AC70" s="206" t="str">
        <f>IFERROR(IF(AND(V69="Probabilidad",V70="Probabilidad"),(AE69-(+AE69*Y70)),IF(AND(V69="Impacto",V70="Probabilidad"),(AE68-(+AE68*Y70)),IF(V70="Impacto",AE69,""))),"")</f>
        <v/>
      </c>
      <c r="AD70" s="207" t="str">
        <f t="shared" si="4"/>
        <v/>
      </c>
      <c r="AE70" s="205" t="str">
        <f>+AC70</f>
        <v/>
      </c>
      <c r="AF70" s="207" t="str">
        <f t="shared" si="5"/>
        <v/>
      </c>
      <c r="AG70" s="205" t="str">
        <f>IFERROR(IF(AND(V69="Impacto",V70="Impacto"),(AG69-(+AG69*Y70)),IF(AND(V69="Probabilidad",V70="Impacto"),(AG68-(+AG68*Y70)),IF(V70="Probabilidad",AG69,""))),"")</f>
        <v/>
      </c>
      <c r="AH70" s="20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09"/>
      <c r="AJ70" s="200"/>
      <c r="AK70" s="210"/>
      <c r="AL70" s="210"/>
      <c r="AM70" s="211"/>
      <c r="AN70" s="391"/>
      <c r="AO70" s="391"/>
      <c r="AP70" s="391"/>
    </row>
    <row r="71" spans="1:42" ht="37.5" customHeight="1" x14ac:dyDescent="0.2">
      <c r="A71" s="370"/>
      <c r="B71" s="370"/>
      <c r="C71" s="370"/>
      <c r="D71" s="370"/>
      <c r="E71" s="391"/>
      <c r="F71" s="391"/>
      <c r="G71" s="394"/>
      <c r="H71" s="394"/>
      <c r="I71" s="394"/>
      <c r="J71" s="394"/>
      <c r="K71" s="394"/>
      <c r="L71" s="391"/>
      <c r="M71" s="391"/>
      <c r="N71" s="391"/>
      <c r="O71" s="391"/>
      <c r="P71" s="288">
        <f ca="1">IF(NOT(ISERROR(MATCH(O71,_xlfn.ANCHORARRAY(E82),0))),N84&amp;"Por favor no seleccionar los criterios de impacto",O71)</f>
        <v>0</v>
      </c>
      <c r="Q71" s="391"/>
      <c r="R71" s="391"/>
      <c r="S71" s="391"/>
      <c r="T71" s="237">
        <v>5</v>
      </c>
      <c r="U71" s="201"/>
      <c r="V71" s="203" t="str">
        <f>IF(OR(W71="Preventivo",W71="Detectivo"),"Probabilidad",IF(W71="Correctivo","Impacto",""))</f>
        <v/>
      </c>
      <c r="W71" s="204"/>
      <c r="X71" s="204"/>
      <c r="Y71" s="205" t="str">
        <f>IF(AND(W71="Preventivo",X71="Automático"),"50%",IF(AND(W71="Preventivo",X71="Manual"),"40%",IF(AND(W71="Detectivo",X71="Automático"),"40%",IF(AND(W71="Detectivo",X71="Manual"),"30%",IF(AND(W71="Correctivo",X71="Automático"),"35%",IF(AND(W71="Correctivo",X71="Manual"),"25%",""))))))</f>
        <v/>
      </c>
      <c r="Z71" s="204"/>
      <c r="AA71" s="204"/>
      <c r="AB71" s="204"/>
      <c r="AC71" s="206" t="str">
        <f>IFERROR(IF(AND(V70="Probabilidad",V71="Probabilidad"),(AE70-(+AE70*Y71)),IF(AND(V70="Impacto",V71="Probabilidad"),(AE69-(+AE69*Y71)),IF(V71="Impacto",AE70,""))),"")</f>
        <v/>
      </c>
      <c r="AD71" s="207" t="str">
        <f t="shared" si="4"/>
        <v/>
      </c>
      <c r="AE71" s="205" t="str">
        <f>+AC71</f>
        <v/>
      </c>
      <c r="AF71" s="207" t="str">
        <f t="shared" si="5"/>
        <v/>
      </c>
      <c r="AG71" s="205" t="str">
        <f>IFERROR(IF(AND(V70="Impacto",V71="Impacto"),(AG70-(+AG70*Y71)),IF(AND(V70="Probabilidad",V71="Impacto"),(AG69-(+AG69*Y71)),IF(V71="Probabilidad",AG70,""))),"")</f>
        <v/>
      </c>
      <c r="AH71" s="208" t="str">
        <f>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09"/>
      <c r="AJ71" s="200"/>
      <c r="AK71" s="210"/>
      <c r="AL71" s="210"/>
      <c r="AM71" s="211"/>
      <c r="AN71" s="391"/>
      <c r="AO71" s="391"/>
      <c r="AP71" s="391"/>
    </row>
    <row r="72" spans="1:42" ht="37.5" customHeight="1" x14ac:dyDescent="0.2">
      <c r="A72" s="371"/>
      <c r="B72" s="371"/>
      <c r="C72" s="371"/>
      <c r="D72" s="371"/>
      <c r="E72" s="392"/>
      <c r="F72" s="392"/>
      <c r="G72" s="395"/>
      <c r="H72" s="395"/>
      <c r="I72" s="395"/>
      <c r="J72" s="395"/>
      <c r="K72" s="395"/>
      <c r="L72" s="392"/>
      <c r="M72" s="392"/>
      <c r="N72" s="392"/>
      <c r="O72" s="392"/>
      <c r="P72" s="288">
        <f ca="1">IF(NOT(ISERROR(MATCH(O72,_xlfn.ANCHORARRAY(E83),0))),N85&amp;"Por favor no seleccionar los criterios de impacto",O72)</f>
        <v>0</v>
      </c>
      <c r="Q72" s="392"/>
      <c r="R72" s="392"/>
      <c r="S72" s="392"/>
      <c r="T72" s="237">
        <v>6</v>
      </c>
      <c r="U72" s="201"/>
      <c r="V72" s="203" t="str">
        <f>IF(OR(W72="Preventivo",W72="Detectivo"),"Probabilidad",IF(W72="Correctivo","Impacto",""))</f>
        <v/>
      </c>
      <c r="W72" s="204"/>
      <c r="X72" s="204"/>
      <c r="Y72" s="205" t="str">
        <f>IF(AND(W72="Preventivo",X72="Automático"),"50%",IF(AND(W72="Preventivo",X72="Manual"),"40%",IF(AND(W72="Detectivo",X72="Automático"),"40%",IF(AND(W72="Detectivo",X72="Manual"),"30%",IF(AND(W72="Correctivo",X72="Automático"),"35%",IF(AND(W72="Correctivo",X72="Manual"),"25%",""))))))</f>
        <v/>
      </c>
      <c r="Z72" s="204"/>
      <c r="AA72" s="204"/>
      <c r="AB72" s="204"/>
      <c r="AC72" s="206" t="str">
        <f>IFERROR(IF(AND(V71="Probabilidad",V72="Probabilidad"),(AE71-(+AE71*Y72)),IF(AND(V71="Impacto",V72="Probabilidad"),(AE70-(+AE70*Y72)),IF(V72="Impacto",AE71,""))),"")</f>
        <v/>
      </c>
      <c r="AD72" s="207" t="str">
        <f t="shared" si="4"/>
        <v/>
      </c>
      <c r="AE72" s="205" t="str">
        <f>+AC72</f>
        <v/>
      </c>
      <c r="AF72" s="207" t="str">
        <f t="shared" si="5"/>
        <v/>
      </c>
      <c r="AG72" s="205" t="str">
        <f>IFERROR(IF(AND(V71="Impacto",V72="Impacto"),(AG71-(+AG71*Y72)),IF(AND(V71="Probabilidad",V72="Impacto"),(AG70-(+AG70*Y72)),IF(V72="Probabilidad",AG71,""))),"")</f>
        <v/>
      </c>
      <c r="AH72" s="208" t="str">
        <f>IFERROR(IF(OR(AND(AD72="Muy Baja",AF72="Leve"),AND(AD72="Muy Baja",AF72="Menor"),AND(AD72="Baja",AF72="Leve")),"Bajo",IF(OR(AND(AD72="Muy baja",AF72="Moderado"),AND(AD72="Baja",AF72="Menor"),AND(AD72="Baja",AF72="Moderado"),AND(AD72="Media",AF72="Leve"),AND(AD72="Media",AF72="Menor"),AND(AD72="Media",AF72="Moderado"),AND(AD72="Alta",AF72="Leve"),AND(AD72="Alta",AF72="Menor")),"Moderado",IF(OR(AND(AD72="Muy Baja",AF72="Mayor"),AND(AD72="Baja",AF72="Mayor"),AND(AD72="Media",AF72="Mayor"),AND(AD72="Alta",AF72="Moderado"),AND(AD72="Alta",AF72="Mayor"),AND(AD72="Muy Alta",AF72="Leve"),AND(AD72="Muy Alta",AF72="Menor"),AND(AD72="Muy Alta",AF72="Moderado"),AND(AD72="Muy Alta",AF72="Mayor")),"Alto",IF(OR(AND(AD72="Muy Baja",AF72="Catastrófico"),AND(AD72="Baja",AF72="Catastrófico"),AND(AD72="Media",AF72="Catastrófico"),AND(AD72="Alta",AF72="Catastrófico"),AND(AD72="Muy Alta",AF72="Catastrófico")),"Extremo","")))),"")</f>
        <v/>
      </c>
      <c r="AI72" s="209"/>
      <c r="AJ72" s="200"/>
      <c r="AK72" s="210"/>
      <c r="AL72" s="210"/>
      <c r="AM72" s="211"/>
      <c r="AN72" s="392"/>
      <c r="AO72" s="392"/>
      <c r="AP72" s="392"/>
    </row>
    <row r="73" spans="1:42" ht="49.5" customHeight="1" x14ac:dyDescent="0.2">
      <c r="A73" s="239"/>
      <c r="B73" s="464" t="s">
        <v>194</v>
      </c>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row>
    <row r="75" spans="1:42" ht="15.75" x14ac:dyDescent="0.2">
      <c r="A75" s="212"/>
      <c r="B75" s="230" t="s">
        <v>195</v>
      </c>
      <c r="C75" s="212"/>
      <c r="D75" s="212"/>
      <c r="G75" s="212"/>
      <c r="H75" s="212"/>
      <c r="I75" s="212"/>
      <c r="J75" s="212"/>
      <c r="K75" s="212"/>
    </row>
  </sheetData>
  <dataConsolidate/>
  <mergeCells count="277">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55:F60"/>
    <mergeCell ref="K55:K60"/>
    <mergeCell ref="R37:R42"/>
    <mergeCell ref="S37:S42"/>
    <mergeCell ref="R43:R48"/>
    <mergeCell ref="S43:S48"/>
    <mergeCell ref="O49:O54"/>
    <mergeCell ref="Q49:Q54"/>
    <mergeCell ref="O43:O48"/>
    <mergeCell ref="Q43:Q48"/>
    <mergeCell ref="L37:L42"/>
    <mergeCell ref="M37:M42"/>
    <mergeCell ref="H55:H60"/>
    <mergeCell ref="H49:H54"/>
    <mergeCell ref="H43:H48"/>
    <mergeCell ref="H37:H42"/>
    <mergeCell ref="B73:AM73"/>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Q37:Q42"/>
    <mergeCell ref="A55:A60"/>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Q55:Q60"/>
    <mergeCell ref="R55:R60"/>
    <mergeCell ref="S55:S60"/>
    <mergeCell ref="I49:I54"/>
    <mergeCell ref="J49:J54"/>
    <mergeCell ref="K49:K54"/>
    <mergeCell ref="I55:I60"/>
    <mergeCell ref="J55:J60"/>
    <mergeCell ref="F49:F54"/>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I11:I12"/>
    <mergeCell ref="J11:J12"/>
    <mergeCell ref="K11:K12"/>
    <mergeCell ref="H11:H12"/>
    <mergeCell ref="AP19:AP20"/>
    <mergeCell ref="AN25:AN26"/>
    <mergeCell ref="AO25:AO26"/>
    <mergeCell ref="AN10:AP10"/>
    <mergeCell ref="AN11:AN12"/>
    <mergeCell ref="AO11:AO12"/>
    <mergeCell ref="AP11:AP12"/>
    <mergeCell ref="AN13:AN18"/>
    <mergeCell ref="AO13:AO18"/>
    <mergeCell ref="AP13:AP18"/>
    <mergeCell ref="AP25:AP26"/>
    <mergeCell ref="AP43:AP48"/>
    <mergeCell ref="AN49:AN54"/>
    <mergeCell ref="AO49:AO54"/>
    <mergeCell ref="AP49:AP54"/>
    <mergeCell ref="AN55:AN60"/>
    <mergeCell ref="AO55:AO60"/>
    <mergeCell ref="AP55:AP60"/>
    <mergeCell ref="AN31:AN36"/>
    <mergeCell ref="AO31:AO36"/>
    <mergeCell ref="AP31:AP36"/>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N61:AN66"/>
    <mergeCell ref="AO61:AO66"/>
    <mergeCell ref="N11:N12"/>
    <mergeCell ref="Q11:Q12"/>
    <mergeCell ref="R11:R12"/>
    <mergeCell ref="AJ11:AJ12"/>
    <mergeCell ref="AM11:AM12"/>
    <mergeCell ref="AK11:AK12"/>
    <mergeCell ref="O31:O36"/>
    <mergeCell ref="Q31:Q36"/>
    <mergeCell ref="R31:R36"/>
    <mergeCell ref="S31:S36"/>
    <mergeCell ref="P19:P24"/>
    <mergeCell ref="Q19:Q24"/>
    <mergeCell ref="R19:R24"/>
    <mergeCell ref="S19:S24"/>
    <mergeCell ref="AN19:AN20"/>
    <mergeCell ref="AO19:AO20"/>
    <mergeCell ref="AI11:AI12"/>
    <mergeCell ref="AL11:AL12"/>
    <mergeCell ref="T11:T12"/>
    <mergeCell ref="AH11:AH12"/>
    <mergeCell ref="AG11:AG12"/>
    <mergeCell ref="AC11:AC12"/>
    <mergeCell ref="D67:D72"/>
    <mergeCell ref="C67:C72"/>
    <mergeCell ref="B67:B72"/>
    <mergeCell ref="A67:A72"/>
    <mergeCell ref="S61:S66"/>
    <mergeCell ref="R61:R66"/>
    <mergeCell ref="Q61:Q66"/>
    <mergeCell ref="P61:P66"/>
    <mergeCell ref="O61:O66"/>
    <mergeCell ref="D61:D66"/>
    <mergeCell ref="C61:C66"/>
    <mergeCell ref="B61:B66"/>
    <mergeCell ref="A61:A66"/>
    <mergeCell ref="S67:S72"/>
    <mergeCell ref="R67:R72"/>
    <mergeCell ref="Q67:Q72"/>
    <mergeCell ref="O67:O72"/>
    <mergeCell ref="N67:N72"/>
    <mergeCell ref="M67:M72"/>
    <mergeCell ref="L67:L72"/>
    <mergeCell ref="G67:G72"/>
    <mergeCell ref="E67:E72"/>
    <mergeCell ref="H67:H72"/>
    <mergeCell ref="H61:H66"/>
  </mergeCells>
  <conditionalFormatting sqref="M13 M19">
    <cfRule type="cellIs" dxfId="242" priority="344" operator="equal">
      <formula>"Muy Alta"</formula>
    </cfRule>
    <cfRule type="cellIs" dxfId="241" priority="345" operator="equal">
      <formula>"Alta"</formula>
    </cfRule>
    <cfRule type="cellIs" dxfId="240" priority="346" operator="equal">
      <formula>"Media"</formula>
    </cfRule>
    <cfRule type="cellIs" dxfId="239" priority="347" operator="equal">
      <formula>"Baja"</formula>
    </cfRule>
    <cfRule type="cellIs" dxfId="238" priority="348" operator="equal">
      <formula>"Muy Baja"</formula>
    </cfRule>
  </conditionalFormatting>
  <conditionalFormatting sqref="Q13 Q19 Q25 Q31 Q37 Q43 Q49 Q55 Q61 Q67">
    <cfRule type="cellIs" dxfId="237" priority="339" operator="equal">
      <formula>"Catastrófico"</formula>
    </cfRule>
    <cfRule type="cellIs" dxfId="236" priority="340" operator="equal">
      <formula>"Mayor"</formula>
    </cfRule>
    <cfRule type="cellIs" dxfId="235" priority="341" operator="equal">
      <formula>"Moderado"</formula>
    </cfRule>
    <cfRule type="cellIs" dxfId="234" priority="342" operator="equal">
      <formula>"Menor"</formula>
    </cfRule>
    <cfRule type="cellIs" dxfId="233" priority="343" operator="equal">
      <formula>"Leve"</formula>
    </cfRule>
  </conditionalFormatting>
  <conditionalFormatting sqref="S13">
    <cfRule type="cellIs" dxfId="232" priority="335" operator="equal">
      <formula>"Extremo"</formula>
    </cfRule>
    <cfRule type="cellIs" dxfId="231" priority="336" operator="equal">
      <formula>"Alto"</formula>
    </cfRule>
    <cfRule type="cellIs" dxfId="230" priority="337" operator="equal">
      <formula>"Moderado"</formula>
    </cfRule>
    <cfRule type="cellIs" dxfId="229" priority="338" operator="equal">
      <formula>"Bajo"</formula>
    </cfRule>
  </conditionalFormatting>
  <conditionalFormatting sqref="AD13:AD18">
    <cfRule type="cellIs" dxfId="228" priority="330" operator="equal">
      <formula>"Muy Alta"</formula>
    </cfRule>
    <cfRule type="cellIs" dxfId="227" priority="331" operator="equal">
      <formula>"Alta"</formula>
    </cfRule>
    <cfRule type="cellIs" dxfId="226" priority="332" operator="equal">
      <formula>"Media"</formula>
    </cfRule>
    <cfRule type="cellIs" dxfId="225" priority="333" operator="equal">
      <formula>"Baja"</formula>
    </cfRule>
    <cfRule type="cellIs" dxfId="224" priority="334" operator="equal">
      <formula>"Muy Baja"</formula>
    </cfRule>
  </conditionalFormatting>
  <conditionalFormatting sqref="AF13:AF18">
    <cfRule type="cellIs" dxfId="223" priority="325" operator="equal">
      <formula>"Catastrófico"</formula>
    </cfRule>
    <cfRule type="cellIs" dxfId="222" priority="326" operator="equal">
      <formula>"Mayor"</formula>
    </cfRule>
    <cfRule type="cellIs" dxfId="221" priority="327" operator="equal">
      <formula>"Moderado"</formula>
    </cfRule>
    <cfRule type="cellIs" dxfId="220" priority="328" operator="equal">
      <formula>"Menor"</formula>
    </cfRule>
    <cfRule type="cellIs" dxfId="219" priority="329" operator="equal">
      <formula>"Leve"</formula>
    </cfRule>
  </conditionalFormatting>
  <conditionalFormatting sqref="AH13:AH18">
    <cfRule type="cellIs" dxfId="218" priority="321" operator="equal">
      <formula>"Extremo"</formula>
    </cfRule>
    <cfRule type="cellIs" dxfId="217" priority="322" operator="equal">
      <formula>"Alto"</formula>
    </cfRule>
    <cfRule type="cellIs" dxfId="216" priority="323" operator="equal">
      <formula>"Moderado"</formula>
    </cfRule>
    <cfRule type="cellIs" dxfId="215" priority="324" operator="equal">
      <formula>"Bajo"</formula>
    </cfRule>
  </conditionalFormatting>
  <conditionalFormatting sqref="M61">
    <cfRule type="cellIs" dxfId="214" priority="78" operator="equal">
      <formula>"Muy Alta"</formula>
    </cfRule>
    <cfRule type="cellIs" dxfId="213" priority="79" operator="equal">
      <formula>"Alta"</formula>
    </cfRule>
    <cfRule type="cellIs" dxfId="212" priority="80" operator="equal">
      <formula>"Media"</formula>
    </cfRule>
    <cfRule type="cellIs" dxfId="211" priority="81" operator="equal">
      <formula>"Baja"</formula>
    </cfRule>
    <cfRule type="cellIs" dxfId="210" priority="82" operator="equal">
      <formula>"Muy Baja"</formula>
    </cfRule>
  </conditionalFormatting>
  <conditionalFormatting sqref="S19">
    <cfRule type="cellIs" dxfId="209" priority="265" operator="equal">
      <formula>"Extremo"</formula>
    </cfRule>
    <cfRule type="cellIs" dxfId="208" priority="266" operator="equal">
      <formula>"Alto"</formula>
    </cfRule>
    <cfRule type="cellIs" dxfId="207" priority="267" operator="equal">
      <formula>"Moderado"</formula>
    </cfRule>
    <cfRule type="cellIs" dxfId="206" priority="268" operator="equal">
      <formula>"Bajo"</formula>
    </cfRule>
  </conditionalFormatting>
  <conditionalFormatting sqref="AD19:AD24">
    <cfRule type="cellIs" dxfId="205" priority="260" operator="equal">
      <formula>"Muy Alta"</formula>
    </cfRule>
    <cfRule type="cellIs" dxfId="204" priority="261" operator="equal">
      <formula>"Alta"</formula>
    </cfRule>
    <cfRule type="cellIs" dxfId="203" priority="262" operator="equal">
      <formula>"Media"</formula>
    </cfRule>
    <cfRule type="cellIs" dxfId="202" priority="263" operator="equal">
      <formula>"Baja"</formula>
    </cfRule>
    <cfRule type="cellIs" dxfId="201" priority="264" operator="equal">
      <formula>"Muy Baja"</formula>
    </cfRule>
  </conditionalFormatting>
  <conditionalFormatting sqref="AF19:AF24">
    <cfRule type="cellIs" dxfId="200" priority="255" operator="equal">
      <formula>"Catastrófico"</formula>
    </cfRule>
    <cfRule type="cellIs" dxfId="199" priority="256" operator="equal">
      <formula>"Mayor"</formula>
    </cfRule>
    <cfRule type="cellIs" dxfId="198" priority="257" operator="equal">
      <formula>"Moderado"</formula>
    </cfRule>
    <cfRule type="cellIs" dxfId="197" priority="258" operator="equal">
      <formula>"Menor"</formula>
    </cfRule>
    <cfRule type="cellIs" dxfId="196" priority="259" operator="equal">
      <formula>"Leve"</formula>
    </cfRule>
  </conditionalFormatting>
  <conditionalFormatting sqref="AH19:AH24">
    <cfRule type="cellIs" dxfId="195" priority="251" operator="equal">
      <formula>"Extremo"</formula>
    </cfRule>
    <cfRule type="cellIs" dxfId="194" priority="252" operator="equal">
      <formula>"Alto"</formula>
    </cfRule>
    <cfRule type="cellIs" dxfId="193" priority="253" operator="equal">
      <formula>"Moderado"</formula>
    </cfRule>
    <cfRule type="cellIs" dxfId="192" priority="254" operator="equal">
      <formula>"Bajo"</formula>
    </cfRule>
  </conditionalFormatting>
  <conditionalFormatting sqref="M25">
    <cfRule type="cellIs" dxfId="191" priority="246" operator="equal">
      <formula>"Muy Alta"</formula>
    </cfRule>
    <cfRule type="cellIs" dxfId="190" priority="247" operator="equal">
      <formula>"Alta"</formula>
    </cfRule>
    <cfRule type="cellIs" dxfId="189" priority="248" operator="equal">
      <formula>"Media"</formula>
    </cfRule>
    <cfRule type="cellIs" dxfId="188" priority="249" operator="equal">
      <formula>"Baja"</formula>
    </cfRule>
    <cfRule type="cellIs" dxfId="187" priority="250" operator="equal">
      <formula>"Muy Baja"</formula>
    </cfRule>
  </conditionalFormatting>
  <conditionalFormatting sqref="S25">
    <cfRule type="cellIs" dxfId="186" priority="237" operator="equal">
      <formula>"Extremo"</formula>
    </cfRule>
    <cfRule type="cellIs" dxfId="185" priority="238" operator="equal">
      <formula>"Alto"</formula>
    </cfRule>
    <cfRule type="cellIs" dxfId="184" priority="239" operator="equal">
      <formula>"Moderado"</formula>
    </cfRule>
    <cfRule type="cellIs" dxfId="183" priority="240" operator="equal">
      <formula>"Bajo"</formula>
    </cfRule>
  </conditionalFormatting>
  <conditionalFormatting sqref="AD25:AD30">
    <cfRule type="cellIs" dxfId="182" priority="232" operator="equal">
      <formula>"Muy Alta"</formula>
    </cfRule>
    <cfRule type="cellIs" dxfId="181" priority="233" operator="equal">
      <formula>"Alta"</formula>
    </cfRule>
    <cfRule type="cellIs" dxfId="180" priority="234" operator="equal">
      <formula>"Media"</formula>
    </cfRule>
    <cfRule type="cellIs" dxfId="179" priority="235" operator="equal">
      <formula>"Baja"</formula>
    </cfRule>
    <cfRule type="cellIs" dxfId="178" priority="236" operator="equal">
      <formula>"Muy Baja"</formula>
    </cfRule>
  </conditionalFormatting>
  <conditionalFormatting sqref="AF25:AF30">
    <cfRule type="cellIs" dxfId="177" priority="227" operator="equal">
      <formula>"Catastrófico"</formula>
    </cfRule>
    <cfRule type="cellIs" dxfId="176" priority="228" operator="equal">
      <formula>"Mayor"</formula>
    </cfRule>
    <cfRule type="cellIs" dxfId="175" priority="229" operator="equal">
      <formula>"Moderado"</formula>
    </cfRule>
    <cfRule type="cellIs" dxfId="174" priority="230" operator="equal">
      <formula>"Menor"</formula>
    </cfRule>
    <cfRule type="cellIs" dxfId="173" priority="231" operator="equal">
      <formula>"Leve"</formula>
    </cfRule>
  </conditionalFormatting>
  <conditionalFormatting sqref="AH25:AH30">
    <cfRule type="cellIs" dxfId="172" priority="223" operator="equal">
      <formula>"Extremo"</formula>
    </cfRule>
    <cfRule type="cellIs" dxfId="171" priority="224" operator="equal">
      <formula>"Alto"</formula>
    </cfRule>
    <cfRule type="cellIs" dxfId="170" priority="225" operator="equal">
      <formula>"Moderado"</formula>
    </cfRule>
    <cfRule type="cellIs" dxfId="169" priority="226" operator="equal">
      <formula>"Bajo"</formula>
    </cfRule>
  </conditionalFormatting>
  <conditionalFormatting sqref="M31">
    <cfRule type="cellIs" dxfId="168" priority="218" operator="equal">
      <formula>"Muy Alta"</formula>
    </cfRule>
    <cfRule type="cellIs" dxfId="167" priority="219" operator="equal">
      <formula>"Alta"</formula>
    </cfRule>
    <cfRule type="cellIs" dxfId="166" priority="220" operator="equal">
      <formula>"Media"</formula>
    </cfRule>
    <cfRule type="cellIs" dxfId="165" priority="221" operator="equal">
      <formula>"Baja"</formula>
    </cfRule>
    <cfRule type="cellIs" dxfId="164" priority="222" operator="equal">
      <formula>"Muy Baja"</formula>
    </cfRule>
  </conditionalFormatting>
  <conditionalFormatting sqref="S31">
    <cfRule type="cellIs" dxfId="163" priority="209" operator="equal">
      <formula>"Extremo"</formula>
    </cfRule>
    <cfRule type="cellIs" dxfId="162" priority="210" operator="equal">
      <formula>"Alto"</formula>
    </cfRule>
    <cfRule type="cellIs" dxfId="161" priority="211" operator="equal">
      <formula>"Moderado"</formula>
    </cfRule>
    <cfRule type="cellIs" dxfId="160" priority="212" operator="equal">
      <formula>"Bajo"</formula>
    </cfRule>
  </conditionalFormatting>
  <conditionalFormatting sqref="AD31:AD36">
    <cfRule type="cellIs" dxfId="159" priority="204" operator="equal">
      <formula>"Muy Alta"</formula>
    </cfRule>
    <cfRule type="cellIs" dxfId="158" priority="205" operator="equal">
      <formula>"Alta"</formula>
    </cfRule>
    <cfRule type="cellIs" dxfId="157" priority="206" operator="equal">
      <formula>"Media"</formula>
    </cfRule>
    <cfRule type="cellIs" dxfId="156" priority="207" operator="equal">
      <formula>"Baja"</formula>
    </cfRule>
    <cfRule type="cellIs" dxfId="155" priority="208" operator="equal">
      <formula>"Muy Baja"</formula>
    </cfRule>
  </conditionalFormatting>
  <conditionalFormatting sqref="AF31:AF36">
    <cfRule type="cellIs" dxfId="154" priority="199" operator="equal">
      <formula>"Catastrófico"</formula>
    </cfRule>
    <cfRule type="cellIs" dxfId="153" priority="200" operator="equal">
      <formula>"Mayor"</formula>
    </cfRule>
    <cfRule type="cellIs" dxfId="152" priority="201" operator="equal">
      <formula>"Moderado"</formula>
    </cfRule>
    <cfRule type="cellIs" dxfId="151" priority="202" operator="equal">
      <formula>"Menor"</formula>
    </cfRule>
    <cfRule type="cellIs" dxfId="150" priority="203" operator="equal">
      <formula>"Leve"</formula>
    </cfRule>
  </conditionalFormatting>
  <conditionalFormatting sqref="AH31:AH36">
    <cfRule type="cellIs" dxfId="149" priority="195" operator="equal">
      <formula>"Extremo"</formula>
    </cfRule>
    <cfRule type="cellIs" dxfId="148" priority="196" operator="equal">
      <formula>"Alto"</formula>
    </cfRule>
    <cfRule type="cellIs" dxfId="147" priority="197" operator="equal">
      <formula>"Moderado"</formula>
    </cfRule>
    <cfRule type="cellIs" dxfId="146" priority="198" operator="equal">
      <formula>"Bajo"</formula>
    </cfRule>
  </conditionalFormatting>
  <conditionalFormatting sqref="M37">
    <cfRule type="cellIs" dxfId="145" priority="190" operator="equal">
      <formula>"Muy Alta"</formula>
    </cfRule>
    <cfRule type="cellIs" dxfId="144" priority="191" operator="equal">
      <formula>"Alta"</formula>
    </cfRule>
    <cfRule type="cellIs" dxfId="143" priority="192" operator="equal">
      <formula>"Media"</formula>
    </cfRule>
    <cfRule type="cellIs" dxfId="142" priority="193" operator="equal">
      <formula>"Baja"</formula>
    </cfRule>
    <cfRule type="cellIs" dxfId="141" priority="194" operator="equal">
      <formula>"Muy Baja"</formula>
    </cfRule>
  </conditionalFormatting>
  <conditionalFormatting sqref="S37">
    <cfRule type="cellIs" dxfId="140" priority="181" operator="equal">
      <formula>"Extremo"</formula>
    </cfRule>
    <cfRule type="cellIs" dxfId="139" priority="182" operator="equal">
      <formula>"Alto"</formula>
    </cfRule>
    <cfRule type="cellIs" dxfId="138" priority="183" operator="equal">
      <formula>"Moderado"</formula>
    </cfRule>
    <cfRule type="cellIs" dxfId="137" priority="184" operator="equal">
      <formula>"Bajo"</formula>
    </cfRule>
  </conditionalFormatting>
  <conditionalFormatting sqref="AD37:AD42">
    <cfRule type="cellIs" dxfId="136" priority="176" operator="equal">
      <formula>"Muy Alta"</formula>
    </cfRule>
    <cfRule type="cellIs" dxfId="135" priority="177" operator="equal">
      <formula>"Alta"</formula>
    </cfRule>
    <cfRule type="cellIs" dxfId="134" priority="178" operator="equal">
      <formula>"Media"</formula>
    </cfRule>
    <cfRule type="cellIs" dxfId="133" priority="179" operator="equal">
      <formula>"Baja"</formula>
    </cfRule>
    <cfRule type="cellIs" dxfId="132" priority="180" operator="equal">
      <formula>"Muy Baja"</formula>
    </cfRule>
  </conditionalFormatting>
  <conditionalFormatting sqref="AF37:AF42">
    <cfRule type="cellIs" dxfId="131" priority="171" operator="equal">
      <formula>"Catastrófico"</formula>
    </cfRule>
    <cfRule type="cellIs" dxfId="130" priority="172" operator="equal">
      <formula>"Mayor"</formula>
    </cfRule>
    <cfRule type="cellIs" dxfId="129" priority="173" operator="equal">
      <formula>"Moderado"</formula>
    </cfRule>
    <cfRule type="cellIs" dxfId="128" priority="174" operator="equal">
      <formula>"Menor"</formula>
    </cfRule>
    <cfRule type="cellIs" dxfId="127" priority="175" operator="equal">
      <formula>"Leve"</formula>
    </cfRule>
  </conditionalFormatting>
  <conditionalFormatting sqref="AH37:AH42">
    <cfRule type="cellIs" dxfId="126" priority="167" operator="equal">
      <formula>"Extremo"</formula>
    </cfRule>
    <cfRule type="cellIs" dxfId="125" priority="168" operator="equal">
      <formula>"Alto"</formula>
    </cfRule>
    <cfRule type="cellIs" dxfId="124" priority="169" operator="equal">
      <formula>"Moderado"</formula>
    </cfRule>
    <cfRule type="cellIs" dxfId="123" priority="170" operator="equal">
      <formula>"Bajo"</formula>
    </cfRule>
  </conditionalFormatting>
  <conditionalFormatting sqref="M43">
    <cfRule type="cellIs" dxfId="122" priority="162" operator="equal">
      <formula>"Muy Alta"</formula>
    </cfRule>
    <cfRule type="cellIs" dxfId="121" priority="163" operator="equal">
      <formula>"Alta"</formula>
    </cfRule>
    <cfRule type="cellIs" dxfId="120" priority="164" operator="equal">
      <formula>"Media"</formula>
    </cfRule>
    <cfRule type="cellIs" dxfId="119" priority="165" operator="equal">
      <formula>"Baja"</formula>
    </cfRule>
    <cfRule type="cellIs" dxfId="118" priority="166" operator="equal">
      <formula>"Muy Baja"</formula>
    </cfRule>
  </conditionalFormatting>
  <conditionalFormatting sqref="S43">
    <cfRule type="cellIs" dxfId="117" priority="153" operator="equal">
      <formula>"Extremo"</formula>
    </cfRule>
    <cfRule type="cellIs" dxfId="116" priority="154" operator="equal">
      <formula>"Alto"</formula>
    </cfRule>
    <cfRule type="cellIs" dxfId="115" priority="155" operator="equal">
      <formula>"Moderado"</formula>
    </cfRule>
    <cfRule type="cellIs" dxfId="114" priority="156" operator="equal">
      <formula>"Bajo"</formula>
    </cfRule>
  </conditionalFormatting>
  <conditionalFormatting sqref="AD43:AD48">
    <cfRule type="cellIs" dxfId="113" priority="148" operator="equal">
      <formula>"Muy Alta"</formula>
    </cfRule>
    <cfRule type="cellIs" dxfId="112" priority="149" operator="equal">
      <formula>"Alta"</formula>
    </cfRule>
    <cfRule type="cellIs" dxfId="111" priority="150" operator="equal">
      <formula>"Media"</formula>
    </cfRule>
    <cfRule type="cellIs" dxfId="110" priority="151" operator="equal">
      <formula>"Baja"</formula>
    </cfRule>
    <cfRule type="cellIs" dxfId="109" priority="152" operator="equal">
      <formula>"Muy Baja"</formula>
    </cfRule>
  </conditionalFormatting>
  <conditionalFormatting sqref="AF43:AF48">
    <cfRule type="cellIs" dxfId="108" priority="143" operator="equal">
      <formula>"Catastrófico"</formula>
    </cfRule>
    <cfRule type="cellIs" dxfId="107" priority="144" operator="equal">
      <formula>"Mayor"</formula>
    </cfRule>
    <cfRule type="cellIs" dxfId="106" priority="145" operator="equal">
      <formula>"Moderado"</formula>
    </cfRule>
    <cfRule type="cellIs" dxfId="105" priority="146" operator="equal">
      <formula>"Menor"</formula>
    </cfRule>
    <cfRule type="cellIs" dxfId="104" priority="147" operator="equal">
      <formula>"Leve"</formula>
    </cfRule>
  </conditionalFormatting>
  <conditionalFormatting sqref="AH43:AH48">
    <cfRule type="cellIs" dxfId="103" priority="139" operator="equal">
      <formula>"Extremo"</formula>
    </cfRule>
    <cfRule type="cellIs" dxfId="102" priority="140" operator="equal">
      <formula>"Alto"</formula>
    </cfRule>
    <cfRule type="cellIs" dxfId="101" priority="141" operator="equal">
      <formula>"Moderado"</formula>
    </cfRule>
    <cfRule type="cellIs" dxfId="100" priority="142" operator="equal">
      <formula>"Bajo"</formula>
    </cfRule>
  </conditionalFormatting>
  <conditionalFormatting sqref="M49">
    <cfRule type="cellIs" dxfId="99" priority="134" operator="equal">
      <formula>"Muy Alta"</formula>
    </cfRule>
    <cfRule type="cellIs" dxfId="98" priority="135" operator="equal">
      <formula>"Alta"</formula>
    </cfRule>
    <cfRule type="cellIs" dxfId="97" priority="136" operator="equal">
      <formula>"Media"</formula>
    </cfRule>
    <cfRule type="cellIs" dxfId="96" priority="137" operator="equal">
      <formula>"Baja"</formula>
    </cfRule>
    <cfRule type="cellIs" dxfId="95" priority="138" operator="equal">
      <formula>"Muy Baja"</formula>
    </cfRule>
  </conditionalFormatting>
  <conditionalFormatting sqref="S49">
    <cfRule type="cellIs" dxfId="94" priority="125" operator="equal">
      <formula>"Extremo"</formula>
    </cfRule>
    <cfRule type="cellIs" dxfId="93" priority="126" operator="equal">
      <formula>"Alto"</formula>
    </cfRule>
    <cfRule type="cellIs" dxfId="92" priority="127" operator="equal">
      <formula>"Moderado"</formula>
    </cfRule>
    <cfRule type="cellIs" dxfId="91" priority="128" operator="equal">
      <formula>"Bajo"</formula>
    </cfRule>
  </conditionalFormatting>
  <conditionalFormatting sqref="AD49:AD54">
    <cfRule type="cellIs" dxfId="90" priority="120" operator="equal">
      <formula>"Muy Alta"</formula>
    </cfRule>
    <cfRule type="cellIs" dxfId="89" priority="121" operator="equal">
      <formula>"Alta"</formula>
    </cfRule>
    <cfRule type="cellIs" dxfId="88" priority="122" operator="equal">
      <formula>"Media"</formula>
    </cfRule>
    <cfRule type="cellIs" dxfId="87" priority="123" operator="equal">
      <formula>"Baja"</formula>
    </cfRule>
    <cfRule type="cellIs" dxfId="86" priority="124" operator="equal">
      <formula>"Muy Baja"</formula>
    </cfRule>
  </conditionalFormatting>
  <conditionalFormatting sqref="AF49:AF54">
    <cfRule type="cellIs" dxfId="85" priority="115" operator="equal">
      <formula>"Catastrófico"</formula>
    </cfRule>
    <cfRule type="cellIs" dxfId="84" priority="116" operator="equal">
      <formula>"Mayor"</formula>
    </cfRule>
    <cfRule type="cellIs" dxfId="83" priority="117" operator="equal">
      <formula>"Moderado"</formula>
    </cfRule>
    <cfRule type="cellIs" dxfId="82" priority="118" operator="equal">
      <formula>"Menor"</formula>
    </cfRule>
    <cfRule type="cellIs" dxfId="81" priority="119" operator="equal">
      <formula>"Leve"</formula>
    </cfRule>
  </conditionalFormatting>
  <conditionalFormatting sqref="AH49:AH54">
    <cfRule type="cellIs" dxfId="80" priority="111" operator="equal">
      <formula>"Extremo"</formula>
    </cfRule>
    <cfRule type="cellIs" dxfId="79" priority="112" operator="equal">
      <formula>"Alto"</formula>
    </cfRule>
    <cfRule type="cellIs" dxfId="78" priority="113" operator="equal">
      <formula>"Moderado"</formula>
    </cfRule>
    <cfRule type="cellIs" dxfId="77" priority="114" operator="equal">
      <formula>"Bajo"</formula>
    </cfRule>
  </conditionalFormatting>
  <conditionalFormatting sqref="S55">
    <cfRule type="cellIs" dxfId="76" priority="97" operator="equal">
      <formula>"Extremo"</formula>
    </cfRule>
    <cfRule type="cellIs" dxfId="75" priority="98" operator="equal">
      <formula>"Alto"</formula>
    </cfRule>
    <cfRule type="cellIs" dxfId="74" priority="99" operator="equal">
      <formula>"Moderado"</formula>
    </cfRule>
    <cfRule type="cellIs" dxfId="73" priority="100" operator="equal">
      <formula>"Bajo"</formula>
    </cfRule>
  </conditionalFormatting>
  <conditionalFormatting sqref="AD55:AD60">
    <cfRule type="cellIs" dxfId="72" priority="92" operator="equal">
      <formula>"Muy Alta"</formula>
    </cfRule>
    <cfRule type="cellIs" dxfId="71" priority="93" operator="equal">
      <formula>"Alta"</formula>
    </cfRule>
    <cfRule type="cellIs" dxfId="70" priority="94" operator="equal">
      <formula>"Media"</formula>
    </cfRule>
    <cfRule type="cellIs" dxfId="69" priority="95" operator="equal">
      <formula>"Baja"</formula>
    </cfRule>
    <cfRule type="cellIs" dxfId="68" priority="96" operator="equal">
      <formula>"Muy Baja"</formula>
    </cfRule>
  </conditionalFormatting>
  <conditionalFormatting sqref="AF55:AF60">
    <cfRule type="cellIs" dxfId="67" priority="87" operator="equal">
      <formula>"Catastrófico"</formula>
    </cfRule>
    <cfRule type="cellIs" dxfId="66" priority="88" operator="equal">
      <formula>"Mayor"</formula>
    </cfRule>
    <cfRule type="cellIs" dxfId="65" priority="89" operator="equal">
      <formula>"Moderado"</formula>
    </cfRule>
    <cfRule type="cellIs" dxfId="64" priority="90" operator="equal">
      <formula>"Menor"</formula>
    </cfRule>
    <cfRule type="cellIs" dxfId="63" priority="91" operator="equal">
      <formula>"Leve"</formula>
    </cfRule>
  </conditionalFormatting>
  <conditionalFormatting sqref="AH55:AH60">
    <cfRule type="cellIs" dxfId="62" priority="83" operator="equal">
      <formula>"Extremo"</formula>
    </cfRule>
    <cfRule type="cellIs" dxfId="61" priority="84" operator="equal">
      <formula>"Alto"</formula>
    </cfRule>
    <cfRule type="cellIs" dxfId="60" priority="85" operator="equal">
      <formula>"Moderado"</formula>
    </cfRule>
    <cfRule type="cellIs" dxfId="59" priority="86" operator="equal">
      <formula>"Bajo"</formula>
    </cfRule>
  </conditionalFormatting>
  <conditionalFormatting sqref="S61">
    <cfRule type="cellIs" dxfId="58" priority="69" operator="equal">
      <formula>"Extremo"</formula>
    </cfRule>
    <cfRule type="cellIs" dxfId="57" priority="70" operator="equal">
      <formula>"Alto"</formula>
    </cfRule>
    <cfRule type="cellIs" dxfId="56" priority="71" operator="equal">
      <formula>"Moderado"</formula>
    </cfRule>
    <cfRule type="cellIs" dxfId="55" priority="72" operator="equal">
      <formula>"Bajo"</formula>
    </cfRule>
  </conditionalFormatting>
  <conditionalFormatting sqref="AD61:AD66">
    <cfRule type="cellIs" dxfId="54" priority="64" operator="equal">
      <formula>"Muy Alta"</formula>
    </cfRule>
    <cfRule type="cellIs" dxfId="53" priority="65" operator="equal">
      <formula>"Alta"</formula>
    </cfRule>
    <cfRule type="cellIs" dxfId="52" priority="66" operator="equal">
      <formula>"Media"</formula>
    </cfRule>
    <cfRule type="cellIs" dxfId="51" priority="67" operator="equal">
      <formula>"Baja"</formula>
    </cfRule>
    <cfRule type="cellIs" dxfId="50" priority="68" operator="equal">
      <formula>"Muy Baja"</formula>
    </cfRule>
  </conditionalFormatting>
  <conditionalFormatting sqref="AF61:AF66">
    <cfRule type="cellIs" dxfId="49" priority="59" operator="equal">
      <formula>"Catastrófico"</formula>
    </cfRule>
    <cfRule type="cellIs" dxfId="48" priority="60" operator="equal">
      <formula>"Mayor"</formula>
    </cfRule>
    <cfRule type="cellIs" dxfId="47" priority="61" operator="equal">
      <formula>"Moderado"</formula>
    </cfRule>
    <cfRule type="cellIs" dxfId="46" priority="62" operator="equal">
      <formula>"Menor"</formula>
    </cfRule>
    <cfRule type="cellIs" dxfId="45" priority="63" operator="equal">
      <formula>"Leve"</formula>
    </cfRule>
  </conditionalFormatting>
  <conditionalFormatting sqref="AH61:AH66">
    <cfRule type="cellIs" dxfId="44" priority="55" operator="equal">
      <formula>"Extremo"</formula>
    </cfRule>
    <cfRule type="cellIs" dxfId="43" priority="56" operator="equal">
      <formula>"Alto"</formula>
    </cfRule>
    <cfRule type="cellIs" dxfId="42" priority="57" operator="equal">
      <formula>"Moderado"</formula>
    </cfRule>
    <cfRule type="cellIs" dxfId="41" priority="58" operator="equal">
      <formula>"Bajo"</formula>
    </cfRule>
  </conditionalFormatting>
  <conditionalFormatting sqref="M67">
    <cfRule type="cellIs" dxfId="40" priority="50" operator="equal">
      <formula>"Muy Alta"</formula>
    </cfRule>
    <cfRule type="cellIs" dxfId="39" priority="51" operator="equal">
      <formula>"Alta"</formula>
    </cfRule>
    <cfRule type="cellIs" dxfId="38" priority="52" operator="equal">
      <formula>"Media"</formula>
    </cfRule>
    <cfRule type="cellIs" dxfId="37" priority="53" operator="equal">
      <formula>"Baja"</formula>
    </cfRule>
    <cfRule type="cellIs" dxfId="36" priority="54" operator="equal">
      <formula>"Muy Baja"</formula>
    </cfRule>
  </conditionalFormatting>
  <conditionalFormatting sqref="S67">
    <cfRule type="cellIs" dxfId="35" priority="41" operator="equal">
      <formula>"Extremo"</formula>
    </cfRule>
    <cfRule type="cellIs" dxfId="34" priority="42" operator="equal">
      <formula>"Alto"</formula>
    </cfRule>
    <cfRule type="cellIs" dxfId="33" priority="43" operator="equal">
      <formula>"Moderado"</formula>
    </cfRule>
    <cfRule type="cellIs" dxfId="32" priority="44" operator="equal">
      <formula>"Bajo"</formula>
    </cfRule>
  </conditionalFormatting>
  <conditionalFormatting sqref="AD67:AD72">
    <cfRule type="cellIs" dxfId="31" priority="36" operator="equal">
      <formula>"Muy Alta"</formula>
    </cfRule>
    <cfRule type="cellIs" dxfId="30" priority="37" operator="equal">
      <formula>"Alta"</formula>
    </cfRule>
    <cfRule type="cellIs" dxfId="29" priority="38" operator="equal">
      <formula>"Media"</formula>
    </cfRule>
    <cfRule type="cellIs" dxfId="28" priority="39" operator="equal">
      <formula>"Baja"</formula>
    </cfRule>
    <cfRule type="cellIs" dxfId="27" priority="40" operator="equal">
      <formula>"Muy Baja"</formula>
    </cfRule>
  </conditionalFormatting>
  <conditionalFormatting sqref="AF67:AF72">
    <cfRule type="cellIs" dxfId="26" priority="31" operator="equal">
      <formula>"Catastrófico"</formula>
    </cfRule>
    <cfRule type="cellIs" dxfId="25" priority="32" operator="equal">
      <formula>"Mayor"</formula>
    </cfRule>
    <cfRule type="cellIs" dxfId="24" priority="33" operator="equal">
      <formula>"Moderado"</formula>
    </cfRule>
    <cfRule type="cellIs" dxfId="23" priority="34" operator="equal">
      <formula>"Menor"</formula>
    </cfRule>
    <cfRule type="cellIs" dxfId="22" priority="35" operator="equal">
      <formula>"Leve"</formula>
    </cfRule>
  </conditionalFormatting>
  <conditionalFormatting sqref="AH67:AH72">
    <cfRule type="cellIs" dxfId="21" priority="27" operator="equal">
      <formula>"Extremo"</formula>
    </cfRule>
    <cfRule type="cellIs" dxfId="20" priority="28" operator="equal">
      <formula>"Alto"</formula>
    </cfRule>
    <cfRule type="cellIs" dxfId="19" priority="29" operator="equal">
      <formula>"Moderado"</formula>
    </cfRule>
    <cfRule type="cellIs" dxfId="18" priority="30" operator="equal">
      <formula>"Bajo"</formula>
    </cfRule>
  </conditionalFormatting>
  <conditionalFormatting sqref="P13:P72">
    <cfRule type="containsText" dxfId="17" priority="26" operator="containsText" text="❌">
      <formula>NOT(ISERROR(SEARCH("❌",P13)))</formula>
    </cfRule>
  </conditionalFormatting>
  <conditionalFormatting sqref="M55">
    <cfRule type="cellIs" dxfId="16" priority="21" operator="equal">
      <formula>"Muy Alta"</formula>
    </cfRule>
    <cfRule type="cellIs" dxfId="15" priority="22" operator="equal">
      <formula>"Alta"</formula>
    </cfRule>
    <cfRule type="cellIs" dxfId="14" priority="23" operator="equal">
      <formula>"Media"</formula>
    </cfRule>
    <cfRule type="cellIs" dxfId="13" priority="24" operator="equal">
      <formula>"Baja"</formula>
    </cfRule>
    <cfRule type="cellIs" dxfId="12" priority="25" operator="equal">
      <formula>"Muy Baja"</formula>
    </cfRule>
  </conditionalFormatting>
  <conditionalFormatting sqref="AN25">
    <cfRule type="containsText" dxfId="11" priority="1" operator="containsText" text="RIESGO EXTREMO">
      <formula>NOT(ISERROR(SEARCH("RIESGO EXTREMO",AN25)))</formula>
    </cfRule>
    <cfRule type="containsText" dxfId="10" priority="2" operator="containsText" text="RIESGO ALTO">
      <formula>NOT(ISERROR(SEARCH("RIESGO ALTO",AN25)))</formula>
    </cfRule>
    <cfRule type="containsText" dxfId="9" priority="3" operator="containsText" text="RIESGO MODERADO">
      <formula>NOT(ISERROR(SEARCH("RIESGO MODERADO",AN25)))</formula>
    </cfRule>
    <cfRule type="containsText" dxfId="8" priority="4" operator="containsText" text="RIESGO BAJO">
      <formula>NOT(ISERROR(SEARCH("RIESGO BAJO",AN25)))</formula>
    </cfRule>
  </conditionalFormatting>
  <dataValidations count="1">
    <dataValidation type="list" allowBlank="1" showInputMessage="1" showErrorMessage="1" sqref="J67 J55 J61">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'Tabla Valoración controles'!$D$4:$D$6</xm:f>
          </x14:formula1>
          <xm:sqref>W13:W72</xm:sqref>
        </x14:dataValidation>
        <x14:dataValidation type="list" allowBlank="1" showInputMessage="1" showErrorMessage="1">
          <x14:formula1>
            <xm:f>'Tabla Valoración controles'!$D$7:$D$8</xm:f>
          </x14:formula1>
          <xm:sqref>X13:X72</xm:sqref>
        </x14:dataValidation>
        <x14:dataValidation type="list" allowBlank="1" showInputMessage="1" showErrorMessage="1">
          <x14:formula1>
            <xm:f>'Tabla Valoración controles'!$D$9:$D$10</xm:f>
          </x14:formula1>
          <xm:sqref>Z13:Z72</xm:sqref>
        </x14:dataValidation>
        <x14:dataValidation type="list" allowBlank="1" showInputMessage="1" showErrorMessage="1">
          <x14:formula1>
            <xm:f>'Tabla Valoración controles'!$D$11:$D$12</xm:f>
          </x14:formula1>
          <xm:sqref>AA13:AA72</xm:sqref>
        </x14:dataValidation>
        <x14:dataValidation type="list" allowBlank="1" showInputMessage="1" showErrorMessage="1">
          <x14:formula1>
            <xm:f>'Tabla Valoración controles'!$D$13:$D$14</xm:f>
          </x14:formula1>
          <xm:sqref>AB13:AB72</xm:sqref>
        </x14:dataValidation>
        <x14:dataValidation type="list" allowBlank="1" showInputMessage="1" showErrorMessage="1">
          <x14:formula1>
            <xm:f>'Opciones Tratamiento'!$E$2:$E$4</xm:f>
          </x14:formula1>
          <xm:sqref>B13:B72</xm:sqref>
        </x14:dataValidation>
        <x14:dataValidation type="list" allowBlank="1" showInputMessage="1" showErrorMessage="1">
          <x14:formula1>
            <xm:f>'Opciones Tratamiento'!$B$2:$B$5</xm:f>
          </x14:formula1>
          <xm:sqref>AI13:AI72</xm:sqref>
        </x14:dataValidation>
        <x14:dataValidation type="list" allowBlank="1" showInputMessage="1" showErrorMessage="1">
          <x14:formula1>
            <xm:f>'Tabla Impacto'!$F$211:$F$222</xm:f>
          </x14:formula1>
          <xm:sqref>O13:O72</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AL13 AK37 AJ27:AJ34 AJ36 AJ38:AJ72 AJ13:AJ25</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AL14:AL18 AL27:AL72 AL21:AL24 AK13:AK36 AK38:AK72</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AM30:AM72 AM13:AM26 AM28</xm:sqref>
        </x14:dataValidation>
        <x14:dataValidation type="list" allowBlank="1" showInputMessage="1" showErrorMessage="1">
          <x14:formula1>
            <xm:f>'Opciones Tratamiento'!$B$13:$B$23</xm:f>
          </x14:formula1>
          <xm:sqref>G13:G72</xm:sqref>
        </x14:dataValidation>
        <x14:dataValidation type="list" allowBlank="1" showInputMessage="1" showErrorMessage="1">
          <x14:formula1>
            <xm:f>'Opciones Tratamiento'!$B$28:$B$35</xm:f>
          </x14:formula1>
          <xm:sqref>J13 J31 J19 J25 J37 J49 J43</xm:sqref>
        </x14:dataValidation>
        <x14:dataValidation type="list" allowBlank="1" showInputMessage="1" showErrorMessage="1">
          <x14:formula1>
            <xm:f>'Tipo de riesgos'!$AX$3:$AX$5</xm:f>
          </x14:formula1>
          <xm:sqref>F13:F72</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AN19:AO19 AN67:AP67 AN61:AP61 AN55:AP55 AN49:AP49 AN43:AP43 AN37:AP37 AN31:AP31 AO25 AO27 AO29</xm:sqref>
        </x14:dataValidation>
        <x14:dataValidation type="list" allowBlank="1" showInputMessage="1" showErrorMessage="1">
          <x14:formula1>
            <xm:f>Intructivo!$C$300:$C$316</xm:f>
          </x14:formula1>
          <xm:sqref>C6:S6</xm:sqref>
        </x14:dataValidation>
        <x14:dataValidation type="list" allowBlank="1" showInputMessage="1" showErrorMessage="1">
          <x14:formula1>
            <xm:f>Amenazas!$C$2:$C$10</xm:f>
          </x14:formula1>
          <xm:sqref>H13:H72</xm:sqref>
        </x14:dataValidation>
        <x14:dataValidation type="custom" allowBlank="1" showInputMessage="1" showErrorMessage="1" error="Recuerde que las acciones se generan bajo la medida de mitigar el riesgo">
          <x14:formula1>
            <xm:f>IF(OR(AI27='Opciones Tratamiento'!$B$2,AI27='Opciones Tratamiento'!$B$3,AI27='Opciones Tratamiento'!$B$4),ISBLANK(AI27),ISTEXT(AI27))</xm:f>
          </x14:formula1>
          <xm:sqref>AM29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Z22" sqref="Z22:AA23"/>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23" t="s">
        <v>196</v>
      </c>
      <c r="C2" s="523"/>
      <c r="D2" s="523"/>
      <c r="E2" s="523"/>
      <c r="F2" s="523"/>
      <c r="G2" s="523"/>
      <c r="H2" s="523"/>
      <c r="I2" s="523"/>
      <c r="J2" s="560" t="s">
        <v>15</v>
      </c>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23"/>
      <c r="C3" s="523"/>
      <c r="D3" s="523"/>
      <c r="E3" s="523"/>
      <c r="F3" s="523"/>
      <c r="G3" s="523"/>
      <c r="H3" s="523"/>
      <c r="I3" s="523"/>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23"/>
      <c r="C4" s="523"/>
      <c r="D4" s="523"/>
      <c r="E4" s="523"/>
      <c r="F4" s="523"/>
      <c r="G4" s="523"/>
      <c r="H4" s="523"/>
      <c r="I4" s="523"/>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571" t="s">
        <v>197</v>
      </c>
      <c r="C6" s="571"/>
      <c r="D6" s="572"/>
      <c r="E6" s="561" t="s">
        <v>198</v>
      </c>
      <c r="F6" s="562"/>
      <c r="G6" s="562"/>
      <c r="H6" s="562"/>
      <c r="I6" s="563"/>
      <c r="J6" s="557" t="str">
        <f ca="1">IF(AND('Mapa riesgos'!$M$13="Muy Alta",'Mapa riesgos'!$Q$13="Leve"),CONCATENATE("R",'Mapa riesgos'!$A$13),"")</f>
        <v/>
      </c>
      <c r="K6" s="558"/>
      <c r="L6" s="558" t="str">
        <f ca="1">IF(AND('Mapa riesgos'!$M$19="Muy Alta",'Mapa riesgos'!$Q$19="Leve"),CONCATENATE("R",'Mapa riesgos'!$A$19),"")</f>
        <v/>
      </c>
      <c r="M6" s="558"/>
      <c r="N6" s="558" t="str">
        <f ca="1">IF(AND('Mapa riesgos'!$M$25="Muy Alta",'Mapa riesgos'!$Q$25="Leve"),CONCATENATE("R",'Mapa riesgos'!$A$25),"")</f>
        <v/>
      </c>
      <c r="O6" s="559"/>
      <c r="P6" s="557" t="str">
        <f ca="1">IF(AND('Mapa riesgos'!$M$13="Muy Alta",'Mapa riesgos'!$Q$13="Menor"),CONCATENATE("R",'Mapa riesgos'!$A$13),"")</f>
        <v/>
      </c>
      <c r="Q6" s="558"/>
      <c r="R6" s="558" t="str">
        <f ca="1">IF(AND('Mapa riesgos'!$M$19="Muy Alta",'Mapa riesgos'!$Q$19="Menor"),CONCATENATE("R",'Mapa riesgos'!$A$19),"")</f>
        <v/>
      </c>
      <c r="S6" s="558"/>
      <c r="T6" s="558" t="str">
        <f ca="1">IF(AND('Mapa riesgos'!$M$25="Muy Alta",'Mapa riesgos'!$Q$25="Menor"),CONCATENATE("R",'Mapa riesgos'!$A$25),"")</f>
        <v/>
      </c>
      <c r="U6" s="559"/>
      <c r="V6" s="557" t="str">
        <f ca="1">IF(AND('Mapa riesgos'!$M$13="Muy Alta",'Mapa riesgos'!$Q$13="Moderado"),CONCATENATE("R",'Mapa riesgos'!$A$13),"")</f>
        <v/>
      </c>
      <c r="W6" s="558"/>
      <c r="X6" s="558" t="str">
        <f ca="1">IF(AND('Mapa riesgos'!$M$19="Muy Alta",'Mapa riesgos'!$Q$19="Moderado"),CONCATENATE("R",'Mapa riesgos'!$A$19),"")</f>
        <v/>
      </c>
      <c r="Y6" s="558"/>
      <c r="Z6" s="558" t="str">
        <f ca="1">IF(AND('Mapa riesgos'!$M$25="Muy Alta",'Mapa riesgos'!$Q$25="Moderado"),CONCATENATE("R",'Mapa riesgos'!$A$25),"")</f>
        <v/>
      </c>
      <c r="AA6" s="559"/>
      <c r="AB6" s="557" t="str">
        <f ca="1">IF(AND('Mapa riesgos'!$M$13="Muy Alta",'Mapa riesgos'!$Q$13="Mayor"),CONCATENATE("R",'Mapa riesgos'!$A$13),"")</f>
        <v/>
      </c>
      <c r="AC6" s="558"/>
      <c r="AD6" s="558" t="str">
        <f ca="1">IF(AND('Mapa riesgos'!$M$19="Muy Alta",'Mapa riesgos'!$Q$19="Mayor"),CONCATENATE("R",'Mapa riesgos'!$A$19),"")</f>
        <v/>
      </c>
      <c r="AE6" s="558"/>
      <c r="AF6" s="558" t="str">
        <f ca="1">IF(AND('Mapa riesgos'!$M$25="Muy Alta",'Mapa riesgos'!$Q$25="Mayor"),CONCATENATE("R",'Mapa riesgos'!$A$25),"")</f>
        <v/>
      </c>
      <c r="AG6" s="559"/>
      <c r="AH6" s="548" t="str">
        <f ca="1">IF(AND('Mapa riesgos'!$M$13="Muy Alta",'Mapa riesgos'!$Q$13="Catastrófico"),CONCATENATE("R",'Mapa riesgos'!$A$13),"")</f>
        <v/>
      </c>
      <c r="AI6" s="549"/>
      <c r="AJ6" s="549" t="str">
        <f ca="1">IF(AND('Mapa riesgos'!$M$19="Muy Alta",'Mapa riesgos'!$Q$19="Catastrófico"),CONCATENATE("R",'Mapa riesgos'!$A$19),"")</f>
        <v/>
      </c>
      <c r="AK6" s="549"/>
      <c r="AL6" s="549" t="str">
        <f ca="1">IF(AND('Mapa riesgos'!$M$25="Muy Alta",'Mapa riesgos'!$Q$25="Catastrófico"),CONCATENATE("R",'Mapa riesgos'!$A$25),"")</f>
        <v/>
      </c>
      <c r="AM6" s="550"/>
      <c r="AO6" s="573" t="s">
        <v>199</v>
      </c>
      <c r="AP6" s="574"/>
      <c r="AQ6" s="574"/>
      <c r="AR6" s="574"/>
      <c r="AS6" s="574"/>
      <c r="AT6" s="575"/>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571"/>
      <c r="C7" s="571"/>
      <c r="D7" s="572"/>
      <c r="E7" s="564"/>
      <c r="F7" s="565"/>
      <c r="G7" s="565"/>
      <c r="H7" s="565"/>
      <c r="I7" s="566"/>
      <c r="J7" s="551"/>
      <c r="K7" s="552"/>
      <c r="L7" s="552"/>
      <c r="M7" s="552"/>
      <c r="N7" s="552"/>
      <c r="O7" s="553"/>
      <c r="P7" s="551"/>
      <c r="Q7" s="552"/>
      <c r="R7" s="552"/>
      <c r="S7" s="552"/>
      <c r="T7" s="552"/>
      <c r="U7" s="553"/>
      <c r="V7" s="551"/>
      <c r="W7" s="552"/>
      <c r="X7" s="552"/>
      <c r="Y7" s="552"/>
      <c r="Z7" s="552"/>
      <c r="AA7" s="553"/>
      <c r="AB7" s="551"/>
      <c r="AC7" s="552"/>
      <c r="AD7" s="552"/>
      <c r="AE7" s="552"/>
      <c r="AF7" s="552"/>
      <c r="AG7" s="553"/>
      <c r="AH7" s="542"/>
      <c r="AI7" s="543"/>
      <c r="AJ7" s="543"/>
      <c r="AK7" s="543"/>
      <c r="AL7" s="543"/>
      <c r="AM7" s="544"/>
      <c r="AN7" s="66"/>
      <c r="AO7" s="576"/>
      <c r="AP7" s="577"/>
      <c r="AQ7" s="577"/>
      <c r="AR7" s="577"/>
      <c r="AS7" s="577"/>
      <c r="AT7" s="578"/>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571"/>
      <c r="C8" s="571"/>
      <c r="D8" s="572"/>
      <c r="E8" s="564"/>
      <c r="F8" s="565"/>
      <c r="G8" s="565"/>
      <c r="H8" s="565"/>
      <c r="I8" s="566"/>
      <c r="J8" s="551" t="str">
        <f ca="1">IF(AND('Mapa riesgos'!$M$31="Muy Alta",'Mapa riesgos'!$Q$31="Leve"),CONCATENATE("R",'Mapa riesgos'!$A$31),"")</f>
        <v/>
      </c>
      <c r="K8" s="552"/>
      <c r="L8" s="552" t="str">
        <f ca="1">IF(AND('Mapa riesgos'!$M$37="Muy Alta",'Mapa riesgos'!$Q$37="Leve"),CONCATENATE("R",'Mapa riesgos'!$A$37),"")</f>
        <v/>
      </c>
      <c r="M8" s="552"/>
      <c r="N8" s="552" t="str">
        <f ca="1">IF(AND('Mapa riesgos'!$M$43="Muy Alta",'Mapa riesgos'!$Q$43="Leve"),CONCATENATE("R",'Mapa riesgos'!$A$43),"")</f>
        <v/>
      </c>
      <c r="O8" s="553"/>
      <c r="P8" s="551" t="str">
        <f ca="1">IF(AND('Mapa riesgos'!$M$31="Muy Alta",'Mapa riesgos'!$Q$31="Menor"),CONCATENATE("R",'Mapa riesgos'!$A$31),"")</f>
        <v/>
      </c>
      <c r="Q8" s="552"/>
      <c r="R8" s="552" t="str">
        <f ca="1">IF(AND('Mapa riesgos'!$M$37="Muy Alta",'Mapa riesgos'!$Q$37="Menor"),CONCATENATE("R",'Mapa riesgos'!$A$37),"")</f>
        <v/>
      </c>
      <c r="S8" s="552"/>
      <c r="T8" s="552" t="str">
        <f ca="1">IF(AND('Mapa riesgos'!$M$43="Muy Alta",'Mapa riesgos'!$Q$43="Menor"),CONCATENATE("R",'Mapa riesgos'!$A$43),"")</f>
        <v/>
      </c>
      <c r="U8" s="553"/>
      <c r="V8" s="551" t="str">
        <f ca="1">IF(AND('Mapa riesgos'!$M$31="Muy Alta",'Mapa riesgos'!$Q$31="Moderado"),CONCATENATE("R",'Mapa riesgos'!$A$31),"")</f>
        <v/>
      </c>
      <c r="W8" s="552"/>
      <c r="X8" s="552" t="str">
        <f ca="1">IF(AND('Mapa riesgos'!$M$37="Muy Alta",'Mapa riesgos'!$Q$37="Moderado"),CONCATENATE("R",'Mapa riesgos'!$A$37),"")</f>
        <v/>
      </c>
      <c r="Y8" s="552"/>
      <c r="Z8" s="552" t="str">
        <f ca="1">IF(AND('Mapa riesgos'!$M$43="Muy Alta",'Mapa riesgos'!$Q$43="Moderado"),CONCATENATE("R",'Mapa riesgos'!$A$43),"")</f>
        <v/>
      </c>
      <c r="AA8" s="553"/>
      <c r="AB8" s="551" t="str">
        <f ca="1">IF(AND('Mapa riesgos'!$M$31="Muy Alta",'Mapa riesgos'!$Q$31="Mayor"),CONCATENATE("R",'Mapa riesgos'!$A$31),"")</f>
        <v/>
      </c>
      <c r="AC8" s="552"/>
      <c r="AD8" s="552" t="str">
        <f ca="1">IF(AND('Mapa riesgos'!$M$37="Muy Alta",'Mapa riesgos'!$Q$37="Mayor"),CONCATENATE("R",'Mapa riesgos'!$A$37),"")</f>
        <v/>
      </c>
      <c r="AE8" s="552"/>
      <c r="AF8" s="552" t="str">
        <f ca="1">IF(AND('Mapa riesgos'!$M$43="Muy Alta",'Mapa riesgos'!$Q$43="Mayor"),CONCATENATE("R",'Mapa riesgos'!$A$43),"")</f>
        <v/>
      </c>
      <c r="AG8" s="553"/>
      <c r="AH8" s="542" t="str">
        <f ca="1">IF(AND('Mapa riesgos'!$M$31="Muy Alta",'Mapa riesgos'!$Q$31="Catastrófico"),CONCATENATE("R",'Mapa riesgos'!$A$31),"")</f>
        <v/>
      </c>
      <c r="AI8" s="543"/>
      <c r="AJ8" s="543" t="str">
        <f ca="1">IF(AND('Mapa riesgos'!$M$37="Muy Alta",'Mapa riesgos'!$Q$37="Catastrófico"),CONCATENATE("R",'Mapa riesgos'!$A$37),"")</f>
        <v/>
      </c>
      <c r="AK8" s="543"/>
      <c r="AL8" s="543" t="str">
        <f ca="1">IF(AND('Mapa riesgos'!$M$43="Muy Alta",'Mapa riesgos'!$Q$43="Catastrófico"),CONCATENATE("R",'Mapa riesgos'!$A$43),"")</f>
        <v/>
      </c>
      <c r="AM8" s="544"/>
      <c r="AN8" s="66"/>
      <c r="AO8" s="576"/>
      <c r="AP8" s="577"/>
      <c r="AQ8" s="577"/>
      <c r="AR8" s="577"/>
      <c r="AS8" s="577"/>
      <c r="AT8" s="578"/>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571"/>
      <c r="C9" s="571"/>
      <c r="D9" s="572"/>
      <c r="E9" s="564"/>
      <c r="F9" s="565"/>
      <c r="G9" s="565"/>
      <c r="H9" s="565"/>
      <c r="I9" s="566"/>
      <c r="J9" s="551"/>
      <c r="K9" s="552"/>
      <c r="L9" s="552"/>
      <c r="M9" s="552"/>
      <c r="N9" s="552"/>
      <c r="O9" s="553"/>
      <c r="P9" s="551"/>
      <c r="Q9" s="552"/>
      <c r="R9" s="552"/>
      <c r="S9" s="552"/>
      <c r="T9" s="552"/>
      <c r="U9" s="553"/>
      <c r="V9" s="551"/>
      <c r="W9" s="552"/>
      <c r="X9" s="552"/>
      <c r="Y9" s="552"/>
      <c r="Z9" s="552"/>
      <c r="AA9" s="553"/>
      <c r="AB9" s="551"/>
      <c r="AC9" s="552"/>
      <c r="AD9" s="552"/>
      <c r="AE9" s="552"/>
      <c r="AF9" s="552"/>
      <c r="AG9" s="553"/>
      <c r="AH9" s="542"/>
      <c r="AI9" s="543"/>
      <c r="AJ9" s="543"/>
      <c r="AK9" s="543"/>
      <c r="AL9" s="543"/>
      <c r="AM9" s="544"/>
      <c r="AN9" s="66"/>
      <c r="AO9" s="576"/>
      <c r="AP9" s="577"/>
      <c r="AQ9" s="577"/>
      <c r="AR9" s="577"/>
      <c r="AS9" s="577"/>
      <c r="AT9" s="578"/>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571"/>
      <c r="C10" s="571"/>
      <c r="D10" s="572"/>
      <c r="E10" s="564"/>
      <c r="F10" s="565"/>
      <c r="G10" s="565"/>
      <c r="H10" s="565"/>
      <c r="I10" s="566"/>
      <c r="J10" s="551" t="str">
        <f ca="1">IF(AND('Mapa riesgos'!$M$49="Muy Alta",'Mapa riesgos'!$Q$49="Leve"),CONCATENATE("R",'Mapa riesgos'!$A$49),"")</f>
        <v/>
      </c>
      <c r="K10" s="552"/>
      <c r="L10" s="552" t="str">
        <f ca="1">IF(AND('Mapa riesgos'!$M$55="Muy Alta",'Mapa riesgos'!$Q$55="Leve"),CONCATENATE("R",'Mapa riesgos'!$A$55),"")</f>
        <v/>
      </c>
      <c r="M10" s="552"/>
      <c r="N10" s="552" t="str">
        <f ca="1">IF(AND('Mapa riesgos'!$M$61="Muy Alta",'Mapa riesgos'!$Q$61="Leve"),CONCATENATE("R",'Mapa riesgos'!$A$61),"")</f>
        <v/>
      </c>
      <c r="O10" s="553"/>
      <c r="P10" s="551" t="str">
        <f ca="1">IF(AND('Mapa riesgos'!$M$49="Muy Alta",'Mapa riesgos'!$Q$49="Menor"),CONCATENATE("R",'Mapa riesgos'!$A$49),"")</f>
        <v/>
      </c>
      <c r="Q10" s="552"/>
      <c r="R10" s="552" t="str">
        <f ca="1">IF(AND('Mapa riesgos'!$M$55="Muy Alta",'Mapa riesgos'!$Q$55="Menor"),CONCATENATE("R",'Mapa riesgos'!$A$55),"")</f>
        <v/>
      </c>
      <c r="S10" s="552"/>
      <c r="T10" s="552" t="str">
        <f ca="1">IF(AND('Mapa riesgos'!$M$61="Muy Alta",'Mapa riesgos'!$Q$61="Menor"),CONCATENATE("R",'Mapa riesgos'!$A$61),"")</f>
        <v/>
      </c>
      <c r="U10" s="553"/>
      <c r="V10" s="551" t="str">
        <f ca="1">IF(AND('Mapa riesgos'!$M$49="Muy Alta",'Mapa riesgos'!$Q$49="Moderado"),CONCATENATE("R",'Mapa riesgos'!$A$49),"")</f>
        <v/>
      </c>
      <c r="W10" s="552"/>
      <c r="X10" s="552" t="str">
        <f ca="1">IF(AND('Mapa riesgos'!$M$55="Muy Alta",'Mapa riesgos'!$Q$55="Moderado"),CONCATENATE("R",'Mapa riesgos'!$A$55),"")</f>
        <v/>
      </c>
      <c r="Y10" s="552"/>
      <c r="Z10" s="552" t="str">
        <f ca="1">IF(AND('Mapa riesgos'!$M$61="Muy Alta",'Mapa riesgos'!$Q$61="Moderado"),CONCATENATE("R",'Mapa riesgos'!$A$61),"")</f>
        <v/>
      </c>
      <c r="AA10" s="553"/>
      <c r="AB10" s="551" t="str">
        <f ca="1">IF(AND('Mapa riesgos'!$M$49="Muy Alta",'Mapa riesgos'!$Q$49="Mayor"),CONCATENATE("R",'Mapa riesgos'!$A$49),"")</f>
        <v/>
      </c>
      <c r="AC10" s="552"/>
      <c r="AD10" s="552" t="str">
        <f ca="1">IF(AND('Mapa riesgos'!$M$55="Muy Alta",'Mapa riesgos'!$Q$55="Mayor"),CONCATENATE("R",'Mapa riesgos'!$A$55),"")</f>
        <v/>
      </c>
      <c r="AE10" s="552"/>
      <c r="AF10" s="552" t="str">
        <f ca="1">IF(AND('Mapa riesgos'!$M$61="Muy Alta",'Mapa riesgos'!$Q$61="Mayor"),CONCATENATE("R",'Mapa riesgos'!$A$61),"")</f>
        <v/>
      </c>
      <c r="AG10" s="553"/>
      <c r="AH10" s="542" t="str">
        <f ca="1">IF(AND('Mapa riesgos'!$M$49="Muy Alta",'Mapa riesgos'!$Q$49="Catastrófico"),CONCATENATE("R",'Mapa riesgos'!$A$49),"")</f>
        <v/>
      </c>
      <c r="AI10" s="543"/>
      <c r="AJ10" s="543" t="str">
        <f ca="1">IF(AND('Mapa riesgos'!$M$55="Muy Alta",'Mapa riesgos'!$Q$55="Catastrófico"),CONCATENATE("R",'Mapa riesgos'!$A$55),"")</f>
        <v/>
      </c>
      <c r="AK10" s="543"/>
      <c r="AL10" s="543" t="str">
        <f ca="1">IF(AND('Mapa riesgos'!$M$61="Muy Alta",'Mapa riesgos'!$Q$61="Catastrófico"),CONCATENATE("R",'Mapa riesgos'!$A$61),"")</f>
        <v/>
      </c>
      <c r="AM10" s="544"/>
      <c r="AN10" s="66"/>
      <c r="AO10" s="576"/>
      <c r="AP10" s="577"/>
      <c r="AQ10" s="577"/>
      <c r="AR10" s="577"/>
      <c r="AS10" s="577"/>
      <c r="AT10" s="578"/>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571"/>
      <c r="C11" s="571"/>
      <c r="D11" s="572"/>
      <c r="E11" s="564"/>
      <c r="F11" s="565"/>
      <c r="G11" s="565"/>
      <c r="H11" s="565"/>
      <c r="I11" s="566"/>
      <c r="J11" s="551"/>
      <c r="K11" s="552"/>
      <c r="L11" s="552"/>
      <c r="M11" s="552"/>
      <c r="N11" s="552"/>
      <c r="O11" s="553"/>
      <c r="P11" s="551"/>
      <c r="Q11" s="552"/>
      <c r="R11" s="552"/>
      <c r="S11" s="552"/>
      <c r="T11" s="552"/>
      <c r="U11" s="553"/>
      <c r="V11" s="551"/>
      <c r="W11" s="552"/>
      <c r="X11" s="552"/>
      <c r="Y11" s="552"/>
      <c r="Z11" s="552"/>
      <c r="AA11" s="553"/>
      <c r="AB11" s="551"/>
      <c r="AC11" s="552"/>
      <c r="AD11" s="552"/>
      <c r="AE11" s="552"/>
      <c r="AF11" s="552"/>
      <c r="AG11" s="553"/>
      <c r="AH11" s="542"/>
      <c r="AI11" s="543"/>
      <c r="AJ11" s="543"/>
      <c r="AK11" s="543"/>
      <c r="AL11" s="543"/>
      <c r="AM11" s="544"/>
      <c r="AN11" s="66"/>
      <c r="AO11" s="576"/>
      <c r="AP11" s="577"/>
      <c r="AQ11" s="577"/>
      <c r="AR11" s="577"/>
      <c r="AS11" s="577"/>
      <c r="AT11" s="578"/>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571"/>
      <c r="C12" s="571"/>
      <c r="D12" s="572"/>
      <c r="E12" s="564"/>
      <c r="F12" s="565"/>
      <c r="G12" s="565"/>
      <c r="H12" s="565"/>
      <c r="I12" s="566"/>
      <c r="J12" s="551" t="str">
        <f>IF(AND('Mapa riesgos'!$M$67="Muy Alta",'Mapa riesgos'!$Q$67="Leve"),CONCATENATE("R",'Mapa riesgos'!$A$67),"")</f>
        <v/>
      </c>
      <c r="K12" s="552"/>
      <c r="L12" s="552" t="str">
        <f>IF(AND('Mapa riesgos'!$M$73="Muy Alta",'Mapa riesgos'!$Q$73="Leve"),CONCATENATE("R",'Mapa riesgos'!$A$73),"")</f>
        <v/>
      </c>
      <c r="M12" s="552"/>
      <c r="N12" s="552" t="str">
        <f>IF(AND('Mapa riesgos'!$M$79="Muy Alta",'Mapa riesgos'!$Q$79="Leve"),CONCATENATE("R",'Mapa riesgos'!$A$79),"")</f>
        <v/>
      </c>
      <c r="O12" s="553"/>
      <c r="P12" s="551" t="str">
        <f>IF(AND('Mapa riesgos'!$M$67="Muy Alta",'Mapa riesgos'!$Q$67="Menor"),CONCATENATE("R",'Mapa riesgos'!$A$67),"")</f>
        <v/>
      </c>
      <c r="Q12" s="552"/>
      <c r="R12" s="552" t="str">
        <f>IF(AND('Mapa riesgos'!$M$73="Muy Alta",'Mapa riesgos'!$Q$73="Menor"),CONCATENATE("R",'Mapa riesgos'!$A$73),"")</f>
        <v/>
      </c>
      <c r="S12" s="552"/>
      <c r="T12" s="552" t="str">
        <f>IF(AND('Mapa riesgos'!$M$79="Muy Alta",'Mapa riesgos'!$Q$79="Menor"),CONCATENATE("R",'Mapa riesgos'!$A$79),"")</f>
        <v/>
      </c>
      <c r="U12" s="553"/>
      <c r="V12" s="551" t="str">
        <f>IF(AND('Mapa riesgos'!$M$67="Muy Alta",'Mapa riesgos'!$Q$67="Moderado"),CONCATENATE("R",'Mapa riesgos'!$A$67),"")</f>
        <v/>
      </c>
      <c r="W12" s="552"/>
      <c r="X12" s="552" t="str">
        <f>IF(AND('Mapa riesgos'!$M$73="Muy Alta",'Mapa riesgos'!$Q$73="Moderado"),CONCATENATE("R",'Mapa riesgos'!$A$73),"")</f>
        <v/>
      </c>
      <c r="Y12" s="552"/>
      <c r="Z12" s="552" t="str">
        <f>IF(AND('Mapa riesgos'!$M$79="Muy Alta",'Mapa riesgos'!$Q$79="Moderado"),CONCATENATE("R",'Mapa riesgos'!$A$79),"")</f>
        <v/>
      </c>
      <c r="AA12" s="553"/>
      <c r="AB12" s="551" t="str">
        <f>IF(AND('Mapa riesgos'!$M$67="Muy Alta",'Mapa riesgos'!$Q$67="Mayor"),CONCATENATE("R",'Mapa riesgos'!$A$67),"")</f>
        <v/>
      </c>
      <c r="AC12" s="552"/>
      <c r="AD12" s="552" t="str">
        <f>IF(AND('Mapa riesgos'!$M$73="Muy Alta",'Mapa riesgos'!$Q$73="Mayor"),CONCATENATE("R",'Mapa riesgos'!$A$73),"")</f>
        <v/>
      </c>
      <c r="AE12" s="552"/>
      <c r="AF12" s="552" t="str">
        <f>IF(AND('Mapa riesgos'!$M$79="Muy Alta",'Mapa riesgos'!$Q$79="Mayor"),CONCATENATE("R",'Mapa riesgos'!$A$79),"")</f>
        <v/>
      </c>
      <c r="AG12" s="553"/>
      <c r="AH12" s="542" t="str">
        <f>IF(AND('Mapa riesgos'!$M$67="Muy Alta",'Mapa riesgos'!$Q$67="Catastrófico"),CONCATENATE("R",'Mapa riesgos'!$A$67),"")</f>
        <v/>
      </c>
      <c r="AI12" s="543"/>
      <c r="AJ12" s="543" t="str">
        <f>IF(AND('Mapa riesgos'!$M$73="Muy Alta",'Mapa riesgos'!$Q$73="Catastrófico"),CONCATENATE("R",'Mapa riesgos'!$A$73),"")</f>
        <v/>
      </c>
      <c r="AK12" s="543"/>
      <c r="AL12" s="543" t="str">
        <f>IF(AND('Mapa riesgos'!$M$79="Muy Alta",'Mapa riesgos'!$Q$79="Catastrófico"),CONCATENATE("R",'Mapa riesgos'!$A$79),"")</f>
        <v/>
      </c>
      <c r="AM12" s="544"/>
      <c r="AN12" s="66"/>
      <c r="AO12" s="576"/>
      <c r="AP12" s="577"/>
      <c r="AQ12" s="577"/>
      <c r="AR12" s="577"/>
      <c r="AS12" s="577"/>
      <c r="AT12" s="578"/>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571"/>
      <c r="C13" s="571"/>
      <c r="D13" s="572"/>
      <c r="E13" s="567"/>
      <c r="F13" s="568"/>
      <c r="G13" s="568"/>
      <c r="H13" s="568"/>
      <c r="I13" s="569"/>
      <c r="J13" s="551"/>
      <c r="K13" s="552"/>
      <c r="L13" s="552"/>
      <c r="M13" s="552"/>
      <c r="N13" s="552"/>
      <c r="O13" s="553"/>
      <c r="P13" s="551"/>
      <c r="Q13" s="552"/>
      <c r="R13" s="552"/>
      <c r="S13" s="552"/>
      <c r="T13" s="552"/>
      <c r="U13" s="553"/>
      <c r="V13" s="551"/>
      <c r="W13" s="552"/>
      <c r="X13" s="552"/>
      <c r="Y13" s="552"/>
      <c r="Z13" s="552"/>
      <c r="AA13" s="553"/>
      <c r="AB13" s="551"/>
      <c r="AC13" s="552"/>
      <c r="AD13" s="552"/>
      <c r="AE13" s="552"/>
      <c r="AF13" s="552"/>
      <c r="AG13" s="553"/>
      <c r="AH13" s="545"/>
      <c r="AI13" s="546"/>
      <c r="AJ13" s="546"/>
      <c r="AK13" s="546"/>
      <c r="AL13" s="546"/>
      <c r="AM13" s="547"/>
      <c r="AN13" s="66"/>
      <c r="AO13" s="579"/>
      <c r="AP13" s="580"/>
      <c r="AQ13" s="580"/>
      <c r="AR13" s="580"/>
      <c r="AS13" s="580"/>
      <c r="AT13" s="581"/>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571"/>
      <c r="C14" s="571"/>
      <c r="D14" s="572"/>
      <c r="E14" s="561" t="s">
        <v>200</v>
      </c>
      <c r="F14" s="562"/>
      <c r="G14" s="562"/>
      <c r="H14" s="562"/>
      <c r="I14" s="562"/>
      <c r="J14" s="539" t="str">
        <f ca="1">IF(AND('Mapa riesgos'!$M$13="Alta",'Mapa riesgos'!$Q$13="Leve"),CONCATENATE("R",'Mapa riesgos'!$A$13),"")</f>
        <v/>
      </c>
      <c r="K14" s="540"/>
      <c r="L14" s="540" t="str">
        <f ca="1">IF(AND('Mapa riesgos'!$M$19="Alta",'Mapa riesgos'!$Q$19="Leve"),CONCATENATE("R",'Mapa riesgos'!$A$19),"")</f>
        <v/>
      </c>
      <c r="M14" s="540"/>
      <c r="N14" s="540" t="str">
        <f ca="1">IF(AND('Mapa riesgos'!$M$25="Alta",'Mapa riesgos'!$Q$25="Leve"),CONCATENATE("R",'Mapa riesgos'!$A$25),"")</f>
        <v/>
      </c>
      <c r="O14" s="541"/>
      <c r="P14" s="539" t="str">
        <f ca="1">IF(AND('Mapa riesgos'!$M$13="Alta",'Mapa riesgos'!$Q$13="Menor"),CONCATENATE("R",'Mapa riesgos'!$A$13),"")</f>
        <v>R1</v>
      </c>
      <c r="Q14" s="540"/>
      <c r="R14" s="540" t="str">
        <f ca="1">IF(AND('Mapa riesgos'!$M$19="Alta",'Mapa riesgos'!$Q$19="Menor"),CONCATENATE("R",'Mapa riesgos'!$A$19),"")</f>
        <v/>
      </c>
      <c r="S14" s="540"/>
      <c r="T14" s="540" t="str">
        <f ca="1">IF(AND('Mapa riesgos'!$M$25="Alta",'Mapa riesgos'!$Q$25="Menor"),CONCATENATE("R",'Mapa riesgos'!$A$25),"")</f>
        <v/>
      </c>
      <c r="U14" s="541"/>
      <c r="V14" s="557" t="str">
        <f ca="1">IF(AND('Mapa riesgos'!$M$13="Alta",'Mapa riesgos'!$Q$13="Moderado"),CONCATENATE("R",'Mapa riesgos'!$A$13),"")</f>
        <v/>
      </c>
      <c r="W14" s="558"/>
      <c r="X14" s="558" t="str">
        <f ca="1">IF(AND('Mapa riesgos'!$M$19="Alta",'Mapa riesgos'!$Q$19="Moderado"),CONCATENATE("R",'Mapa riesgos'!$A$19),"")</f>
        <v/>
      </c>
      <c r="Y14" s="558"/>
      <c r="Z14" s="558" t="str">
        <f ca="1">IF(AND('Mapa riesgos'!$M$25="Alta",'Mapa riesgos'!$Q$25="Moderado"),CONCATENATE("R",'Mapa riesgos'!$A$25),"")</f>
        <v/>
      </c>
      <c r="AA14" s="559"/>
      <c r="AB14" s="557" t="str">
        <f ca="1">IF(AND('Mapa riesgos'!$M$13="Alta",'Mapa riesgos'!$Q$13="Mayor"),CONCATENATE("R",'Mapa riesgos'!$A$13),"")</f>
        <v/>
      </c>
      <c r="AC14" s="558"/>
      <c r="AD14" s="558" t="str">
        <f ca="1">IF(AND('Mapa riesgos'!$M$19="Alta",'Mapa riesgos'!$Q$19="Mayor"),CONCATENATE("R",'Mapa riesgos'!$A$19),"")</f>
        <v/>
      </c>
      <c r="AE14" s="558"/>
      <c r="AF14" s="558" t="str">
        <f ca="1">IF(AND('Mapa riesgos'!$M$25="Alta",'Mapa riesgos'!$Q$25="Mayor"),CONCATENATE("R",'Mapa riesgos'!$A$25),"")</f>
        <v/>
      </c>
      <c r="AG14" s="559"/>
      <c r="AH14" s="548" t="str">
        <f ca="1">IF(AND('Mapa riesgos'!$M$13="Alta",'Mapa riesgos'!$Q$13="Catastrófico"),CONCATENATE("R",'Mapa riesgos'!$A$13),"")</f>
        <v/>
      </c>
      <c r="AI14" s="549"/>
      <c r="AJ14" s="549" t="str">
        <f ca="1">IF(AND('Mapa riesgos'!$M$19="Alta",'Mapa riesgos'!$Q$19="Catastrófico"),CONCATENATE("R",'Mapa riesgos'!$A$19),"")</f>
        <v/>
      </c>
      <c r="AK14" s="549"/>
      <c r="AL14" s="549" t="str">
        <f ca="1">IF(AND('Mapa riesgos'!$M$25="Alta",'Mapa riesgos'!$Q$25="Catastrófico"),CONCATENATE("R",'Mapa riesgos'!$A$25),"")</f>
        <v/>
      </c>
      <c r="AM14" s="550"/>
      <c r="AN14" s="66"/>
      <c r="AO14" s="582" t="s">
        <v>201</v>
      </c>
      <c r="AP14" s="583"/>
      <c r="AQ14" s="583"/>
      <c r="AR14" s="583"/>
      <c r="AS14" s="583"/>
      <c r="AT14" s="584"/>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571"/>
      <c r="C15" s="571"/>
      <c r="D15" s="572"/>
      <c r="E15" s="564"/>
      <c r="F15" s="565"/>
      <c r="G15" s="565"/>
      <c r="H15" s="565"/>
      <c r="I15" s="565"/>
      <c r="J15" s="533"/>
      <c r="K15" s="534"/>
      <c r="L15" s="534"/>
      <c r="M15" s="534"/>
      <c r="N15" s="534"/>
      <c r="O15" s="535"/>
      <c r="P15" s="533"/>
      <c r="Q15" s="534"/>
      <c r="R15" s="534"/>
      <c r="S15" s="534"/>
      <c r="T15" s="534"/>
      <c r="U15" s="535"/>
      <c r="V15" s="551"/>
      <c r="W15" s="552"/>
      <c r="X15" s="552"/>
      <c r="Y15" s="552"/>
      <c r="Z15" s="552"/>
      <c r="AA15" s="553"/>
      <c r="AB15" s="551"/>
      <c r="AC15" s="552"/>
      <c r="AD15" s="552"/>
      <c r="AE15" s="552"/>
      <c r="AF15" s="552"/>
      <c r="AG15" s="553"/>
      <c r="AH15" s="542"/>
      <c r="AI15" s="543"/>
      <c r="AJ15" s="543"/>
      <c r="AK15" s="543"/>
      <c r="AL15" s="543"/>
      <c r="AM15" s="544"/>
      <c r="AN15" s="66"/>
      <c r="AO15" s="585"/>
      <c r="AP15" s="586"/>
      <c r="AQ15" s="586"/>
      <c r="AR15" s="586"/>
      <c r="AS15" s="586"/>
      <c r="AT15" s="587"/>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571"/>
      <c r="C16" s="571"/>
      <c r="D16" s="572"/>
      <c r="E16" s="564"/>
      <c r="F16" s="565"/>
      <c r="G16" s="565"/>
      <c r="H16" s="565"/>
      <c r="I16" s="565"/>
      <c r="J16" s="533" t="str">
        <f ca="1">IF(AND('Mapa riesgos'!$M$31="Alta",'Mapa riesgos'!$Q$31="Leve"),CONCATENATE("R",'Mapa riesgos'!$A$31),"")</f>
        <v/>
      </c>
      <c r="K16" s="534"/>
      <c r="L16" s="534" t="str">
        <f ca="1">IF(AND('Mapa riesgos'!$M$37="Alta",'Mapa riesgos'!$Q$37="Leve"),CONCATENATE("R",'Mapa riesgos'!$A$37),"")</f>
        <v/>
      </c>
      <c r="M16" s="534"/>
      <c r="N16" s="534" t="str">
        <f ca="1">IF(AND('Mapa riesgos'!$M$43="Alta",'Mapa riesgos'!$Q$43="Leve"),CONCATENATE("R",'Mapa riesgos'!$A$43),"")</f>
        <v/>
      </c>
      <c r="O16" s="535"/>
      <c r="P16" s="533" t="str">
        <f ca="1">IF(AND('Mapa riesgos'!$M$31="Alta",'Mapa riesgos'!$Q$31="Menor"),CONCATENATE("R",'Mapa riesgos'!$A$31),"")</f>
        <v/>
      </c>
      <c r="Q16" s="534"/>
      <c r="R16" s="534" t="str">
        <f ca="1">IF(AND('Mapa riesgos'!$M$37="Alta",'Mapa riesgos'!$Q$37="Menor"),CONCATENATE("R",'Mapa riesgos'!$A$37),"")</f>
        <v/>
      </c>
      <c r="S16" s="534"/>
      <c r="T16" s="534" t="str">
        <f ca="1">IF(AND('Mapa riesgos'!$M$43="Alta",'Mapa riesgos'!$Q$43="Menor"),CONCATENATE("R",'Mapa riesgos'!$A$43),"")</f>
        <v/>
      </c>
      <c r="U16" s="535"/>
      <c r="V16" s="551" t="str">
        <f ca="1">IF(AND('Mapa riesgos'!$M$31="Alta",'Mapa riesgos'!$Q$31="Moderado"),CONCATENATE("R",'Mapa riesgos'!$A$31),"")</f>
        <v/>
      </c>
      <c r="W16" s="552"/>
      <c r="X16" s="552" t="str">
        <f ca="1">IF(AND('Mapa riesgos'!$M$37="Alta",'Mapa riesgos'!$Q$37="Moderado"),CONCATENATE("R",'Mapa riesgos'!$A$37),"")</f>
        <v/>
      </c>
      <c r="Y16" s="552"/>
      <c r="Z16" s="552" t="str">
        <f ca="1">IF(AND('Mapa riesgos'!$M$43="Alta",'Mapa riesgos'!$Q$43="Moderado"),CONCATENATE("R",'Mapa riesgos'!$A$43),"")</f>
        <v/>
      </c>
      <c r="AA16" s="553"/>
      <c r="AB16" s="551" t="str">
        <f ca="1">IF(AND('Mapa riesgos'!$M$31="Alta",'Mapa riesgos'!$Q$31="Mayor"),CONCATENATE("R",'Mapa riesgos'!$A$31),"")</f>
        <v/>
      </c>
      <c r="AC16" s="552"/>
      <c r="AD16" s="552" t="str">
        <f ca="1">IF(AND('Mapa riesgos'!$M$37="Alta",'Mapa riesgos'!$Q$37="Mayor"),CONCATENATE("R",'Mapa riesgos'!$A$37),"")</f>
        <v/>
      </c>
      <c r="AE16" s="552"/>
      <c r="AF16" s="552" t="str">
        <f ca="1">IF(AND('Mapa riesgos'!$M$43="Alta",'Mapa riesgos'!$Q$43="Mayor"),CONCATENATE("R",'Mapa riesgos'!$A$43),"")</f>
        <v/>
      </c>
      <c r="AG16" s="553"/>
      <c r="AH16" s="542" t="str">
        <f ca="1">IF(AND('Mapa riesgos'!$M$31="Alta",'Mapa riesgos'!$Q$31="Catastrófico"),CONCATENATE("R",'Mapa riesgos'!$A$31),"")</f>
        <v/>
      </c>
      <c r="AI16" s="543"/>
      <c r="AJ16" s="543" t="str">
        <f ca="1">IF(AND('Mapa riesgos'!$M$37="Alta",'Mapa riesgos'!$Q$37="Catastrófico"),CONCATENATE("R",'Mapa riesgos'!$A$37),"")</f>
        <v/>
      </c>
      <c r="AK16" s="543"/>
      <c r="AL16" s="543" t="str">
        <f ca="1">IF(AND('Mapa riesgos'!$M$43="Alta",'Mapa riesgos'!$Q$43="Catastrófico"),CONCATENATE("R",'Mapa riesgos'!$A$43),"")</f>
        <v/>
      </c>
      <c r="AM16" s="544"/>
      <c r="AN16" s="66"/>
      <c r="AO16" s="585"/>
      <c r="AP16" s="586"/>
      <c r="AQ16" s="586"/>
      <c r="AR16" s="586"/>
      <c r="AS16" s="586"/>
      <c r="AT16" s="58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571"/>
      <c r="C17" s="571"/>
      <c r="D17" s="572"/>
      <c r="E17" s="564"/>
      <c r="F17" s="565"/>
      <c r="G17" s="565"/>
      <c r="H17" s="565"/>
      <c r="I17" s="565"/>
      <c r="J17" s="533"/>
      <c r="K17" s="534"/>
      <c r="L17" s="534"/>
      <c r="M17" s="534"/>
      <c r="N17" s="534"/>
      <c r="O17" s="535"/>
      <c r="P17" s="533"/>
      <c r="Q17" s="534"/>
      <c r="R17" s="534"/>
      <c r="S17" s="534"/>
      <c r="T17" s="534"/>
      <c r="U17" s="535"/>
      <c r="V17" s="551"/>
      <c r="W17" s="552"/>
      <c r="X17" s="552"/>
      <c r="Y17" s="552"/>
      <c r="Z17" s="552"/>
      <c r="AA17" s="553"/>
      <c r="AB17" s="551"/>
      <c r="AC17" s="552"/>
      <c r="AD17" s="552"/>
      <c r="AE17" s="552"/>
      <c r="AF17" s="552"/>
      <c r="AG17" s="553"/>
      <c r="AH17" s="542"/>
      <c r="AI17" s="543"/>
      <c r="AJ17" s="543"/>
      <c r="AK17" s="543"/>
      <c r="AL17" s="543"/>
      <c r="AM17" s="544"/>
      <c r="AN17" s="66"/>
      <c r="AO17" s="585"/>
      <c r="AP17" s="586"/>
      <c r="AQ17" s="586"/>
      <c r="AR17" s="586"/>
      <c r="AS17" s="586"/>
      <c r="AT17" s="58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571"/>
      <c r="C18" s="571"/>
      <c r="D18" s="572"/>
      <c r="E18" s="564"/>
      <c r="F18" s="565"/>
      <c r="G18" s="565"/>
      <c r="H18" s="565"/>
      <c r="I18" s="565"/>
      <c r="J18" s="533" t="str">
        <f ca="1">IF(AND('Mapa riesgos'!$M$49="Alta",'Mapa riesgos'!$Q$49="Leve"),CONCATENATE("R",'Mapa riesgos'!$A$49),"")</f>
        <v/>
      </c>
      <c r="K18" s="534"/>
      <c r="L18" s="534" t="str">
        <f ca="1">IF(AND('Mapa riesgos'!$M$55="Alta",'Mapa riesgos'!$Q$55="Leve"),CONCATENATE("R",'Mapa riesgos'!$A$55),"")</f>
        <v/>
      </c>
      <c r="M18" s="534"/>
      <c r="N18" s="534" t="str">
        <f ca="1">IF(AND('Mapa riesgos'!$M$61="Alta",'Mapa riesgos'!$Q$61="Leve"),CONCATENATE("R",'Mapa riesgos'!$A$61),"")</f>
        <v/>
      </c>
      <c r="O18" s="535"/>
      <c r="P18" s="533" t="str">
        <f ca="1">IF(AND('Mapa riesgos'!$M$49="Alta",'Mapa riesgos'!$Q$49="Menor"),CONCATENATE("R",'Mapa riesgos'!$A$49),"")</f>
        <v/>
      </c>
      <c r="Q18" s="534"/>
      <c r="R18" s="534" t="str">
        <f ca="1">IF(AND('Mapa riesgos'!$M$55="Alta",'Mapa riesgos'!$Q$55="Menor"),CONCATENATE("R",'Mapa riesgos'!$A$55),"")</f>
        <v/>
      </c>
      <c r="S18" s="534"/>
      <c r="T18" s="534" t="str">
        <f ca="1">IF(AND('Mapa riesgos'!$M$61="Alta",'Mapa riesgos'!$Q$61="Menor"),CONCATENATE("R",'Mapa riesgos'!$A$61),"")</f>
        <v/>
      </c>
      <c r="U18" s="535"/>
      <c r="V18" s="551" t="str">
        <f ca="1">IF(AND('Mapa riesgos'!$M$49="Alta",'Mapa riesgos'!$Q$49="Moderado"),CONCATENATE("R",'Mapa riesgos'!$A$49),"")</f>
        <v/>
      </c>
      <c r="W18" s="552"/>
      <c r="X18" s="552" t="str">
        <f ca="1">IF(AND('Mapa riesgos'!$M$55="Alta",'Mapa riesgos'!$Q$55="Moderado"),CONCATENATE("R",'Mapa riesgos'!$A$55),"")</f>
        <v/>
      </c>
      <c r="Y18" s="552"/>
      <c r="Z18" s="552" t="str">
        <f ca="1">IF(AND('Mapa riesgos'!$M$61="Alta",'Mapa riesgos'!$Q$61="Moderado"),CONCATENATE("R",'Mapa riesgos'!$A$61),"")</f>
        <v/>
      </c>
      <c r="AA18" s="553"/>
      <c r="AB18" s="551" t="str">
        <f ca="1">IF(AND('Mapa riesgos'!$M$49="Alta",'Mapa riesgos'!$Q$49="Mayor"),CONCATENATE("R",'Mapa riesgos'!$A$49),"")</f>
        <v/>
      </c>
      <c r="AC18" s="552"/>
      <c r="AD18" s="552" t="str">
        <f ca="1">IF(AND('Mapa riesgos'!$M$55="Alta",'Mapa riesgos'!$Q$55="Mayor"),CONCATENATE("R",'Mapa riesgos'!$A$55),"")</f>
        <v/>
      </c>
      <c r="AE18" s="552"/>
      <c r="AF18" s="552" t="str">
        <f ca="1">IF(AND('Mapa riesgos'!$M$61="Alta",'Mapa riesgos'!$Q$61="Mayor"),CONCATENATE("R",'Mapa riesgos'!$A$61),"")</f>
        <v/>
      </c>
      <c r="AG18" s="553"/>
      <c r="AH18" s="542" t="str">
        <f ca="1">IF(AND('Mapa riesgos'!$M$49="Alta",'Mapa riesgos'!$Q$49="Catastrófico"),CONCATENATE("R",'Mapa riesgos'!$A$49),"")</f>
        <v/>
      </c>
      <c r="AI18" s="543"/>
      <c r="AJ18" s="543" t="str">
        <f ca="1">IF(AND('Mapa riesgos'!$M$55="Alta",'Mapa riesgos'!$Q$55="Catastrófico"),CONCATENATE("R",'Mapa riesgos'!$A$55),"")</f>
        <v/>
      </c>
      <c r="AK18" s="543"/>
      <c r="AL18" s="543" t="str">
        <f ca="1">IF(AND('Mapa riesgos'!$M$61="Alta",'Mapa riesgos'!$Q$61="Catastrófico"),CONCATENATE("R",'Mapa riesgos'!$A$61),"")</f>
        <v/>
      </c>
      <c r="AM18" s="544"/>
      <c r="AN18" s="66"/>
      <c r="AO18" s="585"/>
      <c r="AP18" s="586"/>
      <c r="AQ18" s="586"/>
      <c r="AR18" s="586"/>
      <c r="AS18" s="586"/>
      <c r="AT18" s="58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571"/>
      <c r="C19" s="571"/>
      <c r="D19" s="572"/>
      <c r="E19" s="564"/>
      <c r="F19" s="565"/>
      <c r="G19" s="565"/>
      <c r="H19" s="565"/>
      <c r="I19" s="565"/>
      <c r="J19" s="533"/>
      <c r="K19" s="534"/>
      <c r="L19" s="534"/>
      <c r="M19" s="534"/>
      <c r="N19" s="534"/>
      <c r="O19" s="535"/>
      <c r="P19" s="533"/>
      <c r="Q19" s="534"/>
      <c r="R19" s="534"/>
      <c r="S19" s="534"/>
      <c r="T19" s="534"/>
      <c r="U19" s="535"/>
      <c r="V19" s="551"/>
      <c r="W19" s="552"/>
      <c r="X19" s="552"/>
      <c r="Y19" s="552"/>
      <c r="Z19" s="552"/>
      <c r="AA19" s="553"/>
      <c r="AB19" s="551"/>
      <c r="AC19" s="552"/>
      <c r="AD19" s="552"/>
      <c r="AE19" s="552"/>
      <c r="AF19" s="552"/>
      <c r="AG19" s="553"/>
      <c r="AH19" s="542"/>
      <c r="AI19" s="543"/>
      <c r="AJ19" s="543"/>
      <c r="AK19" s="543"/>
      <c r="AL19" s="543"/>
      <c r="AM19" s="544"/>
      <c r="AN19" s="66"/>
      <c r="AO19" s="585"/>
      <c r="AP19" s="586"/>
      <c r="AQ19" s="586"/>
      <c r="AR19" s="586"/>
      <c r="AS19" s="586"/>
      <c r="AT19" s="58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571"/>
      <c r="C20" s="571"/>
      <c r="D20" s="572"/>
      <c r="E20" s="564"/>
      <c r="F20" s="565"/>
      <c r="G20" s="565"/>
      <c r="H20" s="565"/>
      <c r="I20" s="565"/>
      <c r="J20" s="533" t="str">
        <f>IF(AND('Mapa riesgos'!$M$67="Alta",'Mapa riesgos'!$Q$67="Leve"),CONCATENATE("R",'Mapa riesgos'!$A$67),"")</f>
        <v/>
      </c>
      <c r="K20" s="534"/>
      <c r="L20" s="534" t="str">
        <f>IF(AND('Mapa riesgos'!$M$73="Alta",'Mapa riesgos'!$Q$73="Leve"),CONCATENATE("R",'Mapa riesgos'!$A$73),"")</f>
        <v/>
      </c>
      <c r="M20" s="534"/>
      <c r="N20" s="534" t="str">
        <f>IF(AND('Mapa riesgos'!$M$79="Alta",'Mapa riesgos'!$Q$79="Leve"),CONCATENATE("R",'Mapa riesgos'!$A$79),"")</f>
        <v/>
      </c>
      <c r="O20" s="535"/>
      <c r="P20" s="533" t="str">
        <f>IF(AND('Mapa riesgos'!$M$67="Alta",'Mapa riesgos'!$Q$67="Menor"),CONCATENATE("R",'Mapa riesgos'!$A$67),"")</f>
        <v/>
      </c>
      <c r="Q20" s="534"/>
      <c r="R20" s="534" t="str">
        <f>IF(AND('Mapa riesgos'!$M$73="Alta",'Mapa riesgos'!$Q$73="Menor"),CONCATENATE("R",'Mapa riesgos'!$A$73),"")</f>
        <v/>
      </c>
      <c r="S20" s="534"/>
      <c r="T20" s="534" t="str">
        <f>IF(AND('Mapa riesgos'!$M$79="Alta",'Mapa riesgos'!$Q$79="Menor"),CONCATENATE("R",'Mapa riesgos'!$A$79),"")</f>
        <v/>
      </c>
      <c r="U20" s="535"/>
      <c r="V20" s="551" t="str">
        <f>IF(AND('Mapa riesgos'!$M$67="Alta",'Mapa riesgos'!$Q$67="Moderado"),CONCATENATE("R",'Mapa riesgos'!$A$67),"")</f>
        <v/>
      </c>
      <c r="W20" s="552"/>
      <c r="X20" s="552" t="str">
        <f>IF(AND('Mapa riesgos'!$M$73="Alta",'Mapa riesgos'!$Q$73="Moderado"),CONCATENATE("R",'Mapa riesgos'!$A$73),"")</f>
        <v/>
      </c>
      <c r="Y20" s="552"/>
      <c r="Z20" s="552" t="str">
        <f>IF(AND('Mapa riesgos'!$M$79="Alta",'Mapa riesgos'!$Q$79="Moderado"),CONCATENATE("R",'Mapa riesgos'!$A$79),"")</f>
        <v/>
      </c>
      <c r="AA20" s="553"/>
      <c r="AB20" s="551" t="str">
        <f>IF(AND('Mapa riesgos'!$M$67="Alta",'Mapa riesgos'!$Q$67="Mayor"),CONCATENATE("R",'Mapa riesgos'!$A$67),"")</f>
        <v/>
      </c>
      <c r="AC20" s="552"/>
      <c r="AD20" s="552" t="str">
        <f>IF(AND('Mapa riesgos'!$M$73="Alta",'Mapa riesgos'!$Q$73="Mayor"),CONCATENATE("R",'Mapa riesgos'!$A$73),"")</f>
        <v/>
      </c>
      <c r="AE20" s="552"/>
      <c r="AF20" s="552" t="str">
        <f>IF(AND('Mapa riesgos'!$M$79="Alta",'Mapa riesgos'!$Q$79="Mayor"),CONCATENATE("R",'Mapa riesgos'!$A$79),"")</f>
        <v/>
      </c>
      <c r="AG20" s="553"/>
      <c r="AH20" s="542" t="str">
        <f>IF(AND('Mapa riesgos'!$M$67="Alta",'Mapa riesgos'!$Q$67="Catastrófico"),CONCATENATE("R",'Mapa riesgos'!$A$67),"")</f>
        <v/>
      </c>
      <c r="AI20" s="543"/>
      <c r="AJ20" s="543" t="str">
        <f>IF(AND('Mapa riesgos'!$M$73="Alta",'Mapa riesgos'!$Q$73="Catastrófico"),CONCATENATE("R",'Mapa riesgos'!$A$73),"")</f>
        <v/>
      </c>
      <c r="AK20" s="543"/>
      <c r="AL20" s="543" t="str">
        <f>IF(AND('Mapa riesgos'!$M$79="Alta",'Mapa riesgos'!$Q$79="Catastrófico"),CONCATENATE("R",'Mapa riesgos'!$A$79),"")</f>
        <v/>
      </c>
      <c r="AM20" s="544"/>
      <c r="AN20" s="66"/>
      <c r="AO20" s="585"/>
      <c r="AP20" s="586"/>
      <c r="AQ20" s="586"/>
      <c r="AR20" s="586"/>
      <c r="AS20" s="586"/>
      <c r="AT20" s="58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571"/>
      <c r="C21" s="571"/>
      <c r="D21" s="572"/>
      <c r="E21" s="567"/>
      <c r="F21" s="568"/>
      <c r="G21" s="568"/>
      <c r="H21" s="568"/>
      <c r="I21" s="568"/>
      <c r="J21" s="536"/>
      <c r="K21" s="537"/>
      <c r="L21" s="537"/>
      <c r="M21" s="537"/>
      <c r="N21" s="537"/>
      <c r="O21" s="538"/>
      <c r="P21" s="536"/>
      <c r="Q21" s="537"/>
      <c r="R21" s="537"/>
      <c r="S21" s="537"/>
      <c r="T21" s="537"/>
      <c r="U21" s="538"/>
      <c r="V21" s="554"/>
      <c r="W21" s="555"/>
      <c r="X21" s="555"/>
      <c r="Y21" s="555"/>
      <c r="Z21" s="555"/>
      <c r="AA21" s="556"/>
      <c r="AB21" s="554"/>
      <c r="AC21" s="555"/>
      <c r="AD21" s="555"/>
      <c r="AE21" s="555"/>
      <c r="AF21" s="555"/>
      <c r="AG21" s="556"/>
      <c r="AH21" s="545"/>
      <c r="AI21" s="546"/>
      <c r="AJ21" s="546"/>
      <c r="AK21" s="546"/>
      <c r="AL21" s="546"/>
      <c r="AM21" s="547"/>
      <c r="AN21" s="66"/>
      <c r="AO21" s="588"/>
      <c r="AP21" s="589"/>
      <c r="AQ21" s="589"/>
      <c r="AR21" s="589"/>
      <c r="AS21" s="589"/>
      <c r="AT21" s="59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571"/>
      <c r="C22" s="571"/>
      <c r="D22" s="572"/>
      <c r="E22" s="561" t="s">
        <v>202</v>
      </c>
      <c r="F22" s="562"/>
      <c r="G22" s="562"/>
      <c r="H22" s="562"/>
      <c r="I22" s="563"/>
      <c r="J22" s="539" t="str">
        <f ca="1">IF(AND('Mapa riesgos'!$M$13="Media",'Mapa riesgos'!$Q$13="Leve"),CONCATENATE("R",'Mapa riesgos'!$A$13),"")</f>
        <v/>
      </c>
      <c r="K22" s="540"/>
      <c r="L22" s="540" t="str">
        <f ca="1">IF(AND('Mapa riesgos'!$M$19="Media",'Mapa riesgos'!$Q$19="Leve"),CONCATENATE("R",'Mapa riesgos'!$A$19),"")</f>
        <v/>
      </c>
      <c r="M22" s="540"/>
      <c r="N22" s="540" t="str">
        <f ca="1">IF(AND('Mapa riesgos'!$M$25="Media",'Mapa riesgos'!$Q$25="Leve"),CONCATENATE("R",'Mapa riesgos'!$A$25),"")</f>
        <v/>
      </c>
      <c r="O22" s="541"/>
      <c r="P22" s="539" t="str">
        <f ca="1">IF(AND('Mapa riesgos'!$M$13="Media",'Mapa riesgos'!$Q$13="Menor"),CONCATENATE("R",'Mapa riesgos'!$A$13),"")</f>
        <v/>
      </c>
      <c r="Q22" s="540"/>
      <c r="R22" s="540" t="str">
        <f ca="1">IF(AND('Mapa riesgos'!$M$19="Media",'Mapa riesgos'!$Q$19="Menor"),CONCATENATE("R",'Mapa riesgos'!$A$19),"")</f>
        <v>R2</v>
      </c>
      <c r="S22" s="540"/>
      <c r="T22" s="540" t="str">
        <f ca="1">IF(AND('Mapa riesgos'!$M$25="Media",'Mapa riesgos'!$Q$25="Menor"),CONCATENATE("R",'Mapa riesgos'!$A$25),"")</f>
        <v/>
      </c>
      <c r="U22" s="541"/>
      <c r="V22" s="539" t="str">
        <f ca="1">IF(AND('Mapa riesgos'!$M$13="Media",'Mapa riesgos'!$Q$13="Moderado"),CONCATENATE("R",'Mapa riesgos'!$A$13),"")</f>
        <v/>
      </c>
      <c r="W22" s="540"/>
      <c r="X22" s="540" t="str">
        <f ca="1">IF(AND('Mapa riesgos'!$M$19="Media",'Mapa riesgos'!$Q$19="Moderado"),CONCATENATE("R",'Mapa riesgos'!$A$19),"")</f>
        <v/>
      </c>
      <c r="Y22" s="540"/>
      <c r="Z22" s="540" t="str">
        <f ca="1">IF(AND('Mapa riesgos'!$M$25="Media",'Mapa riesgos'!$Q$25="Moderado"),CONCATENATE("R",'Mapa riesgos'!$A$25),"")</f>
        <v>R3</v>
      </c>
      <c r="AA22" s="541"/>
      <c r="AB22" s="557" t="str">
        <f ca="1">IF(AND('Mapa riesgos'!$M$13="Media",'Mapa riesgos'!$Q$13="Mayor"),CONCATENATE("R",'Mapa riesgos'!$A$13),"")</f>
        <v/>
      </c>
      <c r="AC22" s="558"/>
      <c r="AD22" s="558" t="str">
        <f ca="1">IF(AND('Mapa riesgos'!$M$19="Media",'Mapa riesgos'!$Q$19="Mayor"),CONCATENATE("R",'Mapa riesgos'!$A$19),"")</f>
        <v/>
      </c>
      <c r="AE22" s="558"/>
      <c r="AF22" s="558" t="str">
        <f ca="1">IF(AND('Mapa riesgos'!$M$25="Media",'Mapa riesgos'!$Q$25="Mayor"),CONCATENATE("R",'Mapa riesgos'!$A$25),"")</f>
        <v/>
      </c>
      <c r="AG22" s="559"/>
      <c r="AH22" s="548" t="str">
        <f ca="1">IF(AND('Mapa riesgos'!$M$13="Media",'Mapa riesgos'!$Q$13="Catastrófico"),CONCATENATE("R",'Mapa riesgos'!$A$13),"")</f>
        <v/>
      </c>
      <c r="AI22" s="549"/>
      <c r="AJ22" s="549" t="str">
        <f ca="1">IF(AND('Mapa riesgos'!$M$19="Media",'Mapa riesgos'!$Q$19="Catastrófico"),CONCATENATE("R",'Mapa riesgos'!$A$19),"")</f>
        <v/>
      </c>
      <c r="AK22" s="549"/>
      <c r="AL22" s="549" t="str">
        <f ca="1">IF(AND('Mapa riesgos'!$M$25="Media",'Mapa riesgos'!$Q$25="Catastrófico"),CONCATENATE("R",'Mapa riesgos'!$A$25),"")</f>
        <v/>
      </c>
      <c r="AM22" s="550"/>
      <c r="AN22" s="66"/>
      <c r="AO22" s="591" t="s">
        <v>203</v>
      </c>
      <c r="AP22" s="592"/>
      <c r="AQ22" s="592"/>
      <c r="AR22" s="592"/>
      <c r="AS22" s="592"/>
      <c r="AT22" s="59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571"/>
      <c r="C23" s="571"/>
      <c r="D23" s="572"/>
      <c r="E23" s="564"/>
      <c r="F23" s="565"/>
      <c r="G23" s="565"/>
      <c r="H23" s="565"/>
      <c r="I23" s="566"/>
      <c r="J23" s="533"/>
      <c r="K23" s="534"/>
      <c r="L23" s="534"/>
      <c r="M23" s="534"/>
      <c r="N23" s="534"/>
      <c r="O23" s="535"/>
      <c r="P23" s="533"/>
      <c r="Q23" s="534"/>
      <c r="R23" s="534"/>
      <c r="S23" s="534"/>
      <c r="T23" s="534"/>
      <c r="U23" s="535"/>
      <c r="V23" s="533"/>
      <c r="W23" s="534"/>
      <c r="X23" s="534"/>
      <c r="Y23" s="534"/>
      <c r="Z23" s="534"/>
      <c r="AA23" s="535"/>
      <c r="AB23" s="551"/>
      <c r="AC23" s="552"/>
      <c r="AD23" s="552"/>
      <c r="AE23" s="552"/>
      <c r="AF23" s="552"/>
      <c r="AG23" s="553"/>
      <c r="AH23" s="542"/>
      <c r="AI23" s="543"/>
      <c r="AJ23" s="543"/>
      <c r="AK23" s="543"/>
      <c r="AL23" s="543"/>
      <c r="AM23" s="544"/>
      <c r="AN23" s="66"/>
      <c r="AO23" s="594"/>
      <c r="AP23" s="595"/>
      <c r="AQ23" s="595"/>
      <c r="AR23" s="595"/>
      <c r="AS23" s="595"/>
      <c r="AT23" s="59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571"/>
      <c r="C24" s="571"/>
      <c r="D24" s="572"/>
      <c r="E24" s="564"/>
      <c r="F24" s="565"/>
      <c r="G24" s="565"/>
      <c r="H24" s="565"/>
      <c r="I24" s="566"/>
      <c r="J24" s="533" t="str">
        <f ca="1">IF(AND('Mapa riesgos'!$M$31="Media",'Mapa riesgos'!$Q$31="Leve"),CONCATENATE("R",'Mapa riesgos'!$A$31),"")</f>
        <v/>
      </c>
      <c r="K24" s="534"/>
      <c r="L24" s="534" t="str">
        <f ca="1">IF(AND('Mapa riesgos'!$M$37="Media",'Mapa riesgos'!$Q$37="Leve"),CONCATENATE("R",'Mapa riesgos'!$A$37),"")</f>
        <v/>
      </c>
      <c r="M24" s="534"/>
      <c r="N24" s="534" t="str">
        <f ca="1">IF(AND('Mapa riesgos'!$M$43="Media",'Mapa riesgos'!$Q$43="Leve"),CONCATENATE("R",'Mapa riesgos'!$A$43),"")</f>
        <v/>
      </c>
      <c r="O24" s="535"/>
      <c r="P24" s="533" t="str">
        <f ca="1">IF(AND('Mapa riesgos'!$M$31="Media",'Mapa riesgos'!$Q$31="Menor"),CONCATENATE("R",'Mapa riesgos'!$A$31),"")</f>
        <v/>
      </c>
      <c r="Q24" s="534"/>
      <c r="R24" s="534" t="str">
        <f ca="1">IF(AND('Mapa riesgos'!$M$37="Media",'Mapa riesgos'!$Q$37="Menor"),CONCATENATE("R",'Mapa riesgos'!$A$37),"")</f>
        <v/>
      </c>
      <c r="S24" s="534"/>
      <c r="T24" s="534" t="str">
        <f ca="1">IF(AND('Mapa riesgos'!$M$43="Media",'Mapa riesgos'!$Q$43="Menor"),CONCATENATE("R",'Mapa riesgos'!$A$43),"")</f>
        <v/>
      </c>
      <c r="U24" s="535"/>
      <c r="V24" s="533" t="str">
        <f ca="1">IF(AND('Mapa riesgos'!$M$31="Media",'Mapa riesgos'!$Q$31="Moderado"),CONCATENATE("R",'Mapa riesgos'!$A$31),"")</f>
        <v/>
      </c>
      <c r="W24" s="534"/>
      <c r="X24" s="534" t="str">
        <f ca="1">IF(AND('Mapa riesgos'!$M$37="Media",'Mapa riesgos'!$Q$37="Moderado"),CONCATENATE("R",'Mapa riesgos'!$A$37),"")</f>
        <v/>
      </c>
      <c r="Y24" s="534"/>
      <c r="Z24" s="534" t="str">
        <f ca="1">IF(AND('Mapa riesgos'!$M$43="Media",'Mapa riesgos'!$Q$43="Moderado"),CONCATENATE("R",'Mapa riesgos'!$A$43),"")</f>
        <v/>
      </c>
      <c r="AA24" s="535"/>
      <c r="AB24" s="551" t="str">
        <f ca="1">IF(AND('Mapa riesgos'!$M$31="Media",'Mapa riesgos'!$Q$31="Mayor"),CONCATENATE("R",'Mapa riesgos'!$A$31),"")</f>
        <v/>
      </c>
      <c r="AC24" s="552"/>
      <c r="AD24" s="552" t="str">
        <f ca="1">IF(AND('Mapa riesgos'!$M$37="Media",'Mapa riesgos'!$Q$37="Mayor"),CONCATENATE("R",'Mapa riesgos'!$A$37),"")</f>
        <v/>
      </c>
      <c r="AE24" s="552"/>
      <c r="AF24" s="552" t="str">
        <f ca="1">IF(AND('Mapa riesgos'!$M$43="Media",'Mapa riesgos'!$Q$43="Mayor"),CONCATENATE("R",'Mapa riesgos'!$A$43),"")</f>
        <v/>
      </c>
      <c r="AG24" s="553"/>
      <c r="AH24" s="542" t="str">
        <f ca="1">IF(AND('Mapa riesgos'!$M$31="Media",'Mapa riesgos'!$Q$31="Catastrófico"),CONCATENATE("R",'Mapa riesgos'!$A$31),"")</f>
        <v/>
      </c>
      <c r="AI24" s="543"/>
      <c r="AJ24" s="543" t="str">
        <f ca="1">IF(AND('Mapa riesgos'!$M$37="Media",'Mapa riesgos'!$Q$37="Catastrófico"),CONCATENATE("R",'Mapa riesgos'!$A$37),"")</f>
        <v/>
      </c>
      <c r="AK24" s="543"/>
      <c r="AL24" s="543" t="str">
        <f ca="1">IF(AND('Mapa riesgos'!$M$43="Media",'Mapa riesgos'!$Q$43="Catastrófico"),CONCATENATE("R",'Mapa riesgos'!$A$43),"")</f>
        <v/>
      </c>
      <c r="AM24" s="544"/>
      <c r="AN24" s="66"/>
      <c r="AO24" s="594"/>
      <c r="AP24" s="595"/>
      <c r="AQ24" s="595"/>
      <c r="AR24" s="595"/>
      <c r="AS24" s="595"/>
      <c r="AT24" s="59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571"/>
      <c r="C25" s="571"/>
      <c r="D25" s="572"/>
      <c r="E25" s="564"/>
      <c r="F25" s="565"/>
      <c r="G25" s="565"/>
      <c r="H25" s="565"/>
      <c r="I25" s="566"/>
      <c r="J25" s="533"/>
      <c r="K25" s="534"/>
      <c r="L25" s="534"/>
      <c r="M25" s="534"/>
      <c r="N25" s="534"/>
      <c r="O25" s="535"/>
      <c r="P25" s="533"/>
      <c r="Q25" s="534"/>
      <c r="R25" s="534"/>
      <c r="S25" s="534"/>
      <c r="T25" s="534"/>
      <c r="U25" s="535"/>
      <c r="V25" s="533"/>
      <c r="W25" s="534"/>
      <c r="X25" s="534"/>
      <c r="Y25" s="534"/>
      <c r="Z25" s="534"/>
      <c r="AA25" s="535"/>
      <c r="AB25" s="551"/>
      <c r="AC25" s="552"/>
      <c r="AD25" s="552"/>
      <c r="AE25" s="552"/>
      <c r="AF25" s="552"/>
      <c r="AG25" s="553"/>
      <c r="AH25" s="542"/>
      <c r="AI25" s="543"/>
      <c r="AJ25" s="543"/>
      <c r="AK25" s="543"/>
      <c r="AL25" s="543"/>
      <c r="AM25" s="544"/>
      <c r="AN25" s="66"/>
      <c r="AO25" s="594"/>
      <c r="AP25" s="595"/>
      <c r="AQ25" s="595"/>
      <c r="AR25" s="595"/>
      <c r="AS25" s="595"/>
      <c r="AT25" s="59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571"/>
      <c r="C26" s="571"/>
      <c r="D26" s="572"/>
      <c r="E26" s="564"/>
      <c r="F26" s="565"/>
      <c r="G26" s="565"/>
      <c r="H26" s="565"/>
      <c r="I26" s="566"/>
      <c r="J26" s="533" t="str">
        <f ca="1">IF(AND('Mapa riesgos'!$M$49="Media",'Mapa riesgos'!$Q$49="Leve"),CONCATENATE("R",'Mapa riesgos'!$A$49),"")</f>
        <v/>
      </c>
      <c r="K26" s="534"/>
      <c r="L26" s="534" t="str">
        <f ca="1">IF(AND('Mapa riesgos'!$M$55="Media",'Mapa riesgos'!$Q$55="Leve"),CONCATENATE("R",'Mapa riesgos'!$A$55),"")</f>
        <v/>
      </c>
      <c r="M26" s="534"/>
      <c r="N26" s="534" t="str">
        <f ca="1">IF(AND('Mapa riesgos'!$M$61="Media",'Mapa riesgos'!$Q$61="Leve"),CONCATENATE("R",'Mapa riesgos'!$A$61),"")</f>
        <v/>
      </c>
      <c r="O26" s="535"/>
      <c r="P26" s="533" t="str">
        <f ca="1">IF(AND('Mapa riesgos'!$M$49="Media",'Mapa riesgos'!$Q$49="Menor"),CONCATENATE("R",'Mapa riesgos'!$A$49),"")</f>
        <v/>
      </c>
      <c r="Q26" s="534"/>
      <c r="R26" s="534" t="str">
        <f ca="1">IF(AND('Mapa riesgos'!$M$55="Media",'Mapa riesgos'!$Q$55="Menor"),CONCATENATE("R",'Mapa riesgos'!$A$55),"")</f>
        <v/>
      </c>
      <c r="S26" s="534"/>
      <c r="T26" s="534" t="str">
        <f ca="1">IF(AND('Mapa riesgos'!$M$61="Media",'Mapa riesgos'!$Q$61="Menor"),CONCATENATE("R",'Mapa riesgos'!$A$61),"")</f>
        <v/>
      </c>
      <c r="U26" s="535"/>
      <c r="V26" s="533" t="str">
        <f ca="1">IF(AND('Mapa riesgos'!$M$49="Media",'Mapa riesgos'!$Q$49="Moderado"),CONCATENATE("R",'Mapa riesgos'!$A$49),"")</f>
        <v/>
      </c>
      <c r="W26" s="534"/>
      <c r="X26" s="534" t="str">
        <f ca="1">IF(AND('Mapa riesgos'!$M$55="Media",'Mapa riesgos'!$Q$55="Moderado"),CONCATENATE("R",'Mapa riesgos'!$A$55),"")</f>
        <v/>
      </c>
      <c r="Y26" s="534"/>
      <c r="Z26" s="534" t="str">
        <f ca="1">IF(AND('Mapa riesgos'!$M$61="Media",'Mapa riesgos'!$Q$61="Moderado"),CONCATENATE("R",'Mapa riesgos'!$A$61),"")</f>
        <v/>
      </c>
      <c r="AA26" s="535"/>
      <c r="AB26" s="551" t="str">
        <f ca="1">IF(AND('Mapa riesgos'!$M$49="Media",'Mapa riesgos'!$Q$49="Mayor"),CONCATENATE("R",'Mapa riesgos'!$A$49),"")</f>
        <v/>
      </c>
      <c r="AC26" s="552"/>
      <c r="AD26" s="552" t="str">
        <f ca="1">IF(AND('Mapa riesgos'!$M$55="Media",'Mapa riesgos'!$Q$55="Mayor"),CONCATENATE("R",'Mapa riesgos'!$A$55),"")</f>
        <v/>
      </c>
      <c r="AE26" s="552"/>
      <c r="AF26" s="552" t="str">
        <f ca="1">IF(AND('Mapa riesgos'!$M$61="Media",'Mapa riesgos'!$Q$61="Mayor"),CONCATENATE("R",'Mapa riesgos'!$A$61),"")</f>
        <v/>
      </c>
      <c r="AG26" s="553"/>
      <c r="AH26" s="542" t="str">
        <f ca="1">IF(AND('Mapa riesgos'!$M$49="Media",'Mapa riesgos'!$Q$49="Catastrófico"),CONCATENATE("R",'Mapa riesgos'!$A$49),"")</f>
        <v/>
      </c>
      <c r="AI26" s="543"/>
      <c r="AJ26" s="543" t="str">
        <f ca="1">IF(AND('Mapa riesgos'!$M$55="Media",'Mapa riesgos'!$Q$55="Catastrófico"),CONCATENATE("R",'Mapa riesgos'!$A$55),"")</f>
        <v/>
      </c>
      <c r="AK26" s="543"/>
      <c r="AL26" s="543" t="str">
        <f ca="1">IF(AND('Mapa riesgos'!$M$61="Media",'Mapa riesgos'!$Q$61="Catastrófico"),CONCATENATE("R",'Mapa riesgos'!$A$61),"")</f>
        <v/>
      </c>
      <c r="AM26" s="544"/>
      <c r="AN26" s="66"/>
      <c r="AO26" s="594"/>
      <c r="AP26" s="595"/>
      <c r="AQ26" s="595"/>
      <c r="AR26" s="595"/>
      <c r="AS26" s="595"/>
      <c r="AT26" s="59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571"/>
      <c r="C27" s="571"/>
      <c r="D27" s="572"/>
      <c r="E27" s="564"/>
      <c r="F27" s="565"/>
      <c r="G27" s="565"/>
      <c r="H27" s="565"/>
      <c r="I27" s="566"/>
      <c r="J27" s="533"/>
      <c r="K27" s="534"/>
      <c r="L27" s="534"/>
      <c r="M27" s="534"/>
      <c r="N27" s="534"/>
      <c r="O27" s="535"/>
      <c r="P27" s="533"/>
      <c r="Q27" s="534"/>
      <c r="R27" s="534"/>
      <c r="S27" s="534"/>
      <c r="T27" s="534"/>
      <c r="U27" s="535"/>
      <c r="V27" s="533"/>
      <c r="W27" s="534"/>
      <c r="X27" s="534"/>
      <c r="Y27" s="534"/>
      <c r="Z27" s="534"/>
      <c r="AA27" s="535"/>
      <c r="AB27" s="551"/>
      <c r="AC27" s="552"/>
      <c r="AD27" s="552"/>
      <c r="AE27" s="552"/>
      <c r="AF27" s="552"/>
      <c r="AG27" s="553"/>
      <c r="AH27" s="542"/>
      <c r="AI27" s="543"/>
      <c r="AJ27" s="543"/>
      <c r="AK27" s="543"/>
      <c r="AL27" s="543"/>
      <c r="AM27" s="544"/>
      <c r="AN27" s="66"/>
      <c r="AO27" s="594"/>
      <c r="AP27" s="595"/>
      <c r="AQ27" s="595"/>
      <c r="AR27" s="595"/>
      <c r="AS27" s="595"/>
      <c r="AT27" s="59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571"/>
      <c r="C28" s="571"/>
      <c r="D28" s="572"/>
      <c r="E28" s="564"/>
      <c r="F28" s="565"/>
      <c r="G28" s="565"/>
      <c r="H28" s="565"/>
      <c r="I28" s="566"/>
      <c r="J28" s="533" t="str">
        <f>IF(AND('Mapa riesgos'!$M$67="Media",'Mapa riesgos'!$Q$67="Leve"),CONCATENATE("R",'Mapa riesgos'!$A$67),"")</f>
        <v/>
      </c>
      <c r="K28" s="534"/>
      <c r="L28" s="534" t="str">
        <f>IF(AND('Mapa riesgos'!$M$73="Media",'Mapa riesgos'!$Q$73="Leve"),CONCATENATE("R",'Mapa riesgos'!$A$73),"")</f>
        <v/>
      </c>
      <c r="M28" s="534"/>
      <c r="N28" s="534" t="str">
        <f>IF(AND('Mapa riesgos'!$M$79="Media",'Mapa riesgos'!$Q$79="Leve"),CONCATENATE("R",'Mapa riesgos'!$A$79),"")</f>
        <v/>
      </c>
      <c r="O28" s="535"/>
      <c r="P28" s="533" t="str">
        <f>IF(AND('Mapa riesgos'!$M$67="Media",'Mapa riesgos'!$Q$67="Menor"),CONCATENATE("R",'Mapa riesgos'!$A$67),"")</f>
        <v/>
      </c>
      <c r="Q28" s="534"/>
      <c r="R28" s="534" t="str">
        <f>IF(AND('Mapa riesgos'!$M$73="Media",'Mapa riesgos'!$Q$73="Menor"),CONCATENATE("R",'Mapa riesgos'!$A$73),"")</f>
        <v/>
      </c>
      <c r="S28" s="534"/>
      <c r="T28" s="534" t="str">
        <f>IF(AND('Mapa riesgos'!$M$79="Media",'Mapa riesgos'!$Q$79="Menor"),CONCATENATE("R",'Mapa riesgos'!$A$79),"")</f>
        <v/>
      </c>
      <c r="U28" s="535"/>
      <c r="V28" s="533" t="str">
        <f>IF(AND('Mapa riesgos'!$M$67="Media",'Mapa riesgos'!$Q$67="Moderado"),CONCATENATE("R",'Mapa riesgos'!$A$67),"")</f>
        <v/>
      </c>
      <c r="W28" s="534"/>
      <c r="X28" s="534" t="str">
        <f>IF(AND('Mapa riesgos'!$M$73="Media",'Mapa riesgos'!$Q$73="Moderado"),CONCATENATE("R",'Mapa riesgos'!$A$73),"")</f>
        <v/>
      </c>
      <c r="Y28" s="534"/>
      <c r="Z28" s="534" t="str">
        <f>IF(AND('Mapa riesgos'!$M$79="Media",'Mapa riesgos'!$Q$79="Moderado"),CONCATENATE("R",'Mapa riesgos'!$A$79),"")</f>
        <v/>
      </c>
      <c r="AA28" s="535"/>
      <c r="AB28" s="551" t="str">
        <f>IF(AND('Mapa riesgos'!$M$67="Media",'Mapa riesgos'!$Q$67="Mayor"),CONCATENATE("R",'Mapa riesgos'!$A$67),"")</f>
        <v/>
      </c>
      <c r="AC28" s="552"/>
      <c r="AD28" s="552" t="str">
        <f>IF(AND('Mapa riesgos'!$M$73="Media",'Mapa riesgos'!$Q$73="Mayor"),CONCATENATE("R",'Mapa riesgos'!$A$73),"")</f>
        <v/>
      </c>
      <c r="AE28" s="552"/>
      <c r="AF28" s="552" t="str">
        <f>IF(AND('Mapa riesgos'!$M$79="Media",'Mapa riesgos'!$Q$79="Mayor"),CONCATENATE("R",'Mapa riesgos'!$A$79),"")</f>
        <v/>
      </c>
      <c r="AG28" s="553"/>
      <c r="AH28" s="542" t="str">
        <f>IF(AND('Mapa riesgos'!$M$67="Media",'Mapa riesgos'!$Q$67="Catastrófico"),CONCATENATE("R",'Mapa riesgos'!$A$67),"")</f>
        <v/>
      </c>
      <c r="AI28" s="543"/>
      <c r="AJ28" s="543" t="str">
        <f>IF(AND('Mapa riesgos'!$M$73="Media",'Mapa riesgos'!$Q$73="Catastrófico"),CONCATENATE("R",'Mapa riesgos'!$A$73),"")</f>
        <v/>
      </c>
      <c r="AK28" s="543"/>
      <c r="AL28" s="543" t="str">
        <f>IF(AND('Mapa riesgos'!$M$79="Media",'Mapa riesgos'!$Q$79="Catastrófico"),CONCATENATE("R",'Mapa riesgos'!$A$79),"")</f>
        <v/>
      </c>
      <c r="AM28" s="544"/>
      <c r="AN28" s="66"/>
      <c r="AO28" s="594"/>
      <c r="AP28" s="595"/>
      <c r="AQ28" s="595"/>
      <c r="AR28" s="595"/>
      <c r="AS28" s="595"/>
      <c r="AT28" s="59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571"/>
      <c r="C29" s="571"/>
      <c r="D29" s="572"/>
      <c r="E29" s="567"/>
      <c r="F29" s="568"/>
      <c r="G29" s="568"/>
      <c r="H29" s="568"/>
      <c r="I29" s="569"/>
      <c r="J29" s="533"/>
      <c r="K29" s="534"/>
      <c r="L29" s="534"/>
      <c r="M29" s="534"/>
      <c r="N29" s="534"/>
      <c r="O29" s="535"/>
      <c r="P29" s="536"/>
      <c r="Q29" s="537"/>
      <c r="R29" s="537"/>
      <c r="S29" s="537"/>
      <c r="T29" s="537"/>
      <c r="U29" s="538"/>
      <c r="V29" s="536"/>
      <c r="W29" s="537"/>
      <c r="X29" s="537"/>
      <c r="Y29" s="537"/>
      <c r="Z29" s="537"/>
      <c r="AA29" s="538"/>
      <c r="AB29" s="554"/>
      <c r="AC29" s="555"/>
      <c r="AD29" s="555"/>
      <c r="AE29" s="555"/>
      <c r="AF29" s="555"/>
      <c r="AG29" s="556"/>
      <c r="AH29" s="545"/>
      <c r="AI29" s="546"/>
      <c r="AJ29" s="546"/>
      <c r="AK29" s="546"/>
      <c r="AL29" s="546"/>
      <c r="AM29" s="547"/>
      <c r="AN29" s="66"/>
      <c r="AO29" s="597"/>
      <c r="AP29" s="598"/>
      <c r="AQ29" s="598"/>
      <c r="AR29" s="598"/>
      <c r="AS29" s="598"/>
      <c r="AT29" s="59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571"/>
      <c r="C30" s="571"/>
      <c r="D30" s="572"/>
      <c r="E30" s="561" t="s">
        <v>204</v>
      </c>
      <c r="F30" s="562"/>
      <c r="G30" s="562"/>
      <c r="H30" s="562"/>
      <c r="I30" s="562"/>
      <c r="J30" s="530" t="str">
        <f ca="1">IF(AND('Mapa riesgos'!$M$13="Baja",'Mapa riesgos'!$Q$13="Leve"),CONCATENATE("R",'Mapa riesgos'!$A$13),"")</f>
        <v/>
      </c>
      <c r="K30" s="531"/>
      <c r="L30" s="531" t="str">
        <f ca="1">IF(AND('Mapa riesgos'!$M$19="Baja",'Mapa riesgos'!$Q$19="Leve"),CONCATENATE("R",'Mapa riesgos'!$A$19),"")</f>
        <v/>
      </c>
      <c r="M30" s="531"/>
      <c r="N30" s="531" t="str">
        <f ca="1">IF(AND('Mapa riesgos'!$M$25="Baja",'Mapa riesgos'!$Q$25="Leve"),CONCATENATE("R",'Mapa riesgos'!$A$25),"")</f>
        <v/>
      </c>
      <c r="O30" s="532"/>
      <c r="P30" s="540" t="str">
        <f ca="1">IF(AND('Mapa riesgos'!$M$13="Baja",'Mapa riesgos'!$Q$13="Menor"),CONCATENATE("R",'Mapa riesgos'!$A$13),"")</f>
        <v/>
      </c>
      <c r="Q30" s="540"/>
      <c r="R30" s="540" t="str">
        <f ca="1">IF(AND('Mapa riesgos'!$M$19="Baja",'Mapa riesgos'!$Q$19="Menor"),CONCATENATE("R",'Mapa riesgos'!$A$19),"")</f>
        <v/>
      </c>
      <c r="S30" s="540"/>
      <c r="T30" s="540" t="str">
        <f ca="1">IF(AND('Mapa riesgos'!$M$25="Baja",'Mapa riesgos'!$Q$25="Menor"),CONCATENATE("R",'Mapa riesgos'!$A$25),"")</f>
        <v/>
      </c>
      <c r="U30" s="541"/>
      <c r="V30" s="539" t="str">
        <f ca="1">IF(AND('Mapa riesgos'!$M$13="Baja",'Mapa riesgos'!$Q$13="Moderado"),CONCATENATE("R",'Mapa riesgos'!$A$13),"")</f>
        <v/>
      </c>
      <c r="W30" s="540"/>
      <c r="X30" s="540" t="str">
        <f ca="1">IF(AND('Mapa riesgos'!$M$19="Baja",'Mapa riesgos'!$Q$19="Moderado"),CONCATENATE("R",'Mapa riesgos'!$A$19),"")</f>
        <v/>
      </c>
      <c r="Y30" s="540"/>
      <c r="Z30" s="540" t="str">
        <f ca="1">IF(AND('Mapa riesgos'!$M$25="Baja",'Mapa riesgos'!$Q$25="Moderado"),CONCATENATE("R",'Mapa riesgos'!$A$25),"")</f>
        <v/>
      </c>
      <c r="AA30" s="541"/>
      <c r="AB30" s="557" t="str">
        <f ca="1">IF(AND('Mapa riesgos'!$M$13="Baja",'Mapa riesgos'!$Q$13="Mayor"),CONCATENATE("R",'Mapa riesgos'!$A$13),"")</f>
        <v/>
      </c>
      <c r="AC30" s="558"/>
      <c r="AD30" s="558" t="str">
        <f ca="1">IF(AND('Mapa riesgos'!$M$19="Baja",'Mapa riesgos'!$Q$19="Mayor"),CONCATENATE("R",'Mapa riesgos'!$A$19),"")</f>
        <v/>
      </c>
      <c r="AE30" s="558"/>
      <c r="AF30" s="558" t="str">
        <f ca="1">IF(AND('Mapa riesgos'!$M$25="Baja",'Mapa riesgos'!$Q$25="Mayor"),CONCATENATE("R",'Mapa riesgos'!$A$25),"")</f>
        <v/>
      </c>
      <c r="AG30" s="559"/>
      <c r="AH30" s="548" t="str">
        <f ca="1">IF(AND('Mapa riesgos'!$M$13="Baja",'Mapa riesgos'!$Q$13="Catastrófico"),CONCATENATE("R",'Mapa riesgos'!$A$13),"")</f>
        <v/>
      </c>
      <c r="AI30" s="549"/>
      <c r="AJ30" s="549" t="str">
        <f ca="1">IF(AND('Mapa riesgos'!$M$19="Baja",'Mapa riesgos'!$Q$19="Catastrófico"),CONCATENATE("R",'Mapa riesgos'!$A$19),"")</f>
        <v/>
      </c>
      <c r="AK30" s="549"/>
      <c r="AL30" s="549" t="str">
        <f ca="1">IF(AND('Mapa riesgos'!$M$25="Baja",'Mapa riesgos'!$Q$25="Catastrófico"),CONCATENATE("R",'Mapa riesgos'!$A$25),"")</f>
        <v/>
      </c>
      <c r="AM30" s="550"/>
      <c r="AN30" s="66"/>
      <c r="AO30" s="600" t="s">
        <v>205</v>
      </c>
      <c r="AP30" s="601"/>
      <c r="AQ30" s="601"/>
      <c r="AR30" s="601"/>
      <c r="AS30" s="601"/>
      <c r="AT30" s="602"/>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571"/>
      <c r="C31" s="571"/>
      <c r="D31" s="572"/>
      <c r="E31" s="564"/>
      <c r="F31" s="565"/>
      <c r="G31" s="565"/>
      <c r="H31" s="565"/>
      <c r="I31" s="565"/>
      <c r="J31" s="524"/>
      <c r="K31" s="525"/>
      <c r="L31" s="525"/>
      <c r="M31" s="525"/>
      <c r="N31" s="525"/>
      <c r="O31" s="526"/>
      <c r="P31" s="534"/>
      <c r="Q31" s="534"/>
      <c r="R31" s="534"/>
      <c r="S31" s="534"/>
      <c r="T31" s="534"/>
      <c r="U31" s="535"/>
      <c r="V31" s="533"/>
      <c r="W31" s="534"/>
      <c r="X31" s="534"/>
      <c r="Y31" s="534"/>
      <c r="Z31" s="534"/>
      <c r="AA31" s="535"/>
      <c r="AB31" s="551"/>
      <c r="AC31" s="552"/>
      <c r="AD31" s="552"/>
      <c r="AE31" s="552"/>
      <c r="AF31" s="552"/>
      <c r="AG31" s="553"/>
      <c r="AH31" s="542"/>
      <c r="AI31" s="543"/>
      <c r="AJ31" s="543"/>
      <c r="AK31" s="543"/>
      <c r="AL31" s="543"/>
      <c r="AM31" s="544"/>
      <c r="AN31" s="66"/>
      <c r="AO31" s="603"/>
      <c r="AP31" s="604"/>
      <c r="AQ31" s="604"/>
      <c r="AR31" s="604"/>
      <c r="AS31" s="604"/>
      <c r="AT31" s="605"/>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571"/>
      <c r="C32" s="571"/>
      <c r="D32" s="572"/>
      <c r="E32" s="564"/>
      <c r="F32" s="565"/>
      <c r="G32" s="565"/>
      <c r="H32" s="565"/>
      <c r="I32" s="565"/>
      <c r="J32" s="524" t="str">
        <f ca="1">IF(AND('Mapa riesgos'!$M$31="Baja",'Mapa riesgos'!$Q$31="Leve"),CONCATENATE("R",'Mapa riesgos'!$A$31),"")</f>
        <v/>
      </c>
      <c r="K32" s="525"/>
      <c r="L32" s="525" t="str">
        <f ca="1">IF(AND('Mapa riesgos'!$M$37="Baja",'Mapa riesgos'!$Q$37="Leve"),CONCATENATE("R",'Mapa riesgos'!$A$37),"")</f>
        <v/>
      </c>
      <c r="M32" s="525"/>
      <c r="N32" s="525" t="str">
        <f ca="1">IF(AND('Mapa riesgos'!$M$43="Baja",'Mapa riesgos'!$Q$43="Leve"),CONCATENATE("R",'Mapa riesgos'!$A$43),"")</f>
        <v/>
      </c>
      <c r="O32" s="526"/>
      <c r="P32" s="534" t="str">
        <f ca="1">IF(AND('Mapa riesgos'!$M$31="Baja",'Mapa riesgos'!$Q$31="Menor"),CONCATENATE("R",'Mapa riesgos'!$A$31),"")</f>
        <v/>
      </c>
      <c r="Q32" s="534"/>
      <c r="R32" s="534" t="str">
        <f ca="1">IF(AND('Mapa riesgos'!$M$37="Baja",'Mapa riesgos'!$Q$37="Menor"),CONCATENATE("R",'Mapa riesgos'!$A$37),"")</f>
        <v/>
      </c>
      <c r="S32" s="534"/>
      <c r="T32" s="534" t="str">
        <f ca="1">IF(AND('Mapa riesgos'!$M$43="Baja",'Mapa riesgos'!$Q$43="Menor"),CONCATENATE("R",'Mapa riesgos'!$A$43),"")</f>
        <v/>
      </c>
      <c r="U32" s="535"/>
      <c r="V32" s="533" t="str">
        <f ca="1">IF(AND('Mapa riesgos'!$M$31="Baja",'Mapa riesgos'!$Q$31="Moderado"),CONCATENATE("R",'Mapa riesgos'!$A$31),"")</f>
        <v/>
      </c>
      <c r="W32" s="534"/>
      <c r="X32" s="534" t="str">
        <f ca="1">IF(AND('Mapa riesgos'!$M$37="Baja",'Mapa riesgos'!$Q$37="Moderado"),CONCATENATE("R",'Mapa riesgos'!$A$37),"")</f>
        <v/>
      </c>
      <c r="Y32" s="534"/>
      <c r="Z32" s="534" t="str">
        <f ca="1">IF(AND('Mapa riesgos'!$M$43="Baja",'Mapa riesgos'!$Q$43="Moderado"),CONCATENATE("R",'Mapa riesgos'!$A$43),"")</f>
        <v/>
      </c>
      <c r="AA32" s="535"/>
      <c r="AB32" s="551" t="str">
        <f ca="1">IF(AND('Mapa riesgos'!$M$31="Baja",'Mapa riesgos'!$Q$31="Mayor"),CONCATENATE("R",'Mapa riesgos'!$A$31),"")</f>
        <v/>
      </c>
      <c r="AC32" s="552"/>
      <c r="AD32" s="552" t="str">
        <f ca="1">IF(AND('Mapa riesgos'!$M$37="Baja",'Mapa riesgos'!$Q$37="Mayor"),CONCATENATE("R",'Mapa riesgos'!$A$37),"")</f>
        <v/>
      </c>
      <c r="AE32" s="552"/>
      <c r="AF32" s="552" t="str">
        <f ca="1">IF(AND('Mapa riesgos'!$M$43="Baja",'Mapa riesgos'!$Q$43="Mayor"),CONCATENATE("R",'Mapa riesgos'!$A$43),"")</f>
        <v/>
      </c>
      <c r="AG32" s="553"/>
      <c r="AH32" s="542" t="str">
        <f ca="1">IF(AND('Mapa riesgos'!$M$31="Baja",'Mapa riesgos'!$Q$31="Catastrófico"),CONCATENATE("R",'Mapa riesgos'!$A$31),"")</f>
        <v/>
      </c>
      <c r="AI32" s="543"/>
      <c r="AJ32" s="543" t="str">
        <f ca="1">IF(AND('Mapa riesgos'!$M$37="Baja",'Mapa riesgos'!$Q$37="Catastrófico"),CONCATENATE("R",'Mapa riesgos'!$A$37),"")</f>
        <v/>
      </c>
      <c r="AK32" s="543"/>
      <c r="AL32" s="543" t="str">
        <f ca="1">IF(AND('Mapa riesgos'!$M$43="Baja",'Mapa riesgos'!$Q$43="Catastrófico"),CONCATENATE("R",'Mapa riesgos'!$A$43),"")</f>
        <v/>
      </c>
      <c r="AM32" s="544"/>
      <c r="AN32" s="66"/>
      <c r="AO32" s="603"/>
      <c r="AP32" s="604"/>
      <c r="AQ32" s="604"/>
      <c r="AR32" s="604"/>
      <c r="AS32" s="604"/>
      <c r="AT32" s="605"/>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571"/>
      <c r="C33" s="571"/>
      <c r="D33" s="572"/>
      <c r="E33" s="564"/>
      <c r="F33" s="565"/>
      <c r="G33" s="565"/>
      <c r="H33" s="565"/>
      <c r="I33" s="565"/>
      <c r="J33" s="524"/>
      <c r="K33" s="525"/>
      <c r="L33" s="525"/>
      <c r="M33" s="525"/>
      <c r="N33" s="525"/>
      <c r="O33" s="526"/>
      <c r="P33" s="534"/>
      <c r="Q33" s="534"/>
      <c r="R33" s="534"/>
      <c r="S33" s="534"/>
      <c r="T33" s="534"/>
      <c r="U33" s="535"/>
      <c r="V33" s="533"/>
      <c r="W33" s="534"/>
      <c r="X33" s="534"/>
      <c r="Y33" s="534"/>
      <c r="Z33" s="534"/>
      <c r="AA33" s="535"/>
      <c r="AB33" s="551"/>
      <c r="AC33" s="552"/>
      <c r="AD33" s="552"/>
      <c r="AE33" s="552"/>
      <c r="AF33" s="552"/>
      <c r="AG33" s="553"/>
      <c r="AH33" s="542"/>
      <c r="AI33" s="543"/>
      <c r="AJ33" s="543"/>
      <c r="AK33" s="543"/>
      <c r="AL33" s="543"/>
      <c r="AM33" s="544"/>
      <c r="AN33" s="66"/>
      <c r="AO33" s="603"/>
      <c r="AP33" s="604"/>
      <c r="AQ33" s="604"/>
      <c r="AR33" s="604"/>
      <c r="AS33" s="604"/>
      <c r="AT33" s="605"/>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571"/>
      <c r="C34" s="571"/>
      <c r="D34" s="572"/>
      <c r="E34" s="564"/>
      <c r="F34" s="565"/>
      <c r="G34" s="565"/>
      <c r="H34" s="565"/>
      <c r="I34" s="565"/>
      <c r="J34" s="524" t="str">
        <f ca="1">IF(AND('Mapa riesgos'!$M$49="Baja",'Mapa riesgos'!$Q$49="Leve"),CONCATENATE("R",'Mapa riesgos'!$A$49),"")</f>
        <v/>
      </c>
      <c r="K34" s="525"/>
      <c r="L34" s="525" t="str">
        <f ca="1">IF(AND('Mapa riesgos'!$M$55="Baja",'Mapa riesgos'!$Q$55="Leve"),CONCATENATE("R",'Mapa riesgos'!$A$55),"")</f>
        <v/>
      </c>
      <c r="M34" s="525"/>
      <c r="N34" s="525" t="str">
        <f ca="1">IF(AND('Mapa riesgos'!$M$61="Baja",'Mapa riesgos'!$Q$61="Leve"),CONCATENATE("R",'Mapa riesgos'!$A$61),"")</f>
        <v/>
      </c>
      <c r="O34" s="526"/>
      <c r="P34" s="534" t="str">
        <f ca="1">IF(AND('Mapa riesgos'!$M$49="Baja",'Mapa riesgos'!$Q$49="Menor"),CONCATENATE("R",'Mapa riesgos'!$A$49),"")</f>
        <v/>
      </c>
      <c r="Q34" s="534"/>
      <c r="R34" s="534" t="str">
        <f ca="1">IF(AND('Mapa riesgos'!$M$55="Baja",'Mapa riesgos'!$Q$55="Menor"),CONCATENATE("R",'Mapa riesgos'!$A$55),"")</f>
        <v/>
      </c>
      <c r="S34" s="534"/>
      <c r="T34" s="534" t="str">
        <f ca="1">IF(AND('Mapa riesgos'!$M$61="Baja",'Mapa riesgos'!$Q$61="Menor"),CONCATENATE("R",'Mapa riesgos'!$A$61),"")</f>
        <v/>
      </c>
      <c r="U34" s="535"/>
      <c r="V34" s="533" t="str">
        <f ca="1">IF(AND('Mapa riesgos'!$M$49="Baja",'Mapa riesgos'!$Q$49="Moderado"),CONCATENATE("R",'Mapa riesgos'!$A$49),"")</f>
        <v/>
      </c>
      <c r="W34" s="534"/>
      <c r="X34" s="534" t="str">
        <f ca="1">IF(AND('Mapa riesgos'!$M$55="Baja",'Mapa riesgos'!$Q$55="Moderado"),CONCATENATE("R",'Mapa riesgos'!$A$55),"")</f>
        <v/>
      </c>
      <c r="Y34" s="534"/>
      <c r="Z34" s="534" t="str">
        <f ca="1">IF(AND('Mapa riesgos'!$M$61="Baja",'Mapa riesgos'!$Q$61="Moderado"),CONCATENATE("R",'Mapa riesgos'!$A$61),"")</f>
        <v/>
      </c>
      <c r="AA34" s="535"/>
      <c r="AB34" s="551" t="str">
        <f ca="1">IF(AND('Mapa riesgos'!$M$49="Baja",'Mapa riesgos'!$Q$49="Mayor"),CONCATENATE("R",'Mapa riesgos'!$A$49),"")</f>
        <v/>
      </c>
      <c r="AC34" s="552"/>
      <c r="AD34" s="552" t="str">
        <f ca="1">IF(AND('Mapa riesgos'!$M$55="Baja",'Mapa riesgos'!$Q$55="Mayor"),CONCATENATE("R",'Mapa riesgos'!$A$55),"")</f>
        <v/>
      </c>
      <c r="AE34" s="552"/>
      <c r="AF34" s="552" t="str">
        <f ca="1">IF(AND('Mapa riesgos'!$M$61="Baja",'Mapa riesgos'!$Q$61="Mayor"),CONCATENATE("R",'Mapa riesgos'!$A$61),"")</f>
        <v/>
      </c>
      <c r="AG34" s="553"/>
      <c r="AH34" s="542" t="str">
        <f ca="1">IF(AND('Mapa riesgos'!$M$49="Baja",'Mapa riesgos'!$Q$49="Catastrófico"),CONCATENATE("R",'Mapa riesgos'!$A$49),"")</f>
        <v/>
      </c>
      <c r="AI34" s="543"/>
      <c r="AJ34" s="543" t="str">
        <f ca="1">IF(AND('Mapa riesgos'!$M$55="Baja",'Mapa riesgos'!$Q$55="Catastrófico"),CONCATENATE("R",'Mapa riesgos'!$A$55),"")</f>
        <v/>
      </c>
      <c r="AK34" s="543"/>
      <c r="AL34" s="543" t="str">
        <f ca="1">IF(AND('Mapa riesgos'!$M$61="Baja",'Mapa riesgos'!$Q$61="Catastrófico"),CONCATENATE("R",'Mapa riesgos'!$A$61),"")</f>
        <v/>
      </c>
      <c r="AM34" s="544"/>
      <c r="AN34" s="66"/>
      <c r="AO34" s="603"/>
      <c r="AP34" s="604"/>
      <c r="AQ34" s="604"/>
      <c r="AR34" s="604"/>
      <c r="AS34" s="604"/>
      <c r="AT34" s="605"/>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571"/>
      <c r="C35" s="571"/>
      <c r="D35" s="572"/>
      <c r="E35" s="564"/>
      <c r="F35" s="565"/>
      <c r="G35" s="565"/>
      <c r="H35" s="565"/>
      <c r="I35" s="565"/>
      <c r="J35" s="524"/>
      <c r="K35" s="525"/>
      <c r="L35" s="525"/>
      <c r="M35" s="525"/>
      <c r="N35" s="525"/>
      <c r="O35" s="526"/>
      <c r="P35" s="534"/>
      <c r="Q35" s="534"/>
      <c r="R35" s="534"/>
      <c r="S35" s="534"/>
      <c r="T35" s="534"/>
      <c r="U35" s="535"/>
      <c r="V35" s="533"/>
      <c r="W35" s="534"/>
      <c r="X35" s="534"/>
      <c r="Y35" s="534"/>
      <c r="Z35" s="534"/>
      <c r="AA35" s="535"/>
      <c r="AB35" s="551"/>
      <c r="AC35" s="552"/>
      <c r="AD35" s="552"/>
      <c r="AE35" s="552"/>
      <c r="AF35" s="552"/>
      <c r="AG35" s="553"/>
      <c r="AH35" s="542"/>
      <c r="AI35" s="543"/>
      <c r="AJ35" s="543"/>
      <c r="AK35" s="543"/>
      <c r="AL35" s="543"/>
      <c r="AM35" s="544"/>
      <c r="AN35" s="66"/>
      <c r="AO35" s="603"/>
      <c r="AP35" s="604"/>
      <c r="AQ35" s="604"/>
      <c r="AR35" s="604"/>
      <c r="AS35" s="604"/>
      <c r="AT35" s="605"/>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571"/>
      <c r="C36" s="571"/>
      <c r="D36" s="572"/>
      <c r="E36" s="564"/>
      <c r="F36" s="565"/>
      <c r="G36" s="565"/>
      <c r="H36" s="565"/>
      <c r="I36" s="565"/>
      <c r="J36" s="524" t="str">
        <f>IF(AND('Mapa riesgos'!$M$67="Baja",'Mapa riesgos'!$Q$67="Leve"),CONCATENATE("R",'Mapa riesgos'!$A$67),"")</f>
        <v/>
      </c>
      <c r="K36" s="525"/>
      <c r="L36" s="525" t="str">
        <f>IF(AND('Mapa riesgos'!$M$73="Baja",'Mapa riesgos'!$Q$73="Leve"),CONCATENATE("R",'Mapa riesgos'!$A$73),"")</f>
        <v/>
      </c>
      <c r="M36" s="525"/>
      <c r="N36" s="525" t="str">
        <f>IF(AND('Mapa riesgos'!$M$79="Baja",'Mapa riesgos'!$Q$79="Leve"),CONCATENATE("R",'Mapa riesgos'!$A$79),"")</f>
        <v/>
      </c>
      <c r="O36" s="526"/>
      <c r="P36" s="534" t="str">
        <f>IF(AND('Mapa riesgos'!$M$67="Baja",'Mapa riesgos'!$Q$67="Menor"),CONCATENATE("R",'Mapa riesgos'!$A$67),"")</f>
        <v/>
      </c>
      <c r="Q36" s="534"/>
      <c r="R36" s="534" t="str">
        <f>IF(AND('Mapa riesgos'!$M$73="Baja",'Mapa riesgos'!$Q$73="Menor"),CONCATENATE("R",'Mapa riesgos'!$A$73),"")</f>
        <v/>
      </c>
      <c r="S36" s="534"/>
      <c r="T36" s="534" t="str">
        <f>IF(AND('Mapa riesgos'!$M$79="Baja",'Mapa riesgos'!$Q$79="Menor"),CONCATENATE("R",'Mapa riesgos'!$A$79),"")</f>
        <v/>
      </c>
      <c r="U36" s="535"/>
      <c r="V36" s="533" t="str">
        <f>IF(AND('Mapa riesgos'!$M$67="Baja",'Mapa riesgos'!$Q$67="Moderado"),CONCATENATE("R",'Mapa riesgos'!$A$67),"")</f>
        <v/>
      </c>
      <c r="W36" s="534"/>
      <c r="X36" s="534" t="str">
        <f>IF(AND('Mapa riesgos'!$M$73="Baja",'Mapa riesgos'!$Q$73="Moderado"),CONCATENATE("R",'Mapa riesgos'!$A$73),"")</f>
        <v/>
      </c>
      <c r="Y36" s="534"/>
      <c r="Z36" s="534" t="str">
        <f>IF(AND('Mapa riesgos'!$M$79="Baja",'Mapa riesgos'!$Q$79="Moderado"),CONCATENATE("R",'Mapa riesgos'!$A$79),"")</f>
        <v/>
      </c>
      <c r="AA36" s="535"/>
      <c r="AB36" s="551" t="str">
        <f>IF(AND('Mapa riesgos'!$M$67="Baja",'Mapa riesgos'!$Q$67="Mayor"),CONCATENATE("R",'Mapa riesgos'!$A$67),"")</f>
        <v/>
      </c>
      <c r="AC36" s="552"/>
      <c r="AD36" s="552" t="str">
        <f>IF(AND('Mapa riesgos'!$M$73="Baja",'Mapa riesgos'!$Q$73="Mayor"),CONCATENATE("R",'Mapa riesgos'!$A$73),"")</f>
        <v/>
      </c>
      <c r="AE36" s="552"/>
      <c r="AF36" s="552" t="str">
        <f>IF(AND('Mapa riesgos'!$M$79="Baja",'Mapa riesgos'!$Q$79="Mayor"),CONCATENATE("R",'Mapa riesgos'!$A$79),"")</f>
        <v/>
      </c>
      <c r="AG36" s="553"/>
      <c r="AH36" s="542" t="str">
        <f>IF(AND('Mapa riesgos'!$M$67="Baja",'Mapa riesgos'!$Q$67="Catastrófico"),CONCATENATE("R",'Mapa riesgos'!$A$67),"")</f>
        <v/>
      </c>
      <c r="AI36" s="543"/>
      <c r="AJ36" s="543" t="str">
        <f>IF(AND('Mapa riesgos'!$M$73="Baja",'Mapa riesgos'!$Q$73="Catastrófico"),CONCATENATE("R",'Mapa riesgos'!$A$73),"")</f>
        <v/>
      </c>
      <c r="AK36" s="543"/>
      <c r="AL36" s="543" t="str">
        <f>IF(AND('Mapa riesgos'!$M$79="Baja",'Mapa riesgos'!$Q$79="Catastrófico"),CONCATENATE("R",'Mapa riesgos'!$A$79),"")</f>
        <v/>
      </c>
      <c r="AM36" s="544"/>
      <c r="AN36" s="66"/>
      <c r="AO36" s="603"/>
      <c r="AP36" s="604"/>
      <c r="AQ36" s="604"/>
      <c r="AR36" s="604"/>
      <c r="AS36" s="604"/>
      <c r="AT36" s="60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571"/>
      <c r="C37" s="571"/>
      <c r="D37" s="572"/>
      <c r="E37" s="567"/>
      <c r="F37" s="568"/>
      <c r="G37" s="568"/>
      <c r="H37" s="568"/>
      <c r="I37" s="568"/>
      <c r="J37" s="527"/>
      <c r="K37" s="528"/>
      <c r="L37" s="528"/>
      <c r="M37" s="528"/>
      <c r="N37" s="528"/>
      <c r="O37" s="529"/>
      <c r="P37" s="537"/>
      <c r="Q37" s="537"/>
      <c r="R37" s="537"/>
      <c r="S37" s="537"/>
      <c r="T37" s="537"/>
      <c r="U37" s="538"/>
      <c r="V37" s="536"/>
      <c r="W37" s="537"/>
      <c r="X37" s="537"/>
      <c r="Y37" s="537"/>
      <c r="Z37" s="537"/>
      <c r="AA37" s="538"/>
      <c r="AB37" s="554"/>
      <c r="AC37" s="555"/>
      <c r="AD37" s="555"/>
      <c r="AE37" s="555"/>
      <c r="AF37" s="555"/>
      <c r="AG37" s="556"/>
      <c r="AH37" s="545"/>
      <c r="AI37" s="546"/>
      <c r="AJ37" s="546"/>
      <c r="AK37" s="546"/>
      <c r="AL37" s="546"/>
      <c r="AM37" s="547"/>
      <c r="AN37" s="66"/>
      <c r="AO37" s="606"/>
      <c r="AP37" s="607"/>
      <c r="AQ37" s="607"/>
      <c r="AR37" s="607"/>
      <c r="AS37" s="607"/>
      <c r="AT37" s="60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571"/>
      <c r="C38" s="571"/>
      <c r="D38" s="572"/>
      <c r="E38" s="561" t="s">
        <v>206</v>
      </c>
      <c r="F38" s="562"/>
      <c r="G38" s="562"/>
      <c r="H38" s="562"/>
      <c r="I38" s="563"/>
      <c r="J38" s="530" t="str">
        <f ca="1">IF(AND('Mapa riesgos'!$M$13="Muy Baja",'Mapa riesgos'!$Q$13="Leve"),CONCATENATE("R",'Mapa riesgos'!$A$13),"")</f>
        <v/>
      </c>
      <c r="K38" s="531"/>
      <c r="L38" s="531" t="str">
        <f ca="1">IF(AND('Mapa riesgos'!$M$19="Muy Baja",'Mapa riesgos'!$Q$19="Leve"),CONCATENATE("R",'Mapa riesgos'!$A$19),"")</f>
        <v/>
      </c>
      <c r="M38" s="531"/>
      <c r="N38" s="531" t="str">
        <f ca="1">IF(AND('Mapa riesgos'!$M$25="Muy Baja",'Mapa riesgos'!$Q$25="Leve"),CONCATENATE("R",'Mapa riesgos'!$A$25),"")</f>
        <v/>
      </c>
      <c r="O38" s="532"/>
      <c r="P38" s="530" t="str">
        <f ca="1">IF(AND('Mapa riesgos'!$M$13="Muy Baja",'Mapa riesgos'!$Q$13="Menor"),CONCATENATE("R",'Mapa riesgos'!$A$13),"")</f>
        <v/>
      </c>
      <c r="Q38" s="531"/>
      <c r="R38" s="531" t="str">
        <f ca="1">IF(AND('Mapa riesgos'!$M$19="Muy Baja",'Mapa riesgos'!$Q$19="Menor"),CONCATENATE("R",'Mapa riesgos'!$A$19),"")</f>
        <v/>
      </c>
      <c r="S38" s="531"/>
      <c r="T38" s="531" t="str">
        <f ca="1">IF(AND('Mapa riesgos'!$M$25="Muy Baja",'Mapa riesgos'!$Q$25="Menor"),CONCATENATE("R",'Mapa riesgos'!$A$25),"")</f>
        <v/>
      </c>
      <c r="U38" s="532"/>
      <c r="V38" s="539" t="str">
        <f ca="1">IF(AND('Mapa riesgos'!$M$13="Muy Baja",'Mapa riesgos'!$Q$13="Moderado"),CONCATENATE("R",'Mapa riesgos'!$A$13),"")</f>
        <v/>
      </c>
      <c r="W38" s="540"/>
      <c r="X38" s="540" t="str">
        <f ca="1">IF(AND('Mapa riesgos'!$M$19="Muy Baja",'Mapa riesgos'!$Q$19="Moderado"),CONCATENATE("R",'Mapa riesgos'!$A$19),"")</f>
        <v/>
      </c>
      <c r="Y38" s="540"/>
      <c r="Z38" s="540" t="str">
        <f ca="1">IF(AND('Mapa riesgos'!$M$25="Muy Baja",'Mapa riesgos'!$Q$25="Moderado"),CONCATENATE("R",'Mapa riesgos'!$A$25),"")</f>
        <v/>
      </c>
      <c r="AA38" s="541"/>
      <c r="AB38" s="557" t="str">
        <f ca="1">IF(AND('Mapa riesgos'!$M$13="Muy Baja",'Mapa riesgos'!$Q$13="Mayor"),CONCATENATE("R",'Mapa riesgos'!$A$13),"")</f>
        <v/>
      </c>
      <c r="AC38" s="558"/>
      <c r="AD38" s="558" t="str">
        <f ca="1">IF(AND('Mapa riesgos'!$M$19="Muy Baja",'Mapa riesgos'!$Q$19="Mayor"),CONCATENATE("R",'Mapa riesgos'!$A$19),"")</f>
        <v/>
      </c>
      <c r="AE38" s="558"/>
      <c r="AF38" s="558" t="str">
        <f ca="1">IF(AND('Mapa riesgos'!$M$25="Muy Baja",'Mapa riesgos'!$Q$25="Mayor"),CONCATENATE("R",'Mapa riesgos'!$A$25),"")</f>
        <v/>
      </c>
      <c r="AG38" s="559"/>
      <c r="AH38" s="548" t="str">
        <f ca="1">IF(AND('Mapa riesgos'!$M$13="Muy Baja",'Mapa riesgos'!$Q$13="Catastrófico"),CONCATENATE("R",'Mapa riesgos'!$A$13),"")</f>
        <v/>
      </c>
      <c r="AI38" s="549"/>
      <c r="AJ38" s="549" t="str">
        <f ca="1">IF(AND('Mapa riesgos'!$M$19="Muy Baja",'Mapa riesgos'!$Q$19="Catastrófico"),CONCATENATE("R",'Mapa riesgos'!$A$19),"")</f>
        <v/>
      </c>
      <c r="AK38" s="549"/>
      <c r="AL38" s="549" t="str">
        <f ca="1">IF(AND('Mapa riesgos'!$M$25="Muy Baja",'Mapa riesgos'!$Q$25="Catastrófico"),CONCATENATE("R",'Mapa riesgos'!$A$25),"")</f>
        <v/>
      </c>
      <c r="AM38" s="550"/>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571"/>
      <c r="C39" s="571"/>
      <c r="D39" s="572"/>
      <c r="E39" s="564"/>
      <c r="F39" s="565"/>
      <c r="G39" s="565"/>
      <c r="H39" s="565"/>
      <c r="I39" s="566"/>
      <c r="J39" s="524"/>
      <c r="K39" s="525"/>
      <c r="L39" s="525"/>
      <c r="M39" s="525"/>
      <c r="N39" s="525"/>
      <c r="O39" s="526"/>
      <c r="P39" s="524"/>
      <c r="Q39" s="525"/>
      <c r="R39" s="525"/>
      <c r="S39" s="525"/>
      <c r="T39" s="525"/>
      <c r="U39" s="526"/>
      <c r="V39" s="533"/>
      <c r="W39" s="534"/>
      <c r="X39" s="534"/>
      <c r="Y39" s="534"/>
      <c r="Z39" s="534"/>
      <c r="AA39" s="535"/>
      <c r="AB39" s="551"/>
      <c r="AC39" s="552"/>
      <c r="AD39" s="552"/>
      <c r="AE39" s="552"/>
      <c r="AF39" s="552"/>
      <c r="AG39" s="553"/>
      <c r="AH39" s="542"/>
      <c r="AI39" s="543"/>
      <c r="AJ39" s="543"/>
      <c r="AK39" s="543"/>
      <c r="AL39" s="543"/>
      <c r="AM39" s="544"/>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571"/>
      <c r="C40" s="571"/>
      <c r="D40" s="572"/>
      <c r="E40" s="564"/>
      <c r="F40" s="565"/>
      <c r="G40" s="565"/>
      <c r="H40" s="565"/>
      <c r="I40" s="566"/>
      <c r="J40" s="524" t="str">
        <f ca="1">IF(AND('Mapa riesgos'!$M$31="Muy Baja",'Mapa riesgos'!$Q$31="Leve"),CONCATENATE("R",'Mapa riesgos'!$A$31),"")</f>
        <v/>
      </c>
      <c r="K40" s="525"/>
      <c r="L40" s="525" t="str">
        <f ca="1">IF(AND('Mapa riesgos'!$M$37="Muy Baja",'Mapa riesgos'!$Q$37="Leve"),CONCATENATE("R",'Mapa riesgos'!$A$37),"")</f>
        <v/>
      </c>
      <c r="M40" s="525"/>
      <c r="N40" s="525" t="str">
        <f ca="1">IF(AND('Mapa riesgos'!$M$43="Muy Baja",'Mapa riesgos'!$Q$43="Leve"),CONCATENATE("R",'Mapa riesgos'!$A$43),"")</f>
        <v/>
      </c>
      <c r="O40" s="526"/>
      <c r="P40" s="524" t="str">
        <f ca="1">IF(AND('Mapa riesgos'!$M$31="Muy Baja",'Mapa riesgos'!$Q$31="Menor"),CONCATENATE("R",'Mapa riesgos'!$A$31),"")</f>
        <v/>
      </c>
      <c r="Q40" s="525"/>
      <c r="R40" s="525" t="str">
        <f ca="1">IF(AND('Mapa riesgos'!$M$37="Muy Baja",'Mapa riesgos'!$Q$37="Menor"),CONCATENATE("R",'Mapa riesgos'!$A$37),"")</f>
        <v/>
      </c>
      <c r="S40" s="525"/>
      <c r="T40" s="525" t="str">
        <f ca="1">IF(AND('Mapa riesgos'!$M$43="Muy Baja",'Mapa riesgos'!$Q$43="Menor"),CONCATENATE("R",'Mapa riesgos'!$A$43),"")</f>
        <v/>
      </c>
      <c r="U40" s="526"/>
      <c r="V40" s="533" t="str">
        <f ca="1">IF(AND('Mapa riesgos'!$M$31="Muy Baja",'Mapa riesgos'!$Q$31="Moderado"),CONCATENATE("R",'Mapa riesgos'!$A$31),"")</f>
        <v/>
      </c>
      <c r="W40" s="534"/>
      <c r="X40" s="534" t="str">
        <f ca="1">IF(AND('Mapa riesgos'!$M$37="Muy Baja",'Mapa riesgos'!$Q$37="Moderado"),CONCATENATE("R",'Mapa riesgos'!$A$37),"")</f>
        <v/>
      </c>
      <c r="Y40" s="534"/>
      <c r="Z40" s="534" t="str">
        <f ca="1">IF(AND('Mapa riesgos'!$M$43="Muy Baja",'Mapa riesgos'!$Q$43="Moderado"),CONCATENATE("R",'Mapa riesgos'!$A$43),"")</f>
        <v/>
      </c>
      <c r="AA40" s="535"/>
      <c r="AB40" s="551" t="str">
        <f ca="1">IF(AND('Mapa riesgos'!$M$31="Muy Baja",'Mapa riesgos'!$Q$31="Mayor"),CONCATENATE("R",'Mapa riesgos'!$A$31),"")</f>
        <v/>
      </c>
      <c r="AC40" s="552"/>
      <c r="AD40" s="552" t="str">
        <f ca="1">IF(AND('Mapa riesgos'!$M$37="Muy Baja",'Mapa riesgos'!$Q$37="Mayor"),CONCATENATE("R",'Mapa riesgos'!$A$37),"")</f>
        <v/>
      </c>
      <c r="AE40" s="552"/>
      <c r="AF40" s="552" t="str">
        <f ca="1">IF(AND('Mapa riesgos'!$M$43="Muy Baja",'Mapa riesgos'!$Q$43="Mayor"),CONCATENATE("R",'Mapa riesgos'!$A$43),"")</f>
        <v/>
      </c>
      <c r="AG40" s="553"/>
      <c r="AH40" s="542" t="str">
        <f ca="1">IF(AND('Mapa riesgos'!$M$31="Muy Baja",'Mapa riesgos'!$Q$31="Catastrófico"),CONCATENATE("R",'Mapa riesgos'!$A$31),"")</f>
        <v/>
      </c>
      <c r="AI40" s="543"/>
      <c r="AJ40" s="543" t="str">
        <f ca="1">IF(AND('Mapa riesgos'!$M$37="Muy Baja",'Mapa riesgos'!$Q$37="Catastrófico"),CONCATENATE("R",'Mapa riesgos'!$A$37),"")</f>
        <v/>
      </c>
      <c r="AK40" s="543"/>
      <c r="AL40" s="543" t="str">
        <f ca="1">IF(AND('Mapa riesgos'!$M$43="Muy Baja",'Mapa riesgos'!$Q$43="Catastrófico"),CONCATENATE("R",'Mapa riesgos'!$A$43),"")</f>
        <v/>
      </c>
      <c r="AM40" s="544"/>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571"/>
      <c r="C41" s="571"/>
      <c r="D41" s="572"/>
      <c r="E41" s="564"/>
      <c r="F41" s="565"/>
      <c r="G41" s="565"/>
      <c r="H41" s="565"/>
      <c r="I41" s="566"/>
      <c r="J41" s="524"/>
      <c r="K41" s="525"/>
      <c r="L41" s="525"/>
      <c r="M41" s="525"/>
      <c r="N41" s="525"/>
      <c r="O41" s="526"/>
      <c r="P41" s="524"/>
      <c r="Q41" s="525"/>
      <c r="R41" s="525"/>
      <c r="S41" s="525"/>
      <c r="T41" s="525"/>
      <c r="U41" s="526"/>
      <c r="V41" s="533"/>
      <c r="W41" s="534"/>
      <c r="X41" s="534"/>
      <c r="Y41" s="534"/>
      <c r="Z41" s="534"/>
      <c r="AA41" s="535"/>
      <c r="AB41" s="551"/>
      <c r="AC41" s="552"/>
      <c r="AD41" s="552"/>
      <c r="AE41" s="552"/>
      <c r="AF41" s="552"/>
      <c r="AG41" s="553"/>
      <c r="AH41" s="542"/>
      <c r="AI41" s="543"/>
      <c r="AJ41" s="543"/>
      <c r="AK41" s="543"/>
      <c r="AL41" s="543"/>
      <c r="AM41" s="544"/>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571"/>
      <c r="C42" s="571"/>
      <c r="D42" s="572"/>
      <c r="E42" s="564"/>
      <c r="F42" s="565"/>
      <c r="G42" s="565"/>
      <c r="H42" s="565"/>
      <c r="I42" s="566"/>
      <c r="J42" s="524" t="str">
        <f ca="1">IF(AND('Mapa riesgos'!$M$49="Muy Baja",'Mapa riesgos'!$Q$49="Leve"),CONCATENATE("R",'Mapa riesgos'!$A$49),"")</f>
        <v/>
      </c>
      <c r="K42" s="525"/>
      <c r="L42" s="525" t="str">
        <f ca="1">IF(AND('Mapa riesgos'!$M$55="Muy Baja",'Mapa riesgos'!$Q$55="Leve"),CONCATENATE("R",'Mapa riesgos'!$A$55),"")</f>
        <v/>
      </c>
      <c r="M42" s="525"/>
      <c r="N42" s="525" t="str">
        <f ca="1">IF(AND('Mapa riesgos'!$M$61="Muy Baja",'Mapa riesgos'!$Q$61="Leve"),CONCATENATE("R",'Mapa riesgos'!$A$61),"")</f>
        <v/>
      </c>
      <c r="O42" s="526"/>
      <c r="P42" s="524" t="str">
        <f ca="1">IF(AND('Mapa riesgos'!$M$49="Muy Baja",'Mapa riesgos'!$Q$49="Menor"),CONCATENATE("R",'Mapa riesgos'!$A$49),"")</f>
        <v/>
      </c>
      <c r="Q42" s="525"/>
      <c r="R42" s="525" t="str">
        <f ca="1">IF(AND('Mapa riesgos'!$M$55="Muy Baja",'Mapa riesgos'!$Q$55="Menor"),CONCATENATE("R",'Mapa riesgos'!$A$55),"")</f>
        <v/>
      </c>
      <c r="S42" s="525"/>
      <c r="T42" s="525" t="str">
        <f ca="1">IF(AND('Mapa riesgos'!$M$61="Muy Baja",'Mapa riesgos'!$Q$61="Menor"),CONCATENATE("R",'Mapa riesgos'!$A$61),"")</f>
        <v/>
      </c>
      <c r="U42" s="526"/>
      <c r="V42" s="533" t="str">
        <f ca="1">IF(AND('Mapa riesgos'!$M$49="Muy Baja",'Mapa riesgos'!$Q$49="Moderado"),CONCATENATE("R",'Mapa riesgos'!$A$49),"")</f>
        <v/>
      </c>
      <c r="W42" s="534"/>
      <c r="X42" s="534" t="str">
        <f ca="1">IF(AND('Mapa riesgos'!$M$55="Muy Baja",'Mapa riesgos'!$Q$55="Moderado"),CONCATENATE("R",'Mapa riesgos'!$A$55),"")</f>
        <v/>
      </c>
      <c r="Y42" s="534"/>
      <c r="Z42" s="534" t="str">
        <f ca="1">IF(AND('Mapa riesgos'!$M$61="Muy Baja",'Mapa riesgos'!$Q$61="Moderado"),CONCATENATE("R",'Mapa riesgos'!$A$61),"")</f>
        <v/>
      </c>
      <c r="AA42" s="535"/>
      <c r="AB42" s="551" t="str">
        <f ca="1">IF(AND('Mapa riesgos'!$M$49="Muy Baja",'Mapa riesgos'!$Q$49="Mayor"),CONCATENATE("R",'Mapa riesgos'!$A$49),"")</f>
        <v/>
      </c>
      <c r="AC42" s="552"/>
      <c r="AD42" s="552" t="str">
        <f ca="1">IF(AND('Mapa riesgos'!$M$55="Muy Baja",'Mapa riesgos'!$Q$55="Mayor"),CONCATENATE("R",'Mapa riesgos'!$A$55),"")</f>
        <v/>
      </c>
      <c r="AE42" s="552"/>
      <c r="AF42" s="552" t="str">
        <f ca="1">IF(AND('Mapa riesgos'!$M$61="Muy Baja",'Mapa riesgos'!$Q$61="Mayor"),CONCATENATE("R",'Mapa riesgos'!$A$61),"")</f>
        <v/>
      </c>
      <c r="AG42" s="553"/>
      <c r="AH42" s="542" t="str">
        <f ca="1">IF(AND('Mapa riesgos'!$M$49="Muy Baja",'Mapa riesgos'!$Q$49="Catastrófico"),CONCATENATE("R",'Mapa riesgos'!$A$49),"")</f>
        <v/>
      </c>
      <c r="AI42" s="543"/>
      <c r="AJ42" s="543" t="str">
        <f ca="1">IF(AND('Mapa riesgos'!$M$55="Muy Baja",'Mapa riesgos'!$Q$55="Catastrófico"),CONCATENATE("R",'Mapa riesgos'!$A$55),"")</f>
        <v/>
      </c>
      <c r="AK42" s="543"/>
      <c r="AL42" s="543" t="str">
        <f ca="1">IF(AND('Mapa riesgos'!$M$61="Muy Baja",'Mapa riesgos'!$Q$61="Catastrófico"),CONCATENATE("R",'Mapa riesgos'!$A$61),"")</f>
        <v/>
      </c>
      <c r="AM42" s="544"/>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571"/>
      <c r="C43" s="571"/>
      <c r="D43" s="572"/>
      <c r="E43" s="564"/>
      <c r="F43" s="565"/>
      <c r="G43" s="565"/>
      <c r="H43" s="565"/>
      <c r="I43" s="566"/>
      <c r="J43" s="524"/>
      <c r="K43" s="525"/>
      <c r="L43" s="525"/>
      <c r="M43" s="525"/>
      <c r="N43" s="525"/>
      <c r="O43" s="526"/>
      <c r="P43" s="524"/>
      <c r="Q43" s="525"/>
      <c r="R43" s="525"/>
      <c r="S43" s="525"/>
      <c r="T43" s="525"/>
      <c r="U43" s="526"/>
      <c r="V43" s="533"/>
      <c r="W43" s="534"/>
      <c r="X43" s="534"/>
      <c r="Y43" s="534"/>
      <c r="Z43" s="534"/>
      <c r="AA43" s="535"/>
      <c r="AB43" s="551"/>
      <c r="AC43" s="552"/>
      <c r="AD43" s="552"/>
      <c r="AE43" s="552"/>
      <c r="AF43" s="552"/>
      <c r="AG43" s="553"/>
      <c r="AH43" s="542"/>
      <c r="AI43" s="543"/>
      <c r="AJ43" s="543"/>
      <c r="AK43" s="543"/>
      <c r="AL43" s="543"/>
      <c r="AM43" s="544"/>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571"/>
      <c r="C44" s="571"/>
      <c r="D44" s="572"/>
      <c r="E44" s="564"/>
      <c r="F44" s="565"/>
      <c r="G44" s="565"/>
      <c r="H44" s="565"/>
      <c r="I44" s="566"/>
      <c r="J44" s="524" t="str">
        <f>IF(AND('Mapa riesgos'!$M$67="Muy Baja",'Mapa riesgos'!$Q$67="Leve"),CONCATENATE("R",'Mapa riesgos'!$A$67),"")</f>
        <v/>
      </c>
      <c r="K44" s="525"/>
      <c r="L44" s="525" t="str">
        <f>IF(AND('Mapa riesgos'!$M$73="Muy Baja",'Mapa riesgos'!$Q$73="Leve"),CONCATENATE("R",'Mapa riesgos'!$A$73),"")</f>
        <v/>
      </c>
      <c r="M44" s="525"/>
      <c r="N44" s="525" t="str">
        <f>IF(AND('Mapa riesgos'!$M$79="Muy Baja",'Mapa riesgos'!$Q$79="Leve"),CONCATENATE("R",'Mapa riesgos'!$A$79),"")</f>
        <v/>
      </c>
      <c r="O44" s="526"/>
      <c r="P44" s="524" t="str">
        <f>IF(AND('Mapa riesgos'!$M$67="Muy Baja",'Mapa riesgos'!$Q$67="Menor"),CONCATENATE("R",'Mapa riesgos'!$A$67),"")</f>
        <v/>
      </c>
      <c r="Q44" s="525"/>
      <c r="R44" s="525" t="str">
        <f>IF(AND('Mapa riesgos'!$M$73="Muy Baja",'Mapa riesgos'!$Q$73="Menor"),CONCATENATE("R",'Mapa riesgos'!$A$73),"")</f>
        <v/>
      </c>
      <c r="S44" s="525"/>
      <c r="T44" s="525" t="str">
        <f>IF(AND('Mapa riesgos'!$M$79="Muy Baja",'Mapa riesgos'!$Q$79="Menor"),CONCATENATE("R",'Mapa riesgos'!$A$79),"")</f>
        <v/>
      </c>
      <c r="U44" s="526"/>
      <c r="V44" s="533" t="str">
        <f>IF(AND('Mapa riesgos'!$M$67="Muy Baja",'Mapa riesgos'!$Q$67="Moderado"),CONCATENATE("R",'Mapa riesgos'!$A$67),"")</f>
        <v/>
      </c>
      <c r="W44" s="534"/>
      <c r="X44" s="534" t="str">
        <f>IF(AND('Mapa riesgos'!$M$73="Muy Baja",'Mapa riesgos'!$Q$73="Moderado"),CONCATENATE("R",'Mapa riesgos'!$A$73),"")</f>
        <v/>
      </c>
      <c r="Y44" s="534"/>
      <c r="Z44" s="534" t="str">
        <f>IF(AND('Mapa riesgos'!$M$79="Muy Baja",'Mapa riesgos'!$Q$79="Moderado"),CONCATENATE("R",'Mapa riesgos'!$A$79),"")</f>
        <v/>
      </c>
      <c r="AA44" s="535"/>
      <c r="AB44" s="551" t="str">
        <f>IF(AND('Mapa riesgos'!$M$67="Muy Baja",'Mapa riesgos'!$Q$67="Mayor"),CONCATENATE("R",'Mapa riesgos'!$A$67),"")</f>
        <v/>
      </c>
      <c r="AC44" s="552"/>
      <c r="AD44" s="552" t="str">
        <f>IF(AND('Mapa riesgos'!$M$73="Muy Baja",'Mapa riesgos'!$Q$73="Mayor"),CONCATENATE("R",'Mapa riesgos'!$A$73),"")</f>
        <v/>
      </c>
      <c r="AE44" s="552"/>
      <c r="AF44" s="552" t="str">
        <f>IF(AND('Mapa riesgos'!$M$79="Muy Baja",'Mapa riesgos'!$Q$79="Mayor"),CONCATENATE("R",'Mapa riesgos'!$A$79),"")</f>
        <v/>
      </c>
      <c r="AG44" s="553"/>
      <c r="AH44" s="542" t="str">
        <f>IF(AND('Mapa riesgos'!$M$67="Muy Baja",'Mapa riesgos'!$Q$67="Catastrófico"),CONCATENATE("R",'Mapa riesgos'!$A$67),"")</f>
        <v/>
      </c>
      <c r="AI44" s="543"/>
      <c r="AJ44" s="543" t="str">
        <f>IF(AND('Mapa riesgos'!$M$73="Muy Baja",'Mapa riesgos'!$Q$73="Catastrófico"),CONCATENATE("R",'Mapa riesgos'!$A$73),"")</f>
        <v/>
      </c>
      <c r="AK44" s="543"/>
      <c r="AL44" s="543" t="str">
        <f>IF(AND('Mapa riesgos'!$M$79="Muy Baja",'Mapa riesgos'!$Q$79="Catastrófico"),CONCATENATE("R",'Mapa riesgos'!$A$79),"")</f>
        <v/>
      </c>
      <c r="AM44" s="544"/>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571"/>
      <c r="C45" s="571"/>
      <c r="D45" s="572"/>
      <c r="E45" s="567"/>
      <c r="F45" s="568"/>
      <c r="G45" s="568"/>
      <c r="H45" s="568"/>
      <c r="I45" s="569"/>
      <c r="J45" s="527"/>
      <c r="K45" s="528"/>
      <c r="L45" s="528"/>
      <c r="M45" s="528"/>
      <c r="N45" s="528"/>
      <c r="O45" s="529"/>
      <c r="P45" s="527"/>
      <c r="Q45" s="528"/>
      <c r="R45" s="528"/>
      <c r="S45" s="528"/>
      <c r="T45" s="528"/>
      <c r="U45" s="529"/>
      <c r="V45" s="536"/>
      <c r="W45" s="537"/>
      <c r="X45" s="537"/>
      <c r="Y45" s="537"/>
      <c r="Z45" s="537"/>
      <c r="AA45" s="538"/>
      <c r="AB45" s="554"/>
      <c r="AC45" s="555"/>
      <c r="AD45" s="555"/>
      <c r="AE45" s="555"/>
      <c r="AF45" s="555"/>
      <c r="AG45" s="556"/>
      <c r="AH45" s="545"/>
      <c r="AI45" s="546"/>
      <c r="AJ45" s="546"/>
      <c r="AK45" s="546"/>
      <c r="AL45" s="546"/>
      <c r="AM45" s="547"/>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561" t="s">
        <v>207</v>
      </c>
      <c r="K46" s="562"/>
      <c r="L46" s="562"/>
      <c r="M46" s="562"/>
      <c r="N46" s="562"/>
      <c r="O46" s="563"/>
      <c r="P46" s="561" t="s">
        <v>208</v>
      </c>
      <c r="Q46" s="562"/>
      <c r="R46" s="562"/>
      <c r="S46" s="562"/>
      <c r="T46" s="562"/>
      <c r="U46" s="563"/>
      <c r="V46" s="561" t="s">
        <v>209</v>
      </c>
      <c r="W46" s="562"/>
      <c r="X46" s="562"/>
      <c r="Y46" s="562"/>
      <c r="Z46" s="562"/>
      <c r="AA46" s="563"/>
      <c r="AB46" s="561" t="s">
        <v>210</v>
      </c>
      <c r="AC46" s="570"/>
      <c r="AD46" s="562"/>
      <c r="AE46" s="562"/>
      <c r="AF46" s="562"/>
      <c r="AG46" s="563"/>
      <c r="AH46" s="561" t="s">
        <v>211</v>
      </c>
      <c r="AI46" s="562"/>
      <c r="AJ46" s="562"/>
      <c r="AK46" s="562"/>
      <c r="AL46" s="562"/>
      <c r="AM46" s="563"/>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564"/>
      <c r="K47" s="565"/>
      <c r="L47" s="565"/>
      <c r="M47" s="565"/>
      <c r="N47" s="565"/>
      <c r="O47" s="566"/>
      <c r="P47" s="564"/>
      <c r="Q47" s="565"/>
      <c r="R47" s="565"/>
      <c r="S47" s="565"/>
      <c r="T47" s="565"/>
      <c r="U47" s="566"/>
      <c r="V47" s="564"/>
      <c r="W47" s="565"/>
      <c r="X47" s="565"/>
      <c r="Y47" s="565"/>
      <c r="Z47" s="565"/>
      <c r="AA47" s="566"/>
      <c r="AB47" s="564"/>
      <c r="AC47" s="565"/>
      <c r="AD47" s="565"/>
      <c r="AE47" s="565"/>
      <c r="AF47" s="565"/>
      <c r="AG47" s="566"/>
      <c r="AH47" s="564"/>
      <c r="AI47" s="565"/>
      <c r="AJ47" s="565"/>
      <c r="AK47" s="565"/>
      <c r="AL47" s="565"/>
      <c r="AM47" s="5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564"/>
      <c r="K48" s="565"/>
      <c r="L48" s="565"/>
      <c r="M48" s="565"/>
      <c r="N48" s="565"/>
      <c r="O48" s="566"/>
      <c r="P48" s="564"/>
      <c r="Q48" s="565"/>
      <c r="R48" s="565"/>
      <c r="S48" s="565"/>
      <c r="T48" s="565"/>
      <c r="U48" s="566"/>
      <c r="V48" s="564"/>
      <c r="W48" s="565"/>
      <c r="X48" s="565"/>
      <c r="Y48" s="565"/>
      <c r="Z48" s="565"/>
      <c r="AA48" s="566"/>
      <c r="AB48" s="564"/>
      <c r="AC48" s="565"/>
      <c r="AD48" s="565"/>
      <c r="AE48" s="565"/>
      <c r="AF48" s="565"/>
      <c r="AG48" s="566"/>
      <c r="AH48" s="564"/>
      <c r="AI48" s="565"/>
      <c r="AJ48" s="565"/>
      <c r="AK48" s="565"/>
      <c r="AL48" s="565"/>
      <c r="AM48" s="5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564"/>
      <c r="K49" s="565"/>
      <c r="L49" s="565"/>
      <c r="M49" s="565"/>
      <c r="N49" s="565"/>
      <c r="O49" s="566"/>
      <c r="P49" s="564"/>
      <c r="Q49" s="565"/>
      <c r="R49" s="565"/>
      <c r="S49" s="565"/>
      <c r="T49" s="565"/>
      <c r="U49" s="566"/>
      <c r="V49" s="564"/>
      <c r="W49" s="565"/>
      <c r="X49" s="565"/>
      <c r="Y49" s="565"/>
      <c r="Z49" s="565"/>
      <c r="AA49" s="566"/>
      <c r="AB49" s="564"/>
      <c r="AC49" s="565"/>
      <c r="AD49" s="565"/>
      <c r="AE49" s="565"/>
      <c r="AF49" s="565"/>
      <c r="AG49" s="566"/>
      <c r="AH49" s="564"/>
      <c r="AI49" s="565"/>
      <c r="AJ49" s="565"/>
      <c r="AK49" s="565"/>
      <c r="AL49" s="565"/>
      <c r="AM49" s="5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564"/>
      <c r="K50" s="565"/>
      <c r="L50" s="565"/>
      <c r="M50" s="565"/>
      <c r="N50" s="565"/>
      <c r="O50" s="566"/>
      <c r="P50" s="564"/>
      <c r="Q50" s="565"/>
      <c r="R50" s="565"/>
      <c r="S50" s="565"/>
      <c r="T50" s="565"/>
      <c r="U50" s="566"/>
      <c r="V50" s="564"/>
      <c r="W50" s="565"/>
      <c r="X50" s="565"/>
      <c r="Y50" s="565"/>
      <c r="Z50" s="565"/>
      <c r="AA50" s="566"/>
      <c r="AB50" s="564"/>
      <c r="AC50" s="565"/>
      <c r="AD50" s="565"/>
      <c r="AE50" s="565"/>
      <c r="AF50" s="565"/>
      <c r="AG50" s="566"/>
      <c r="AH50" s="564"/>
      <c r="AI50" s="565"/>
      <c r="AJ50" s="565"/>
      <c r="AK50" s="565"/>
      <c r="AL50" s="565"/>
      <c r="AM50" s="5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567"/>
      <c r="K51" s="568"/>
      <c r="L51" s="568"/>
      <c r="M51" s="568"/>
      <c r="N51" s="568"/>
      <c r="O51" s="569"/>
      <c r="P51" s="567"/>
      <c r="Q51" s="568"/>
      <c r="R51" s="568"/>
      <c r="S51" s="568"/>
      <c r="T51" s="568"/>
      <c r="U51" s="569"/>
      <c r="V51" s="567"/>
      <c r="W51" s="568"/>
      <c r="X51" s="568"/>
      <c r="Y51" s="568"/>
      <c r="Z51" s="568"/>
      <c r="AA51" s="569"/>
      <c r="AB51" s="567"/>
      <c r="AC51" s="568"/>
      <c r="AD51" s="568"/>
      <c r="AE51" s="568"/>
      <c r="AF51" s="568"/>
      <c r="AG51" s="569"/>
      <c r="AH51" s="567"/>
      <c r="AI51" s="568"/>
      <c r="AJ51" s="568"/>
      <c r="AK51" s="568"/>
      <c r="AL51" s="568"/>
      <c r="AM51" s="569"/>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V38" sqref="V38"/>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638" t="s">
        <v>212</v>
      </c>
      <c r="C2" s="639"/>
      <c r="D2" s="639"/>
      <c r="E2" s="639"/>
      <c r="F2" s="639"/>
      <c r="G2" s="639"/>
      <c r="H2" s="639"/>
      <c r="I2" s="639"/>
      <c r="J2" s="560" t="s">
        <v>15</v>
      </c>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639"/>
      <c r="C3" s="639"/>
      <c r="D3" s="639"/>
      <c r="E3" s="639"/>
      <c r="F3" s="639"/>
      <c r="G3" s="639"/>
      <c r="H3" s="639"/>
      <c r="I3" s="639"/>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639"/>
      <c r="C4" s="639"/>
      <c r="D4" s="639"/>
      <c r="E4" s="639"/>
      <c r="F4" s="639"/>
      <c r="G4" s="639"/>
      <c r="H4" s="639"/>
      <c r="I4" s="639"/>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571" t="s">
        <v>197</v>
      </c>
      <c r="C6" s="571"/>
      <c r="D6" s="572"/>
      <c r="E6" s="609" t="s">
        <v>198</v>
      </c>
      <c r="F6" s="610"/>
      <c r="G6" s="610"/>
      <c r="H6" s="610"/>
      <c r="I6" s="611"/>
      <c r="J6" s="29" t="str">
        <f ca="1">IF(AND('Mapa riesgos'!$AD$13="Muy Alta",'Mapa riesgos'!$AF$13="Leve"),CONCATENATE("R1C",'Mapa riesgos'!$T$13),"")</f>
        <v/>
      </c>
      <c r="K6" s="30" t="str">
        <f ca="1">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 ca="1">IF(AND('Mapa riesgos'!$AD$13="Muy Alta",'Mapa riesgos'!$AF$13="Menor"),CONCATENATE("R1C",'Mapa riesgos'!$T$13),"")</f>
        <v/>
      </c>
      <c r="Q6" s="30" t="str">
        <f ca="1">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 ca="1">IF(AND('Mapa riesgos'!$AD$13="Muy Alta",'Mapa riesgos'!$AF$13="Moderado"),CONCATENATE("R1C",'Mapa riesgos'!$T$13),"")</f>
        <v/>
      </c>
      <c r="W6" s="30" t="str">
        <f ca="1">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 ca="1">IF(AND('Mapa riesgos'!$AD$13="Muy Alta",'Mapa riesgos'!$AF$13="Mayor"),CONCATENATE("R1C",'Mapa riesgos'!$T$13),"")</f>
        <v/>
      </c>
      <c r="AC6" s="30" t="str">
        <f ca="1">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 ca="1">IF(AND('Mapa riesgos'!$AD$13="Muy Alta",'Mapa riesgos'!$AF$13="Catastrófico"),CONCATENATE("R1C",'Mapa riesgos'!$T$13),"")</f>
        <v/>
      </c>
      <c r="AI6" s="33" t="str">
        <f ca="1">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629" t="s">
        <v>199</v>
      </c>
      <c r="AP6" s="630"/>
      <c r="AQ6" s="630"/>
      <c r="AR6" s="630"/>
      <c r="AS6" s="630"/>
      <c r="AT6" s="631"/>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571"/>
      <c r="C7" s="571"/>
      <c r="D7" s="572"/>
      <c r="E7" s="612"/>
      <c r="F7" s="613"/>
      <c r="G7" s="613"/>
      <c r="H7" s="613"/>
      <c r="I7" s="614"/>
      <c r="J7" s="35" t="str">
        <f ca="1">IF(AND('Mapa riesgos'!$AD$19="Muy Alta",'Mapa riesgos'!$AF$19="Leve"),CONCATENATE("R2C",'Mapa riesgos'!$T$19),"")</f>
        <v/>
      </c>
      <c r="K7" s="36" t="str">
        <f ca="1">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 ca="1">IF(AND('Mapa riesgos'!$AD$19="Muy Alta",'Mapa riesgos'!$AF$19="Menor"),CONCATENATE("R2C",'Mapa riesgos'!$T$19),"")</f>
        <v/>
      </c>
      <c r="Q7" s="36" t="str">
        <f ca="1">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 ca="1">IF(AND('Mapa riesgos'!$AD$19="Muy Alta",'Mapa riesgos'!$AF$19="Moderado"),CONCATENATE("R2C",'Mapa riesgos'!$T$19),"")</f>
        <v/>
      </c>
      <c r="W7" s="36" t="str">
        <f ca="1">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 ca="1">IF(AND('Mapa riesgos'!$AD$19="Muy Alta",'Mapa riesgos'!$AF$19="Mayor"),CONCATENATE("R2C",'Mapa riesgos'!$T$19),"")</f>
        <v/>
      </c>
      <c r="AC7" s="36" t="str">
        <f ca="1">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 ca="1">IF(AND('Mapa riesgos'!$AD$19="Muy Alta",'Mapa riesgos'!$AF$19="Catastrófico"),CONCATENATE("R2C",'Mapa riesgos'!$T$19),"")</f>
        <v/>
      </c>
      <c r="AI7" s="39" t="str">
        <f ca="1">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632"/>
      <c r="AP7" s="633"/>
      <c r="AQ7" s="633"/>
      <c r="AR7" s="633"/>
      <c r="AS7" s="633"/>
      <c r="AT7" s="634"/>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571"/>
      <c r="C8" s="571"/>
      <c r="D8" s="572"/>
      <c r="E8" s="612"/>
      <c r="F8" s="613"/>
      <c r="G8" s="613"/>
      <c r="H8" s="613"/>
      <c r="I8" s="614"/>
      <c r="J8" s="35" t="str">
        <f ca="1">IF(AND('Mapa riesgos'!$AD$25="Muy Alta",'Mapa riesgos'!$AF$25="Leve"),CONCATENATE("R3C",'Mapa riesgos'!$T$25),"")</f>
        <v/>
      </c>
      <c r="K8" s="36" t="str">
        <f ca="1">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 ca="1">IF(AND('Mapa riesgos'!$AD$25="Muy Alta",'Mapa riesgos'!$AF$25="Menor"),CONCATENATE("R3C",'Mapa riesgos'!$T$25),"")</f>
        <v/>
      </c>
      <c r="Q8" s="36" t="str">
        <f ca="1">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 ca="1">IF(AND('Mapa riesgos'!$AD$25="Muy Alta",'Mapa riesgos'!$AF$25="Moderado"),CONCATENATE("R3C",'Mapa riesgos'!$T$25),"")</f>
        <v/>
      </c>
      <c r="W8" s="36" t="str">
        <f ca="1">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 ca="1">IF(AND('Mapa riesgos'!$AD$25="Muy Alta",'Mapa riesgos'!$AF$25="Mayor"),CONCATENATE("R3C",'Mapa riesgos'!$T$25),"")</f>
        <v/>
      </c>
      <c r="AC8" s="36" t="str">
        <f ca="1">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 ca="1">IF(AND('Mapa riesgos'!$AD$25="Muy Alta",'Mapa riesgos'!$AF$25="Catastrófico"),CONCATENATE("R3C",'Mapa riesgos'!$T$25),"")</f>
        <v/>
      </c>
      <c r="AI8" s="39" t="str">
        <f ca="1">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632"/>
      <c r="AP8" s="633"/>
      <c r="AQ8" s="633"/>
      <c r="AR8" s="633"/>
      <c r="AS8" s="633"/>
      <c r="AT8" s="634"/>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571"/>
      <c r="C9" s="571"/>
      <c r="D9" s="572"/>
      <c r="E9" s="612"/>
      <c r="F9" s="613"/>
      <c r="G9" s="613"/>
      <c r="H9" s="613"/>
      <c r="I9" s="614"/>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632"/>
      <c r="AP9" s="633"/>
      <c r="AQ9" s="633"/>
      <c r="AR9" s="633"/>
      <c r="AS9" s="633"/>
      <c r="AT9" s="634"/>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571"/>
      <c r="C10" s="571"/>
      <c r="D10" s="572"/>
      <c r="E10" s="612"/>
      <c r="F10" s="613"/>
      <c r="G10" s="613"/>
      <c r="H10" s="613"/>
      <c r="I10" s="614"/>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632"/>
      <c r="AP10" s="633"/>
      <c r="AQ10" s="633"/>
      <c r="AR10" s="633"/>
      <c r="AS10" s="633"/>
      <c r="AT10" s="634"/>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571"/>
      <c r="C11" s="571"/>
      <c r="D11" s="572"/>
      <c r="E11" s="612"/>
      <c r="F11" s="613"/>
      <c r="G11" s="613"/>
      <c r="H11" s="613"/>
      <c r="I11" s="614"/>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632"/>
      <c r="AP11" s="633"/>
      <c r="AQ11" s="633"/>
      <c r="AR11" s="633"/>
      <c r="AS11" s="633"/>
      <c r="AT11" s="634"/>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571"/>
      <c r="C12" s="571"/>
      <c r="D12" s="572"/>
      <c r="E12" s="612"/>
      <c r="F12" s="613"/>
      <c r="G12" s="613"/>
      <c r="H12" s="613"/>
      <c r="I12" s="614"/>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632"/>
      <c r="AP12" s="633"/>
      <c r="AQ12" s="633"/>
      <c r="AR12" s="633"/>
      <c r="AS12" s="633"/>
      <c r="AT12" s="634"/>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571"/>
      <c r="C13" s="571"/>
      <c r="D13" s="572"/>
      <c r="E13" s="612"/>
      <c r="F13" s="613"/>
      <c r="G13" s="613"/>
      <c r="H13" s="613"/>
      <c r="I13" s="614"/>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632"/>
      <c r="AP13" s="633"/>
      <c r="AQ13" s="633"/>
      <c r="AR13" s="633"/>
      <c r="AS13" s="633"/>
      <c r="AT13" s="634"/>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571"/>
      <c r="C14" s="571"/>
      <c r="D14" s="572"/>
      <c r="E14" s="612"/>
      <c r="F14" s="613"/>
      <c r="G14" s="613"/>
      <c r="H14" s="613"/>
      <c r="I14" s="614"/>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632"/>
      <c r="AP14" s="633"/>
      <c r="AQ14" s="633"/>
      <c r="AR14" s="633"/>
      <c r="AS14" s="633"/>
      <c r="AT14" s="634"/>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571"/>
      <c r="C15" s="571"/>
      <c r="D15" s="572"/>
      <c r="E15" s="615"/>
      <c r="F15" s="616"/>
      <c r="G15" s="616"/>
      <c r="H15" s="616"/>
      <c r="I15" s="617"/>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635"/>
      <c r="AP15" s="636"/>
      <c r="AQ15" s="636"/>
      <c r="AR15" s="636"/>
      <c r="AS15" s="636"/>
      <c r="AT15" s="637"/>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571"/>
      <c r="C16" s="571"/>
      <c r="D16" s="572"/>
      <c r="E16" s="609" t="s">
        <v>200</v>
      </c>
      <c r="F16" s="610"/>
      <c r="G16" s="610"/>
      <c r="H16" s="610"/>
      <c r="I16" s="610"/>
      <c r="J16" s="47" t="str">
        <f ca="1">IF(AND('Mapa riesgos'!$AD$13="Alta",'Mapa riesgos'!$AF$13="Leve"),CONCATENATE("R1C",'Mapa riesgos'!$T$13),"")</f>
        <v/>
      </c>
      <c r="K16" s="48" t="str">
        <f ca="1">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 ca="1">IF(AND('Mapa riesgos'!$AD$13="Alta",'Mapa riesgos'!$AF$13="Menor"),CONCATENATE("R1C",'Mapa riesgos'!$T$13),"")</f>
        <v/>
      </c>
      <c r="Q16" s="48" t="str">
        <f ca="1">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 ca="1">IF(AND('Mapa riesgos'!$AD$13="Alta",'Mapa riesgos'!$AF$13="Moderado"),CONCATENATE("R1C",'Mapa riesgos'!$T$13),"")</f>
        <v/>
      </c>
      <c r="W16" s="30" t="str">
        <f ca="1">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 ca="1">IF(AND('Mapa riesgos'!$AD$13="Alta",'Mapa riesgos'!$AF$13="Mayor"),CONCATENATE("R1C",'Mapa riesgos'!$T$13),"")</f>
        <v/>
      </c>
      <c r="AC16" s="30" t="str">
        <f ca="1">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 ca="1">IF(AND('Mapa riesgos'!$AD$13="Alta",'Mapa riesgos'!$AF$13="Catastrófico"),CONCATENATE("R1C",'Mapa riesgos'!$T$13),"")</f>
        <v/>
      </c>
      <c r="AI16" s="33" t="str">
        <f ca="1">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619" t="s">
        <v>201</v>
      </c>
      <c r="AP16" s="620"/>
      <c r="AQ16" s="620"/>
      <c r="AR16" s="620"/>
      <c r="AS16" s="620"/>
      <c r="AT16" s="621"/>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571"/>
      <c r="C17" s="571"/>
      <c r="D17" s="572"/>
      <c r="E17" s="628"/>
      <c r="F17" s="613"/>
      <c r="G17" s="613"/>
      <c r="H17" s="613"/>
      <c r="I17" s="613"/>
      <c r="J17" s="50" t="str">
        <f ca="1">IF(AND('Mapa riesgos'!$AD$19="Alta",'Mapa riesgos'!$AF$19="Leve"),CONCATENATE("R2C",'Mapa riesgos'!$T$19),"")</f>
        <v/>
      </c>
      <c r="K17" s="51" t="str">
        <f ca="1">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 ca="1">IF(AND('Mapa riesgos'!$AD$19="Alta",'Mapa riesgos'!$AF$19="Menor"),CONCATENATE("R2C",'Mapa riesgos'!$T$19),"")</f>
        <v/>
      </c>
      <c r="Q17" s="51" t="str">
        <f ca="1">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 ca="1">IF(AND('Mapa riesgos'!$AD$19="Alta",'Mapa riesgos'!$AF$19="Moderado"),CONCATENATE("R2C",'Mapa riesgos'!$T$19),"")</f>
        <v/>
      </c>
      <c r="W17" s="36" t="str">
        <f ca="1">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 ca="1">IF(AND('Mapa riesgos'!$AD$19="Alta",'Mapa riesgos'!$AF$19="Mayor"),CONCATENATE("R2C",'Mapa riesgos'!$T$19),"")</f>
        <v/>
      </c>
      <c r="AC17" s="36" t="str">
        <f ca="1">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 ca="1">IF(AND('Mapa riesgos'!$AD$19="Alta",'Mapa riesgos'!$AF$19="Catastrófico"),CONCATENATE("R2C",'Mapa riesgos'!$T$19),"")</f>
        <v/>
      </c>
      <c r="AI17" s="39" t="str">
        <f ca="1">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622"/>
      <c r="AP17" s="623"/>
      <c r="AQ17" s="623"/>
      <c r="AR17" s="623"/>
      <c r="AS17" s="623"/>
      <c r="AT17" s="624"/>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571"/>
      <c r="C18" s="571"/>
      <c r="D18" s="572"/>
      <c r="E18" s="612"/>
      <c r="F18" s="613"/>
      <c r="G18" s="613"/>
      <c r="H18" s="613"/>
      <c r="I18" s="613"/>
      <c r="J18" s="50" t="str">
        <f ca="1">IF(AND('Mapa riesgos'!$AD$25="Alta",'Mapa riesgos'!$AF$25="Leve"),CONCATENATE("R3C",'Mapa riesgos'!$T$25),"")</f>
        <v/>
      </c>
      <c r="K18" s="51" t="str">
        <f ca="1">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 ca="1">IF(AND('Mapa riesgos'!$AD$25="Alta",'Mapa riesgos'!$AF$25="Menor"),CONCATENATE("R3C",'Mapa riesgos'!$T$25),"")</f>
        <v/>
      </c>
      <c r="Q18" s="51" t="str">
        <f ca="1">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 ca="1">IF(AND('Mapa riesgos'!$AD$25="Alta",'Mapa riesgos'!$AF$25="Moderado"),CONCATENATE("R3C",'Mapa riesgos'!$T$25),"")</f>
        <v/>
      </c>
      <c r="W18" s="36" t="str">
        <f ca="1">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 ca="1">IF(AND('Mapa riesgos'!$AD$25="Alta",'Mapa riesgos'!$AF$25="Mayor"),CONCATENATE("R3C",'Mapa riesgos'!$T$25),"")</f>
        <v/>
      </c>
      <c r="AC18" s="36" t="str">
        <f ca="1">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 ca="1">IF(AND('Mapa riesgos'!$AD$25="Alta",'Mapa riesgos'!$AF$25="Catastrófico"),CONCATENATE("R3C",'Mapa riesgos'!$T$25),"")</f>
        <v/>
      </c>
      <c r="AI18" s="39" t="str">
        <f ca="1">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622"/>
      <c r="AP18" s="623"/>
      <c r="AQ18" s="623"/>
      <c r="AR18" s="623"/>
      <c r="AS18" s="623"/>
      <c r="AT18" s="624"/>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571"/>
      <c r="C19" s="571"/>
      <c r="D19" s="572"/>
      <c r="E19" s="612"/>
      <c r="F19" s="613"/>
      <c r="G19" s="613"/>
      <c r="H19" s="613"/>
      <c r="I19" s="613"/>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622"/>
      <c r="AP19" s="623"/>
      <c r="AQ19" s="623"/>
      <c r="AR19" s="623"/>
      <c r="AS19" s="623"/>
      <c r="AT19" s="62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571"/>
      <c r="C20" s="571"/>
      <c r="D20" s="572"/>
      <c r="E20" s="612"/>
      <c r="F20" s="613"/>
      <c r="G20" s="613"/>
      <c r="H20" s="613"/>
      <c r="I20" s="613"/>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622"/>
      <c r="AP20" s="623"/>
      <c r="AQ20" s="623"/>
      <c r="AR20" s="623"/>
      <c r="AS20" s="623"/>
      <c r="AT20" s="62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571"/>
      <c r="C21" s="571"/>
      <c r="D21" s="572"/>
      <c r="E21" s="612"/>
      <c r="F21" s="613"/>
      <c r="G21" s="613"/>
      <c r="H21" s="613"/>
      <c r="I21" s="613"/>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622"/>
      <c r="AP21" s="623"/>
      <c r="AQ21" s="623"/>
      <c r="AR21" s="623"/>
      <c r="AS21" s="623"/>
      <c r="AT21" s="624"/>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571"/>
      <c r="C22" s="571"/>
      <c r="D22" s="572"/>
      <c r="E22" s="612"/>
      <c r="F22" s="613"/>
      <c r="G22" s="613"/>
      <c r="H22" s="613"/>
      <c r="I22" s="613"/>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622"/>
      <c r="AP22" s="623"/>
      <c r="AQ22" s="623"/>
      <c r="AR22" s="623"/>
      <c r="AS22" s="623"/>
      <c r="AT22" s="624"/>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571"/>
      <c r="C23" s="571"/>
      <c r="D23" s="572"/>
      <c r="E23" s="612"/>
      <c r="F23" s="613"/>
      <c r="G23" s="613"/>
      <c r="H23" s="613"/>
      <c r="I23" s="613"/>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622"/>
      <c r="AP23" s="623"/>
      <c r="AQ23" s="623"/>
      <c r="AR23" s="623"/>
      <c r="AS23" s="623"/>
      <c r="AT23" s="624"/>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571"/>
      <c r="C24" s="571"/>
      <c r="D24" s="572"/>
      <c r="E24" s="612"/>
      <c r="F24" s="613"/>
      <c r="G24" s="613"/>
      <c r="H24" s="613"/>
      <c r="I24" s="613"/>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622"/>
      <c r="AP24" s="623"/>
      <c r="AQ24" s="623"/>
      <c r="AR24" s="623"/>
      <c r="AS24" s="623"/>
      <c r="AT24" s="624"/>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571"/>
      <c r="C25" s="571"/>
      <c r="D25" s="572"/>
      <c r="E25" s="615"/>
      <c r="F25" s="616"/>
      <c r="G25" s="616"/>
      <c r="H25" s="616"/>
      <c r="I25" s="616"/>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625"/>
      <c r="AP25" s="626"/>
      <c r="AQ25" s="626"/>
      <c r="AR25" s="626"/>
      <c r="AS25" s="626"/>
      <c r="AT25" s="627"/>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571"/>
      <c r="C26" s="571"/>
      <c r="D26" s="572"/>
      <c r="E26" s="609" t="s">
        <v>202</v>
      </c>
      <c r="F26" s="610"/>
      <c r="G26" s="610"/>
      <c r="H26" s="610"/>
      <c r="I26" s="611"/>
      <c r="J26" s="47" t="str">
        <f ca="1">IF(AND('Mapa riesgos'!$AD$13="Media",'Mapa riesgos'!$AF$13="Leve"),CONCATENATE("R1C",'Mapa riesgos'!$T$13),"")</f>
        <v/>
      </c>
      <c r="K26" s="48" t="str">
        <f ca="1">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 ca="1">IF(AND('Mapa riesgos'!$AD$13="Media",'Mapa riesgos'!$AF$13="Menor"),CONCATENATE("R1C",'Mapa riesgos'!$T$13),"")</f>
        <v>R1C1</v>
      </c>
      <c r="Q26" s="48" t="str">
        <f ca="1">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 ca="1">IF(AND('Mapa riesgos'!$AD$13="Media",'Mapa riesgos'!$AF$13="Moderado"),CONCATENATE("R1C",'Mapa riesgos'!$T$13),"")</f>
        <v/>
      </c>
      <c r="W26" s="48" t="str">
        <f ca="1">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 ca="1">IF(AND('Mapa riesgos'!$AD$13="Media",'Mapa riesgos'!$AF$13="Mayor"),CONCATENATE("R1C",'Mapa riesgos'!$T$13),"")</f>
        <v/>
      </c>
      <c r="AC26" s="30" t="str">
        <f ca="1">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 ca="1">IF(AND('Mapa riesgos'!$AD$13="Media",'Mapa riesgos'!$AF$13="Catastrófico"),CONCATENATE("R1C",'Mapa riesgos'!$T$13),"")</f>
        <v/>
      </c>
      <c r="AI26" s="33" t="str">
        <f ca="1">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649" t="s">
        <v>203</v>
      </c>
      <c r="AP26" s="650"/>
      <c r="AQ26" s="650"/>
      <c r="AR26" s="650"/>
      <c r="AS26" s="650"/>
      <c r="AT26" s="65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571"/>
      <c r="C27" s="571"/>
      <c r="D27" s="572"/>
      <c r="E27" s="628"/>
      <c r="F27" s="613"/>
      <c r="G27" s="613"/>
      <c r="H27" s="613"/>
      <c r="I27" s="614"/>
      <c r="J27" s="50" t="str">
        <f ca="1">IF(AND('Mapa riesgos'!$AD$19="Media",'Mapa riesgos'!$AF$19="Leve"),CONCATENATE("R2C",'Mapa riesgos'!$T$19),"")</f>
        <v/>
      </c>
      <c r="K27" s="51" t="str">
        <f ca="1">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 ca="1">IF(AND('Mapa riesgos'!$AD$19="Media",'Mapa riesgos'!$AF$19="Menor"),CONCATENATE("R2C",'Mapa riesgos'!$T$19),"")</f>
        <v>R2C1</v>
      </c>
      <c r="Q27" s="51" t="str">
        <f ca="1">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 ca="1">IF(AND('Mapa riesgos'!$AD$19="Media",'Mapa riesgos'!$AF$19="Moderado"),CONCATENATE("R2C",'Mapa riesgos'!$T$19),"")</f>
        <v/>
      </c>
      <c r="W27" s="51" t="str">
        <f ca="1">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 ca="1">IF(AND('Mapa riesgos'!$AD$19="Media",'Mapa riesgos'!$AF$19="Mayor"),CONCATENATE("R2C",'Mapa riesgos'!$T$19),"")</f>
        <v/>
      </c>
      <c r="AC27" s="36" t="str">
        <f ca="1">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 ca="1">IF(AND('Mapa riesgos'!$AD$19="Media",'Mapa riesgos'!$AF$19="Catastrófico"),CONCATENATE("R2C",'Mapa riesgos'!$T$19),"")</f>
        <v/>
      </c>
      <c r="AI27" s="39" t="str">
        <f ca="1">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652"/>
      <c r="AP27" s="653"/>
      <c r="AQ27" s="653"/>
      <c r="AR27" s="653"/>
      <c r="AS27" s="653"/>
      <c r="AT27" s="654"/>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571"/>
      <c r="C28" s="571"/>
      <c r="D28" s="572"/>
      <c r="E28" s="612"/>
      <c r="F28" s="613"/>
      <c r="G28" s="613"/>
      <c r="H28" s="613"/>
      <c r="I28" s="614"/>
      <c r="J28" s="50" t="str">
        <f ca="1">IF(AND('Mapa riesgos'!$AD$25="Media",'Mapa riesgos'!$AF$25="Leve"),CONCATENATE("R3C",'Mapa riesgos'!$T$25),"")</f>
        <v/>
      </c>
      <c r="K28" s="51" t="str">
        <f ca="1">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 ca="1">IF(AND('Mapa riesgos'!$AD$25="Media",'Mapa riesgos'!$AF$25="Menor"),CONCATENATE("R3C",'Mapa riesgos'!$T$25),"")</f>
        <v/>
      </c>
      <c r="Q28" s="51" t="str">
        <f ca="1">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 ca="1">IF(AND('Mapa riesgos'!$AD$25="Media",'Mapa riesgos'!$AF$25="Moderado"),CONCATENATE("R3C",'Mapa riesgos'!$T$25),"")</f>
        <v/>
      </c>
      <c r="W28" s="51" t="str">
        <f ca="1">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 ca="1">IF(AND('Mapa riesgos'!$AD$25="Media",'Mapa riesgos'!$AF$25="Mayor"),CONCATENATE("R3C",'Mapa riesgos'!$T$25),"")</f>
        <v/>
      </c>
      <c r="AC28" s="36" t="str">
        <f ca="1">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 ca="1">IF(AND('Mapa riesgos'!$AD$25="Media",'Mapa riesgos'!$AF$25="Catastrófico"),CONCATENATE("R3C",'Mapa riesgos'!$T$25),"")</f>
        <v/>
      </c>
      <c r="AI28" s="39" t="str">
        <f ca="1">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652"/>
      <c r="AP28" s="653"/>
      <c r="AQ28" s="653"/>
      <c r="AR28" s="653"/>
      <c r="AS28" s="653"/>
      <c r="AT28" s="654"/>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571"/>
      <c r="C29" s="571"/>
      <c r="D29" s="572"/>
      <c r="E29" s="612"/>
      <c r="F29" s="613"/>
      <c r="G29" s="613"/>
      <c r="H29" s="613"/>
      <c r="I29" s="614"/>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652"/>
      <c r="AP29" s="653"/>
      <c r="AQ29" s="653"/>
      <c r="AR29" s="653"/>
      <c r="AS29" s="653"/>
      <c r="AT29" s="65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571"/>
      <c r="C30" s="571"/>
      <c r="D30" s="572"/>
      <c r="E30" s="612"/>
      <c r="F30" s="613"/>
      <c r="G30" s="613"/>
      <c r="H30" s="613"/>
      <c r="I30" s="614"/>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652"/>
      <c r="AP30" s="653"/>
      <c r="AQ30" s="653"/>
      <c r="AR30" s="653"/>
      <c r="AS30" s="653"/>
      <c r="AT30" s="654"/>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571"/>
      <c r="C31" s="571"/>
      <c r="D31" s="572"/>
      <c r="E31" s="612"/>
      <c r="F31" s="613"/>
      <c r="G31" s="613"/>
      <c r="H31" s="613"/>
      <c r="I31" s="614"/>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652"/>
      <c r="AP31" s="653"/>
      <c r="AQ31" s="653"/>
      <c r="AR31" s="653"/>
      <c r="AS31" s="653"/>
      <c r="AT31" s="65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571"/>
      <c r="C32" s="571"/>
      <c r="D32" s="572"/>
      <c r="E32" s="612"/>
      <c r="F32" s="613"/>
      <c r="G32" s="613"/>
      <c r="H32" s="613"/>
      <c r="I32" s="614"/>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652"/>
      <c r="AP32" s="653"/>
      <c r="AQ32" s="653"/>
      <c r="AR32" s="653"/>
      <c r="AS32" s="653"/>
      <c r="AT32" s="65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571"/>
      <c r="C33" s="571"/>
      <c r="D33" s="572"/>
      <c r="E33" s="612"/>
      <c r="F33" s="613"/>
      <c r="G33" s="613"/>
      <c r="H33" s="613"/>
      <c r="I33" s="614"/>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652"/>
      <c r="AP33" s="653"/>
      <c r="AQ33" s="653"/>
      <c r="AR33" s="653"/>
      <c r="AS33" s="653"/>
      <c r="AT33" s="65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571"/>
      <c r="C34" s="571"/>
      <c r="D34" s="572"/>
      <c r="E34" s="612"/>
      <c r="F34" s="613"/>
      <c r="G34" s="613"/>
      <c r="H34" s="613"/>
      <c r="I34" s="614"/>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652"/>
      <c r="AP34" s="653"/>
      <c r="AQ34" s="653"/>
      <c r="AR34" s="653"/>
      <c r="AS34" s="653"/>
      <c r="AT34" s="65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571"/>
      <c r="C35" s="571"/>
      <c r="D35" s="572"/>
      <c r="E35" s="615"/>
      <c r="F35" s="616"/>
      <c r="G35" s="616"/>
      <c r="H35" s="616"/>
      <c r="I35" s="617"/>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655"/>
      <c r="AP35" s="656"/>
      <c r="AQ35" s="656"/>
      <c r="AR35" s="656"/>
      <c r="AS35" s="656"/>
      <c r="AT35" s="657"/>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571"/>
      <c r="C36" s="571"/>
      <c r="D36" s="572"/>
      <c r="E36" s="609" t="s">
        <v>204</v>
      </c>
      <c r="F36" s="610"/>
      <c r="G36" s="610"/>
      <c r="H36" s="610"/>
      <c r="I36" s="610"/>
      <c r="J36" s="56" t="str">
        <f ca="1">IF(AND('Mapa riesgos'!$AD$13="Baja",'Mapa riesgos'!$AF$13="Leve"),CONCATENATE("R1C",'Mapa riesgos'!$T$13),"")</f>
        <v/>
      </c>
      <c r="K36" s="57" t="str">
        <f ca="1">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 ca="1">IF(AND('Mapa riesgos'!$AD$13="Baja",'Mapa riesgos'!$AF$13="Menor"),CONCATENATE("R1C",'Mapa riesgos'!$T$13),"")</f>
        <v/>
      </c>
      <c r="Q36" s="48" t="str">
        <f ca="1">IF(AND('Mapa riesgos'!$AD$14="Baja",'Mapa riesgos'!$AF$14="Menor"),CONCATENATE("R1C",'Mapa riesgos'!$T$14),"")</f>
        <v>R1C2</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 ca="1">IF(AND('Mapa riesgos'!$AD$13="Baja",'Mapa riesgos'!$AF$13="Moderado"),CONCATENATE("R1C",'Mapa riesgos'!$T$13),"")</f>
        <v/>
      </c>
      <c r="W36" s="48" t="str">
        <f ca="1">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 ca="1">IF(AND('Mapa riesgos'!$AD$13="Baja",'Mapa riesgos'!$AF$13="Mayor"),CONCATENATE("R1C",'Mapa riesgos'!$T$13),"")</f>
        <v/>
      </c>
      <c r="AC36" s="30" t="str">
        <f ca="1">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 ca="1">IF(AND('Mapa riesgos'!$AD$13="Baja",'Mapa riesgos'!$AF$13="Catastrófico"),CONCATENATE("R1C",'Mapa riesgos'!$T$13),"")</f>
        <v/>
      </c>
      <c r="AI36" s="33" t="str">
        <f ca="1">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640" t="s">
        <v>205</v>
      </c>
      <c r="AP36" s="641"/>
      <c r="AQ36" s="641"/>
      <c r="AR36" s="641"/>
      <c r="AS36" s="641"/>
      <c r="AT36" s="642"/>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571"/>
      <c r="C37" s="571"/>
      <c r="D37" s="572"/>
      <c r="E37" s="628"/>
      <c r="F37" s="613"/>
      <c r="G37" s="613"/>
      <c r="H37" s="613"/>
      <c r="I37" s="613"/>
      <c r="J37" s="59" t="str">
        <f ca="1">IF(AND('Mapa riesgos'!$AD$19="Baja",'Mapa riesgos'!$AF$19="Leve"),CONCATENATE("R2C",'Mapa riesgos'!$T$19),"")</f>
        <v/>
      </c>
      <c r="K37" s="60" t="str">
        <f ca="1">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 ca="1">IF(AND('Mapa riesgos'!$AD$19="Baja",'Mapa riesgos'!$AF$19="Menor"),CONCATENATE("R2C",'Mapa riesgos'!$T$19),"")</f>
        <v/>
      </c>
      <c r="Q37" s="51" t="str">
        <f ca="1">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 ca="1">IF(AND('Mapa riesgos'!$AD$19="Baja",'Mapa riesgos'!$AF$19="Moderado"),CONCATENATE("R2C",'Mapa riesgos'!$T$19),"")</f>
        <v/>
      </c>
      <c r="W37" s="51" t="str">
        <f ca="1">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 ca="1">IF(AND('Mapa riesgos'!$AD$19="Baja",'Mapa riesgos'!$AF$19="Mayor"),CONCATENATE("R2C",'Mapa riesgos'!$T$19),"")</f>
        <v/>
      </c>
      <c r="AC37" s="36" t="str">
        <f ca="1">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 ca="1">IF(AND('Mapa riesgos'!$AD$19="Baja",'Mapa riesgos'!$AF$19="Catastrófico"),CONCATENATE("R2C",'Mapa riesgos'!$T$19),"")</f>
        <v/>
      </c>
      <c r="AI37" s="39" t="str">
        <f ca="1">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643"/>
      <c r="AP37" s="644"/>
      <c r="AQ37" s="644"/>
      <c r="AR37" s="644"/>
      <c r="AS37" s="644"/>
      <c r="AT37" s="645"/>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571"/>
      <c r="C38" s="571"/>
      <c r="D38" s="572"/>
      <c r="E38" s="612"/>
      <c r="F38" s="613"/>
      <c r="G38" s="613"/>
      <c r="H38" s="613"/>
      <c r="I38" s="613"/>
      <c r="J38" s="59" t="str">
        <f ca="1">IF(AND('Mapa riesgos'!$AD$25="Baja",'Mapa riesgos'!$AF$25="Leve"),CONCATENATE("R3C",'Mapa riesgos'!$T$25),"")</f>
        <v/>
      </c>
      <c r="K38" s="60" t="str">
        <f ca="1">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 ca="1">IF(AND('Mapa riesgos'!$AD$25="Baja",'Mapa riesgos'!$AF$25="Menor"),CONCATENATE("R3C",'Mapa riesgos'!$T$25),"")</f>
        <v/>
      </c>
      <c r="Q38" s="51" t="str">
        <f ca="1">IF(AND('Mapa riesgos'!$AD$26="Baja",'Mapa riesgos'!$AF$26="Menor"),CONCATENATE("R3C",'Mapa riesgos'!$T$26),"")</f>
        <v>R3C2</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 ca="1">IF(AND('Mapa riesgos'!$AD$25="Baja",'Mapa riesgos'!$AF$25="Moderado"),CONCATENATE("R3C",'Mapa riesgos'!$T$25),"")</f>
        <v>R3C1</v>
      </c>
      <c r="W38" s="51" t="str">
        <f ca="1">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 ca="1">IF(AND('Mapa riesgos'!$AD$25="Baja",'Mapa riesgos'!$AF$25="Mayor"),CONCATENATE("R3C",'Mapa riesgos'!$T$25),"")</f>
        <v/>
      </c>
      <c r="AC38" s="36" t="str">
        <f ca="1">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 ca="1">IF(AND('Mapa riesgos'!$AD$25="Baja",'Mapa riesgos'!$AF$25="Catastrófico"),CONCATENATE("R3C",'Mapa riesgos'!$T$25),"")</f>
        <v/>
      </c>
      <c r="AI38" s="39" t="str">
        <f ca="1">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643"/>
      <c r="AP38" s="644"/>
      <c r="AQ38" s="644"/>
      <c r="AR38" s="644"/>
      <c r="AS38" s="644"/>
      <c r="AT38" s="645"/>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571"/>
      <c r="C39" s="571"/>
      <c r="D39" s="572"/>
      <c r="E39" s="612"/>
      <c r="F39" s="613"/>
      <c r="G39" s="613"/>
      <c r="H39" s="613"/>
      <c r="I39" s="613"/>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643"/>
      <c r="AP39" s="644"/>
      <c r="AQ39" s="644"/>
      <c r="AR39" s="644"/>
      <c r="AS39" s="644"/>
      <c r="AT39" s="645"/>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571"/>
      <c r="C40" s="571"/>
      <c r="D40" s="572"/>
      <c r="E40" s="612"/>
      <c r="F40" s="613"/>
      <c r="G40" s="613"/>
      <c r="H40" s="613"/>
      <c r="I40" s="613"/>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643"/>
      <c r="AP40" s="644"/>
      <c r="AQ40" s="644"/>
      <c r="AR40" s="644"/>
      <c r="AS40" s="644"/>
      <c r="AT40" s="645"/>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571"/>
      <c r="C41" s="571"/>
      <c r="D41" s="572"/>
      <c r="E41" s="612"/>
      <c r="F41" s="613"/>
      <c r="G41" s="613"/>
      <c r="H41" s="613"/>
      <c r="I41" s="613"/>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643"/>
      <c r="AP41" s="644"/>
      <c r="AQ41" s="644"/>
      <c r="AR41" s="644"/>
      <c r="AS41" s="644"/>
      <c r="AT41" s="645"/>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571"/>
      <c r="C42" s="571"/>
      <c r="D42" s="572"/>
      <c r="E42" s="612"/>
      <c r="F42" s="613"/>
      <c r="G42" s="613"/>
      <c r="H42" s="613"/>
      <c r="I42" s="613"/>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643"/>
      <c r="AP42" s="644"/>
      <c r="AQ42" s="644"/>
      <c r="AR42" s="644"/>
      <c r="AS42" s="644"/>
      <c r="AT42" s="645"/>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571"/>
      <c r="C43" s="571"/>
      <c r="D43" s="572"/>
      <c r="E43" s="612"/>
      <c r="F43" s="613"/>
      <c r="G43" s="613"/>
      <c r="H43" s="613"/>
      <c r="I43" s="613"/>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643"/>
      <c r="AP43" s="644"/>
      <c r="AQ43" s="644"/>
      <c r="AR43" s="644"/>
      <c r="AS43" s="644"/>
      <c r="AT43" s="645"/>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571"/>
      <c r="C44" s="571"/>
      <c r="D44" s="572"/>
      <c r="E44" s="612"/>
      <c r="F44" s="613"/>
      <c r="G44" s="613"/>
      <c r="H44" s="613"/>
      <c r="I44" s="613"/>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643"/>
      <c r="AP44" s="644"/>
      <c r="AQ44" s="644"/>
      <c r="AR44" s="644"/>
      <c r="AS44" s="644"/>
      <c r="AT44" s="645"/>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571"/>
      <c r="C45" s="571"/>
      <c r="D45" s="572"/>
      <c r="E45" s="615"/>
      <c r="F45" s="616"/>
      <c r="G45" s="616"/>
      <c r="H45" s="616"/>
      <c r="I45" s="616"/>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646"/>
      <c r="AP45" s="647"/>
      <c r="AQ45" s="647"/>
      <c r="AR45" s="647"/>
      <c r="AS45" s="647"/>
      <c r="AT45" s="648"/>
    </row>
    <row r="46" spans="1:80" ht="46.5" customHeight="1" x14ac:dyDescent="0.35">
      <c r="A46" s="66"/>
      <c r="B46" s="571"/>
      <c r="C46" s="571"/>
      <c r="D46" s="572"/>
      <c r="E46" s="609" t="s">
        <v>206</v>
      </c>
      <c r="F46" s="610"/>
      <c r="G46" s="610"/>
      <c r="H46" s="610"/>
      <c r="I46" s="611"/>
      <c r="J46" s="56" t="str">
        <f ca="1">IF(AND('Mapa riesgos'!$AD$13="Muy Baja",'Mapa riesgos'!$AF$13="Leve"),CONCATENATE("R1C",'Mapa riesgos'!$T$13),"")</f>
        <v/>
      </c>
      <c r="K46" s="57" t="str">
        <f ca="1">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 ca="1">IF(AND('Mapa riesgos'!$AD$13="Muy Baja",'Mapa riesgos'!$AF$13="Menor"),CONCATENATE("R1C",'Mapa riesgos'!$T$13),"")</f>
        <v/>
      </c>
      <c r="Q46" s="57" t="str">
        <f ca="1">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 ca="1">IF(AND('Mapa riesgos'!$AD$13="Muy Baja",'Mapa riesgos'!$AF$13="Moderado"),CONCATENATE("R1C",'Mapa riesgos'!$T$13),"")</f>
        <v/>
      </c>
      <c r="W46" s="65" t="str">
        <f ca="1">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 ca="1">IF(AND('Mapa riesgos'!$AD$13="Muy Baja",'Mapa riesgos'!$AF$13="Mayor"),CONCATENATE("R1C",'Mapa riesgos'!$T$13),"")</f>
        <v/>
      </c>
      <c r="AC46" s="30" t="str">
        <f ca="1">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 ca="1">IF(AND('Mapa riesgos'!$AD$13="Muy Baja",'Mapa riesgos'!$AF$13="Catastrófico"),CONCATENATE("R1C",'Mapa riesgos'!$T$13),"")</f>
        <v/>
      </c>
      <c r="AI46" s="33" t="str">
        <f ca="1">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571"/>
      <c r="C47" s="571"/>
      <c r="D47" s="572"/>
      <c r="E47" s="628"/>
      <c r="F47" s="613"/>
      <c r="G47" s="613"/>
      <c r="H47" s="613"/>
      <c r="I47" s="614"/>
      <c r="J47" s="59" t="str">
        <f ca="1">IF(AND('Mapa riesgos'!$AD$19="Muy Baja",'Mapa riesgos'!$AF$19="Leve"),CONCATENATE("R2C",'Mapa riesgos'!$T$19),"")</f>
        <v/>
      </c>
      <c r="K47" s="60" t="str">
        <f ca="1">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 ca="1">IF(AND('Mapa riesgos'!$AD$19="Muy Baja",'Mapa riesgos'!$AF$19="Menor"),CONCATENATE("R2C",'Mapa riesgos'!$T$19),"")</f>
        <v/>
      </c>
      <c r="Q47" s="60" t="str">
        <f ca="1">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 ca="1">IF(AND('Mapa riesgos'!$AD$19="Muy Baja",'Mapa riesgos'!$AF$19="Moderado"),CONCATENATE("R2C",'Mapa riesgos'!$T$19),"")</f>
        <v/>
      </c>
      <c r="W47" s="51" t="str">
        <f ca="1">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 ca="1">IF(AND('Mapa riesgos'!$AD$19="Muy Baja",'Mapa riesgos'!$AF$19="Mayor"),CONCATENATE("R2C",'Mapa riesgos'!$T$19),"")</f>
        <v/>
      </c>
      <c r="AC47" s="36" t="str">
        <f ca="1">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 ca="1">IF(AND('Mapa riesgos'!$AD$19="Muy Baja",'Mapa riesgos'!$AF$19="Catastrófico"),CONCATENATE("R2C",'Mapa riesgos'!$T$19),"")</f>
        <v/>
      </c>
      <c r="AI47" s="39" t="str">
        <f ca="1">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571"/>
      <c r="C48" s="571"/>
      <c r="D48" s="572"/>
      <c r="E48" s="628"/>
      <c r="F48" s="613"/>
      <c r="G48" s="613"/>
      <c r="H48" s="613"/>
      <c r="I48" s="614"/>
      <c r="J48" s="59" t="str">
        <f ca="1">IF(AND('Mapa riesgos'!$AD$25="Muy Baja",'Mapa riesgos'!$AF$25="Leve"),CONCATENATE("R3C",'Mapa riesgos'!$T$25),"")</f>
        <v/>
      </c>
      <c r="K48" s="60" t="str">
        <f ca="1">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 ca="1">IF(AND('Mapa riesgos'!$AD$25="Muy Baja",'Mapa riesgos'!$AF$25="Menor"),CONCATENATE("R3C",'Mapa riesgos'!$T$25),"")</f>
        <v/>
      </c>
      <c r="Q48" s="60" t="str">
        <f ca="1">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 ca="1">IF(AND('Mapa riesgos'!$AD$25="Muy Baja",'Mapa riesgos'!$AF$25="Moderado"),CONCATENATE("R3C",'Mapa riesgos'!$T$25),"")</f>
        <v/>
      </c>
      <c r="W48" s="51" t="str">
        <f ca="1">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 ca="1">IF(AND('Mapa riesgos'!$AD$25="Muy Baja",'Mapa riesgos'!$AF$25="Mayor"),CONCATENATE("R3C",'Mapa riesgos'!$T$25),"")</f>
        <v/>
      </c>
      <c r="AC48" s="36" t="str">
        <f ca="1">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 ca="1">IF(AND('Mapa riesgos'!$AD$25="Muy Baja",'Mapa riesgos'!$AF$25="Catastrófico"),CONCATENATE("R3C",'Mapa riesgos'!$T$25),"")</f>
        <v/>
      </c>
      <c r="AI48" s="39" t="str">
        <f ca="1">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571"/>
      <c r="C49" s="571"/>
      <c r="D49" s="572"/>
      <c r="E49" s="612"/>
      <c r="F49" s="613"/>
      <c r="G49" s="613"/>
      <c r="H49" s="613"/>
      <c r="I49" s="614"/>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571"/>
      <c r="C50" s="571"/>
      <c r="D50" s="572"/>
      <c r="E50" s="612"/>
      <c r="F50" s="613"/>
      <c r="G50" s="613"/>
      <c r="H50" s="613"/>
      <c r="I50" s="614"/>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571"/>
      <c r="C51" s="571"/>
      <c r="D51" s="572"/>
      <c r="E51" s="612"/>
      <c r="F51" s="613"/>
      <c r="G51" s="613"/>
      <c r="H51" s="613"/>
      <c r="I51" s="614"/>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571"/>
      <c r="C52" s="571"/>
      <c r="D52" s="572"/>
      <c r="E52" s="612"/>
      <c r="F52" s="613"/>
      <c r="G52" s="613"/>
      <c r="H52" s="613"/>
      <c r="I52" s="614"/>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571"/>
      <c r="C53" s="571"/>
      <c r="D53" s="572"/>
      <c r="E53" s="612"/>
      <c r="F53" s="613"/>
      <c r="G53" s="613"/>
      <c r="H53" s="613"/>
      <c r="I53" s="614"/>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571"/>
      <c r="C54" s="571"/>
      <c r="D54" s="572"/>
      <c r="E54" s="612"/>
      <c r="F54" s="613"/>
      <c r="G54" s="613"/>
      <c r="H54" s="613"/>
      <c r="I54" s="614"/>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571"/>
      <c r="C55" s="571"/>
      <c r="D55" s="572"/>
      <c r="E55" s="615"/>
      <c r="F55" s="616"/>
      <c r="G55" s="616"/>
      <c r="H55" s="616"/>
      <c r="I55" s="617"/>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09" t="s">
        <v>207</v>
      </c>
      <c r="K56" s="610"/>
      <c r="L56" s="610"/>
      <c r="M56" s="610"/>
      <c r="N56" s="610"/>
      <c r="O56" s="611"/>
      <c r="P56" s="609" t="s">
        <v>208</v>
      </c>
      <c r="Q56" s="610"/>
      <c r="R56" s="610"/>
      <c r="S56" s="610"/>
      <c r="T56" s="610"/>
      <c r="U56" s="611"/>
      <c r="V56" s="609" t="s">
        <v>209</v>
      </c>
      <c r="W56" s="610"/>
      <c r="X56" s="610"/>
      <c r="Y56" s="610"/>
      <c r="Z56" s="610"/>
      <c r="AA56" s="611"/>
      <c r="AB56" s="609" t="s">
        <v>210</v>
      </c>
      <c r="AC56" s="618"/>
      <c r="AD56" s="610"/>
      <c r="AE56" s="610"/>
      <c r="AF56" s="610"/>
      <c r="AG56" s="611"/>
      <c r="AH56" s="609" t="s">
        <v>211</v>
      </c>
      <c r="AI56" s="610"/>
      <c r="AJ56" s="610"/>
      <c r="AK56" s="610"/>
      <c r="AL56" s="610"/>
      <c r="AM56" s="611"/>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12"/>
      <c r="K57" s="613"/>
      <c r="L57" s="613"/>
      <c r="M57" s="613"/>
      <c r="N57" s="613"/>
      <c r="O57" s="614"/>
      <c r="P57" s="612"/>
      <c r="Q57" s="613"/>
      <c r="R57" s="613"/>
      <c r="S57" s="613"/>
      <c r="T57" s="613"/>
      <c r="U57" s="614"/>
      <c r="V57" s="612"/>
      <c r="W57" s="613"/>
      <c r="X57" s="613"/>
      <c r="Y57" s="613"/>
      <c r="Z57" s="613"/>
      <c r="AA57" s="614"/>
      <c r="AB57" s="612"/>
      <c r="AC57" s="613"/>
      <c r="AD57" s="613"/>
      <c r="AE57" s="613"/>
      <c r="AF57" s="613"/>
      <c r="AG57" s="614"/>
      <c r="AH57" s="612"/>
      <c r="AI57" s="613"/>
      <c r="AJ57" s="613"/>
      <c r="AK57" s="613"/>
      <c r="AL57" s="613"/>
      <c r="AM57" s="614"/>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12"/>
      <c r="K58" s="613"/>
      <c r="L58" s="613"/>
      <c r="M58" s="613"/>
      <c r="N58" s="613"/>
      <c r="O58" s="614"/>
      <c r="P58" s="612"/>
      <c r="Q58" s="613"/>
      <c r="R58" s="613"/>
      <c r="S58" s="613"/>
      <c r="T58" s="613"/>
      <c r="U58" s="614"/>
      <c r="V58" s="612"/>
      <c r="W58" s="613"/>
      <c r="X58" s="613"/>
      <c r="Y58" s="613"/>
      <c r="Z58" s="613"/>
      <c r="AA58" s="614"/>
      <c r="AB58" s="612"/>
      <c r="AC58" s="613"/>
      <c r="AD58" s="613"/>
      <c r="AE58" s="613"/>
      <c r="AF58" s="613"/>
      <c r="AG58" s="614"/>
      <c r="AH58" s="612"/>
      <c r="AI58" s="613"/>
      <c r="AJ58" s="613"/>
      <c r="AK58" s="613"/>
      <c r="AL58" s="613"/>
      <c r="AM58" s="614"/>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12"/>
      <c r="K59" s="613"/>
      <c r="L59" s="613"/>
      <c r="M59" s="613"/>
      <c r="N59" s="613"/>
      <c r="O59" s="614"/>
      <c r="P59" s="612"/>
      <c r="Q59" s="613"/>
      <c r="R59" s="613"/>
      <c r="S59" s="613"/>
      <c r="T59" s="613"/>
      <c r="U59" s="614"/>
      <c r="V59" s="612"/>
      <c r="W59" s="613"/>
      <c r="X59" s="613"/>
      <c r="Y59" s="613"/>
      <c r="Z59" s="613"/>
      <c r="AA59" s="614"/>
      <c r="AB59" s="612"/>
      <c r="AC59" s="613"/>
      <c r="AD59" s="613"/>
      <c r="AE59" s="613"/>
      <c r="AF59" s="613"/>
      <c r="AG59" s="614"/>
      <c r="AH59" s="612"/>
      <c r="AI59" s="613"/>
      <c r="AJ59" s="613"/>
      <c r="AK59" s="613"/>
      <c r="AL59" s="613"/>
      <c r="AM59" s="614"/>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12"/>
      <c r="K60" s="613"/>
      <c r="L60" s="613"/>
      <c r="M60" s="613"/>
      <c r="N60" s="613"/>
      <c r="O60" s="614"/>
      <c r="P60" s="612"/>
      <c r="Q60" s="613"/>
      <c r="R60" s="613"/>
      <c r="S60" s="613"/>
      <c r="T60" s="613"/>
      <c r="U60" s="614"/>
      <c r="V60" s="612"/>
      <c r="W60" s="613"/>
      <c r="X60" s="613"/>
      <c r="Y60" s="613"/>
      <c r="Z60" s="613"/>
      <c r="AA60" s="614"/>
      <c r="AB60" s="612"/>
      <c r="AC60" s="613"/>
      <c r="AD60" s="613"/>
      <c r="AE60" s="613"/>
      <c r="AF60" s="613"/>
      <c r="AG60" s="614"/>
      <c r="AH60" s="612"/>
      <c r="AI60" s="613"/>
      <c r="AJ60" s="613"/>
      <c r="AK60" s="613"/>
      <c r="AL60" s="613"/>
      <c r="AM60" s="614"/>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615"/>
      <c r="K61" s="616"/>
      <c r="L61" s="616"/>
      <c r="M61" s="616"/>
      <c r="N61" s="616"/>
      <c r="O61" s="617"/>
      <c r="P61" s="615"/>
      <c r="Q61" s="616"/>
      <c r="R61" s="616"/>
      <c r="S61" s="616"/>
      <c r="T61" s="616"/>
      <c r="U61" s="617"/>
      <c r="V61" s="615"/>
      <c r="W61" s="616"/>
      <c r="X61" s="616"/>
      <c r="Y61" s="616"/>
      <c r="Z61" s="616"/>
      <c r="AA61" s="617"/>
      <c r="AB61" s="615"/>
      <c r="AC61" s="616"/>
      <c r="AD61" s="616"/>
      <c r="AE61" s="616"/>
      <c r="AF61" s="616"/>
      <c r="AG61" s="617"/>
      <c r="AH61" s="615"/>
      <c r="AI61" s="616"/>
      <c r="AJ61" s="616"/>
      <c r="AK61" s="616"/>
      <c r="AL61" s="616"/>
      <c r="AM61" s="617"/>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C7" sqref="C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58" t="s">
        <v>213</v>
      </c>
      <c r="C1" s="658"/>
      <c r="D1" s="658"/>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214</v>
      </c>
      <c r="D3" s="4" t="s">
        <v>197</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215</v>
      </c>
      <c r="C4" s="6" t="s">
        <v>216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217</v>
      </c>
      <c r="C5" s="9" t="s">
        <v>218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219</v>
      </c>
      <c r="C6" s="9" t="s">
        <v>220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221</v>
      </c>
      <c r="C7" s="9" t="s">
        <v>222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223</v>
      </c>
      <c r="C8" s="9" t="s">
        <v>224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topLeftCell="A4" zoomScale="50" zoomScaleNormal="50" workbookViewId="0">
      <selection activeCell="C7" sqref="C7"/>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2" customFormat="1" ht="45.75" customHeight="1" x14ac:dyDescent="0.25">
      <c r="A2" s="180"/>
      <c r="B2" s="659" t="s">
        <v>225</v>
      </c>
      <c r="C2" s="659"/>
      <c r="D2" s="659"/>
      <c r="E2" s="659"/>
      <c r="F2" s="181"/>
      <c r="G2" s="180"/>
      <c r="H2" s="180"/>
      <c r="I2" s="180"/>
      <c r="J2" s="180"/>
      <c r="K2" s="180"/>
      <c r="L2" s="180"/>
      <c r="M2" s="180"/>
      <c r="N2" s="180"/>
      <c r="O2" s="180"/>
      <c r="P2" s="180"/>
      <c r="Q2" s="180"/>
      <c r="R2" s="180"/>
      <c r="S2" s="180"/>
      <c r="T2" s="180"/>
      <c r="U2" s="180"/>
    </row>
    <row r="3" spans="1:21" s="182" customFormat="1" ht="18.75" customHeight="1" x14ac:dyDescent="0.25">
      <c r="A3" s="180"/>
      <c r="B3" s="183"/>
      <c r="C3" s="180"/>
      <c r="D3" s="180"/>
      <c r="E3" s="180"/>
      <c r="F3" s="181"/>
      <c r="G3" s="180"/>
      <c r="H3" s="180"/>
      <c r="I3" s="180"/>
      <c r="J3" s="180"/>
      <c r="K3" s="180"/>
      <c r="L3" s="180"/>
      <c r="M3" s="180"/>
      <c r="N3" s="180"/>
      <c r="O3" s="180"/>
      <c r="P3" s="180"/>
      <c r="Q3" s="180"/>
      <c r="R3" s="180"/>
      <c r="S3" s="180"/>
      <c r="T3" s="180"/>
      <c r="U3" s="180"/>
    </row>
    <row r="4" spans="1:21" ht="67.5" customHeight="1" x14ac:dyDescent="0.25">
      <c r="A4" s="66"/>
      <c r="B4" s="106"/>
      <c r="C4" s="21" t="s">
        <v>226</v>
      </c>
      <c r="D4" s="21" t="s">
        <v>227</v>
      </c>
      <c r="E4" s="21" t="s">
        <v>228</v>
      </c>
      <c r="F4" s="112"/>
      <c r="G4" s="66"/>
      <c r="H4" s="66"/>
      <c r="I4" s="66"/>
      <c r="J4" s="66"/>
      <c r="K4" s="66"/>
      <c r="L4" s="66"/>
      <c r="M4" s="66"/>
      <c r="N4" s="66"/>
      <c r="O4" s="66"/>
      <c r="P4" s="66"/>
      <c r="Q4" s="66"/>
      <c r="R4" s="66"/>
      <c r="S4" s="66"/>
      <c r="T4" s="66"/>
      <c r="U4" s="66"/>
    </row>
    <row r="5" spans="1:21" ht="67.5" customHeight="1" x14ac:dyDescent="0.25">
      <c r="A5" s="86" t="s">
        <v>229</v>
      </c>
      <c r="B5" s="22" t="s">
        <v>230</v>
      </c>
      <c r="C5" s="27" t="s">
        <v>231</v>
      </c>
      <c r="D5" s="104" t="s">
        <v>232</v>
      </c>
      <c r="E5" s="243">
        <f>908526*130</f>
        <v>118108380</v>
      </c>
      <c r="F5" s="66"/>
      <c r="G5" s="66"/>
      <c r="H5" s="66"/>
      <c r="I5" s="66"/>
      <c r="J5" s="66"/>
      <c r="K5" s="66"/>
      <c r="L5" s="66"/>
      <c r="M5" s="66"/>
      <c r="N5" s="66"/>
      <c r="O5" s="66"/>
      <c r="P5" s="66"/>
      <c r="Q5" s="66"/>
      <c r="R5" s="66"/>
      <c r="S5" s="66"/>
      <c r="T5" s="66"/>
      <c r="U5" s="66"/>
    </row>
    <row r="6" spans="1:21" ht="129" customHeight="1" x14ac:dyDescent="0.25">
      <c r="A6" s="86" t="s">
        <v>233</v>
      </c>
      <c r="B6" s="23" t="s">
        <v>234</v>
      </c>
      <c r="C6" s="28" t="s">
        <v>235</v>
      </c>
      <c r="D6" s="105" t="s">
        <v>236</v>
      </c>
      <c r="E6" s="243">
        <f>908526*650</f>
        <v>590541900</v>
      </c>
      <c r="F6" s="66"/>
      <c r="G6" s="66"/>
      <c r="H6" s="66"/>
      <c r="I6" s="66"/>
      <c r="J6" s="66"/>
      <c r="K6" s="66"/>
      <c r="L6" s="66"/>
      <c r="M6" s="66"/>
      <c r="N6" s="66"/>
      <c r="O6" s="66"/>
      <c r="P6" s="66"/>
      <c r="Q6" s="66"/>
      <c r="R6" s="66"/>
      <c r="S6" s="66"/>
      <c r="T6" s="66"/>
      <c r="U6" s="66"/>
    </row>
    <row r="7" spans="1:21" ht="101.25" x14ac:dyDescent="0.25">
      <c r="A7" s="86" t="s">
        <v>203</v>
      </c>
      <c r="B7" s="24" t="s">
        <v>237</v>
      </c>
      <c r="C7" s="28" t="s">
        <v>238</v>
      </c>
      <c r="D7" s="105" t="s">
        <v>239</v>
      </c>
      <c r="E7" s="243">
        <f>908526*1300</f>
        <v>1181083800</v>
      </c>
      <c r="F7" s="66"/>
      <c r="G7" s="66"/>
      <c r="H7" s="66"/>
      <c r="I7" s="66"/>
      <c r="J7" s="66"/>
      <c r="K7" s="66"/>
      <c r="L7" s="66"/>
      <c r="M7" s="66"/>
      <c r="N7" s="66"/>
      <c r="O7" s="66"/>
      <c r="P7" s="66"/>
      <c r="Q7" s="66"/>
      <c r="R7" s="66"/>
      <c r="S7" s="66"/>
      <c r="T7" s="66"/>
      <c r="U7" s="66"/>
    </row>
    <row r="8" spans="1:21" ht="135" x14ac:dyDescent="0.25">
      <c r="A8" s="86" t="s">
        <v>240</v>
      </c>
      <c r="B8" s="25" t="s">
        <v>241</v>
      </c>
      <c r="C8" s="28" t="s">
        <v>242</v>
      </c>
      <c r="D8" s="105" t="s">
        <v>243</v>
      </c>
      <c r="E8" s="243">
        <f>908526*6500</f>
        <v>5905419000</v>
      </c>
      <c r="F8" s="66"/>
      <c r="G8" s="66"/>
      <c r="H8" s="66"/>
      <c r="I8" s="66"/>
      <c r="J8" s="66"/>
      <c r="K8" s="66"/>
      <c r="L8" s="66"/>
      <c r="M8" s="66"/>
      <c r="N8" s="66"/>
      <c r="O8" s="66"/>
      <c r="P8" s="66"/>
      <c r="Q8" s="66"/>
      <c r="R8" s="66"/>
      <c r="S8" s="66"/>
      <c r="T8" s="66"/>
      <c r="U8" s="66"/>
    </row>
    <row r="9" spans="1:21" ht="101.25" x14ac:dyDescent="0.25">
      <c r="A9" s="86" t="s">
        <v>244</v>
      </c>
      <c r="B9" s="26" t="s">
        <v>245</v>
      </c>
      <c r="C9" s="28" t="s">
        <v>246</v>
      </c>
      <c r="D9" s="105" t="s">
        <v>247</v>
      </c>
      <c r="E9" s="243"/>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248</v>
      </c>
      <c r="C12" s="108" t="s">
        <v>249</v>
      </c>
      <c r="D12" s="108" t="s">
        <v>250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251</v>
      </c>
      <c r="C13" s="108" t="s">
        <v>252</v>
      </c>
      <c r="D13" s="108" t="s">
        <v>164</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253</v>
      </c>
      <c r="D14" s="108" t="s">
        <v>190</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254</v>
      </c>
      <c r="D15" s="108" t="s">
        <v>255</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256</v>
      </c>
      <c r="D16" s="108" t="s">
        <v>257</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203</v>
      </c>
    </row>
    <row r="209" spans="1:8" x14ac:dyDescent="0.25">
      <c r="A209" s="66"/>
      <c r="B209" s="15"/>
      <c r="C209" s="15"/>
      <c r="D209" s="15"/>
      <c r="F209" s="114" t="s">
        <v>240</v>
      </c>
    </row>
    <row r="210" spans="1:8" ht="20.25" x14ac:dyDescent="0.25">
      <c r="A210" s="66"/>
      <c r="B210" s="16" t="s">
        <v>258</v>
      </c>
      <c r="C210" s="16" t="s">
        <v>259</v>
      </c>
      <c r="D210" s="19" t="s">
        <v>258</v>
      </c>
      <c r="E210" s="19" t="s">
        <v>259</v>
      </c>
      <c r="F210" s="114" t="s">
        <v>260</v>
      </c>
    </row>
    <row r="211" spans="1:8" ht="21" x14ac:dyDescent="0.35">
      <c r="A211" s="66"/>
      <c r="B211" s="17" t="s">
        <v>261</v>
      </c>
      <c r="C211" s="117" t="s">
        <v>262</v>
      </c>
      <c r="D211" s="116" t="s">
        <v>261</v>
      </c>
      <c r="F211" s="114" t="str">
        <f>IF(NOT(ISBLANK(D211)),D211,IF(NOT(ISBLANK(E211)),"     "&amp;E211,FALSE))</f>
        <v>Afectación Económica o presupuestal</v>
      </c>
      <c r="G211" t="s">
        <v>261</v>
      </c>
      <c r="H211" t="str">
        <f ca="1">IF(NOT(ISERROR(MATCH(G211,_xlfn.ANCHORARRAY(B222),0))),F224&amp;"Por favor no seleccionar los criterios de impacto",G211)</f>
        <v>Afectación Económica o presupuestal</v>
      </c>
    </row>
    <row r="212" spans="1:8" ht="21" x14ac:dyDescent="0.35">
      <c r="A212" s="66"/>
      <c r="B212" s="17" t="s">
        <v>261</v>
      </c>
      <c r="C212" s="117" t="s">
        <v>235</v>
      </c>
      <c r="E212" t="s">
        <v>262</v>
      </c>
      <c r="F212" s="114" t="str">
        <f t="shared" ref="F212:F222" si="0">IF(NOT(ISBLANK(D212)),D212,IF(NOT(ISBLANK(E212)),"     "&amp;E212,FALSE))</f>
        <v xml:space="preserve">     Afectación menor a 130 SMLMV .</v>
      </c>
    </row>
    <row r="213" spans="1:8" ht="21" x14ac:dyDescent="0.35">
      <c r="A213" s="66"/>
      <c r="B213" s="17" t="s">
        <v>261</v>
      </c>
      <c r="C213" s="117" t="s">
        <v>238</v>
      </c>
      <c r="E213" t="s">
        <v>235</v>
      </c>
      <c r="F213" s="114" t="str">
        <f t="shared" si="0"/>
        <v xml:space="preserve">     Entre 130 y 650 SMLMV </v>
      </c>
    </row>
    <row r="214" spans="1:8" ht="21" x14ac:dyDescent="0.35">
      <c r="A214" s="66"/>
      <c r="B214" s="17" t="s">
        <v>261</v>
      </c>
      <c r="C214" s="117" t="s">
        <v>242</v>
      </c>
      <c r="E214" t="s">
        <v>238</v>
      </c>
      <c r="F214" s="114" t="str">
        <f t="shared" si="0"/>
        <v xml:space="preserve">     Entre 650 y 1300 SMLMV </v>
      </c>
    </row>
    <row r="215" spans="1:8" ht="21" x14ac:dyDescent="0.35">
      <c r="A215" s="66"/>
      <c r="B215" s="17" t="s">
        <v>261</v>
      </c>
      <c r="C215" s="117" t="s">
        <v>246</v>
      </c>
      <c r="E215" t="s">
        <v>242</v>
      </c>
      <c r="F215" s="114" t="str">
        <f t="shared" si="0"/>
        <v xml:space="preserve">     Entre 1300 y 6500 SMLMV </v>
      </c>
    </row>
    <row r="216" spans="1:8" ht="21" x14ac:dyDescent="0.35">
      <c r="A216" s="66"/>
      <c r="B216" s="17" t="s">
        <v>227</v>
      </c>
      <c r="C216" s="117" t="s">
        <v>232</v>
      </c>
      <c r="E216" t="s">
        <v>246</v>
      </c>
      <c r="F216" s="114" t="str">
        <f t="shared" si="0"/>
        <v xml:space="preserve">     Mayor a 6500 SMLMV </v>
      </c>
    </row>
    <row r="217" spans="1:8" ht="63" x14ac:dyDescent="0.35">
      <c r="A217" s="66"/>
      <c r="B217" s="17" t="s">
        <v>227</v>
      </c>
      <c r="C217" s="117" t="s">
        <v>236</v>
      </c>
      <c r="D217" s="116" t="s">
        <v>227</v>
      </c>
      <c r="F217" s="114" t="str">
        <f t="shared" si="0"/>
        <v>Pérdida Reputacional</v>
      </c>
    </row>
    <row r="218" spans="1:8" ht="42" x14ac:dyDescent="0.35">
      <c r="A218" s="66"/>
      <c r="B218" s="17" t="s">
        <v>227</v>
      </c>
      <c r="C218" s="117" t="s">
        <v>239</v>
      </c>
      <c r="D218" s="116"/>
      <c r="E218" s="118" t="s">
        <v>232</v>
      </c>
      <c r="F218" s="114" t="str">
        <f t="shared" si="0"/>
        <v xml:space="preserve">     El riesgo afecta la imagen de alguna área de la organización</v>
      </c>
    </row>
    <row r="219" spans="1:8" ht="63" x14ac:dyDescent="0.35">
      <c r="A219" s="66"/>
      <c r="B219" s="17" t="s">
        <v>227</v>
      </c>
      <c r="C219" s="117" t="s">
        <v>263</v>
      </c>
      <c r="D219" s="116"/>
      <c r="E219" s="118" t="s">
        <v>236</v>
      </c>
      <c r="F219" s="114" t="str">
        <f t="shared" si="0"/>
        <v xml:space="preserve">     El riesgo afecta la imagen de la entidad internamente, de conocimiento general, nivel interno, de junta dircetiva y accionistas y/o de provedores</v>
      </c>
    </row>
    <row r="220" spans="1:8" ht="45" x14ac:dyDescent="0.35">
      <c r="A220" s="66"/>
      <c r="B220" s="17" t="s">
        <v>227</v>
      </c>
      <c r="C220" s="117" t="s">
        <v>247</v>
      </c>
      <c r="D220" s="116"/>
      <c r="E220" s="118" t="s">
        <v>239</v>
      </c>
      <c r="F220" s="114" t="str">
        <f t="shared" si="0"/>
        <v xml:space="preserve">     El riesgo afecta la imagen de la entidad con algunos usuarios de relevancia frente al logro de los objetivos</v>
      </c>
    </row>
    <row r="221" spans="1:8" ht="45" x14ac:dyDescent="0.25">
      <c r="A221" s="66"/>
      <c r="B221" s="18"/>
      <c r="C221" s="18"/>
      <c r="D221" s="116"/>
      <c r="E221" s="118" t="s">
        <v>263</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e">
        <f t="array" aca="1" ref="B222:B224" ca="1">_xlfn.UNIQUE(Tabla1[[#All],[Criterios]])</f>
        <v>#NAME?</v>
      </c>
      <c r="C222" s="18"/>
      <c r="D222" s="116"/>
      <c r="E222" s="118" t="s">
        <v>247</v>
      </c>
      <c r="F222" s="114" t="str">
        <f t="shared" si="0"/>
        <v xml:space="preserve">     El riesgo afecta la imagen de la entidad a nivel nacional, con efecto publicitarios sostenible a nivel país</v>
      </c>
    </row>
    <row r="223" spans="1:8" x14ac:dyDescent="0.25">
      <c r="A223" s="66"/>
      <c r="B223" s="18" t="e">
        <f ca="1"/>
        <v>#NAME?</v>
      </c>
      <c r="C223" s="18"/>
    </row>
    <row r="224" spans="1:8" x14ac:dyDescent="0.25">
      <c r="B224" s="18" t="e">
        <f ca="1"/>
        <v>#NAME?</v>
      </c>
      <c r="C224" s="18"/>
      <c r="F224" s="115" t="s">
        <v>264</v>
      </c>
    </row>
    <row r="225" spans="2:6" x14ac:dyDescent="0.25">
      <c r="B225" s="14"/>
      <c r="C225" s="14"/>
      <c r="F225" s="115" t="s">
        <v>265</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topLeftCell="A4" zoomScaleNormal="100" zoomScaleSheetLayoutView="90" workbookViewId="0">
      <selection activeCell="E16" sqref="E16"/>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661" t="s">
        <v>266</v>
      </c>
      <c r="C2" s="662"/>
      <c r="D2" s="662"/>
      <c r="E2" s="662"/>
      <c r="F2" s="663"/>
    </row>
    <row r="3" spans="2:6" ht="31.9" customHeight="1" x14ac:dyDescent="0.25">
      <c r="B3" s="664" t="s">
        <v>267</v>
      </c>
      <c r="C3" s="666" t="s">
        <v>268</v>
      </c>
      <c r="D3" s="666"/>
      <c r="E3" s="666" t="s">
        <v>269</v>
      </c>
      <c r="F3" s="668"/>
    </row>
    <row r="4" spans="2:6" ht="28.15" customHeight="1" thickBot="1" x14ac:dyDescent="0.3">
      <c r="B4" s="665"/>
      <c r="C4" s="667"/>
      <c r="D4" s="667"/>
      <c r="E4" s="156" t="s">
        <v>270</v>
      </c>
      <c r="F4" s="157" t="s">
        <v>271</v>
      </c>
    </row>
    <row r="5" spans="2:6" ht="23.25" customHeight="1" x14ac:dyDescent="0.25">
      <c r="B5" s="149">
        <v>1</v>
      </c>
      <c r="C5" s="669" t="s">
        <v>272</v>
      </c>
      <c r="D5" s="669"/>
      <c r="E5" s="289" t="s">
        <v>273</v>
      </c>
      <c r="F5" s="290"/>
    </row>
    <row r="6" spans="2:6" ht="33" customHeight="1" x14ac:dyDescent="0.25">
      <c r="B6" s="150">
        <v>2</v>
      </c>
      <c r="C6" s="660" t="s">
        <v>274</v>
      </c>
      <c r="D6" s="660"/>
      <c r="E6" s="291" t="s">
        <v>273</v>
      </c>
      <c r="F6" s="292"/>
    </row>
    <row r="7" spans="2:6" ht="39" customHeight="1" x14ac:dyDescent="0.25">
      <c r="B7" s="150">
        <v>3</v>
      </c>
      <c r="C7" s="660" t="s">
        <v>275</v>
      </c>
      <c r="D7" s="660"/>
      <c r="E7" s="291"/>
      <c r="F7" s="292" t="s">
        <v>273</v>
      </c>
    </row>
    <row r="8" spans="2:6" ht="24.75" customHeight="1" x14ac:dyDescent="0.25">
      <c r="B8" s="150">
        <v>4</v>
      </c>
      <c r="C8" s="660" t="s">
        <v>276</v>
      </c>
      <c r="D8" s="660"/>
      <c r="E8" s="291"/>
      <c r="F8" s="292" t="s">
        <v>273</v>
      </c>
    </row>
    <row r="9" spans="2:6" ht="23.25" customHeight="1" x14ac:dyDescent="0.25">
      <c r="B9" s="150">
        <v>5</v>
      </c>
      <c r="C9" s="660" t="s">
        <v>277</v>
      </c>
      <c r="D9" s="660"/>
      <c r="E9" s="291" t="s">
        <v>273</v>
      </c>
      <c r="F9" s="292"/>
    </row>
    <row r="10" spans="2:6" ht="23.25" customHeight="1" x14ac:dyDescent="0.25">
      <c r="B10" s="150">
        <v>6</v>
      </c>
      <c r="C10" s="660" t="s">
        <v>278</v>
      </c>
      <c r="D10" s="660"/>
      <c r="E10" s="291"/>
      <c r="F10" s="292" t="s">
        <v>273</v>
      </c>
    </row>
    <row r="11" spans="2:6" ht="23.25" customHeight="1" x14ac:dyDescent="0.25">
      <c r="B11" s="150">
        <v>7</v>
      </c>
      <c r="C11" s="660" t="s">
        <v>279</v>
      </c>
      <c r="D11" s="660"/>
      <c r="E11" s="291"/>
      <c r="F11" s="292" t="s">
        <v>273</v>
      </c>
    </row>
    <row r="12" spans="2:6" ht="25.5" customHeight="1" x14ac:dyDescent="0.25">
      <c r="B12" s="150">
        <v>8</v>
      </c>
      <c r="C12" s="660" t="s">
        <v>280</v>
      </c>
      <c r="D12" s="660"/>
      <c r="E12" s="291"/>
      <c r="F12" s="292" t="s">
        <v>273</v>
      </c>
    </row>
    <row r="13" spans="2:6" ht="23.25" customHeight="1" x14ac:dyDescent="0.25">
      <c r="B13" s="150">
        <v>9</v>
      </c>
      <c r="C13" s="660" t="s">
        <v>281</v>
      </c>
      <c r="D13" s="660"/>
      <c r="E13" s="291"/>
      <c r="F13" s="292" t="s">
        <v>273</v>
      </c>
    </row>
    <row r="14" spans="2:6" ht="23.25" customHeight="1" x14ac:dyDescent="0.25">
      <c r="B14" s="150">
        <v>10</v>
      </c>
      <c r="C14" s="660" t="s">
        <v>282</v>
      </c>
      <c r="D14" s="660"/>
      <c r="E14" s="291" t="s">
        <v>273</v>
      </c>
      <c r="F14" s="292"/>
    </row>
    <row r="15" spans="2:6" ht="23.25" customHeight="1" x14ac:dyDescent="0.25">
      <c r="B15" s="150">
        <v>11</v>
      </c>
      <c r="C15" s="660" t="s">
        <v>283</v>
      </c>
      <c r="D15" s="660"/>
      <c r="E15" s="291"/>
      <c r="F15" s="292" t="s">
        <v>273</v>
      </c>
    </row>
    <row r="16" spans="2:6" ht="23.25" customHeight="1" x14ac:dyDescent="0.25">
      <c r="B16" s="150">
        <v>12</v>
      </c>
      <c r="C16" s="660" t="s">
        <v>284</v>
      </c>
      <c r="D16" s="660"/>
      <c r="E16" s="291" t="s">
        <v>273</v>
      </c>
      <c r="F16" s="292"/>
    </row>
    <row r="17" spans="2:6" ht="23.25" customHeight="1" x14ac:dyDescent="0.25">
      <c r="B17" s="150">
        <v>13</v>
      </c>
      <c r="C17" s="660" t="s">
        <v>285</v>
      </c>
      <c r="D17" s="660"/>
      <c r="E17" s="291"/>
      <c r="F17" s="292" t="s">
        <v>273</v>
      </c>
    </row>
    <row r="18" spans="2:6" ht="23.25" customHeight="1" x14ac:dyDescent="0.25">
      <c r="B18" s="150">
        <v>14</v>
      </c>
      <c r="C18" s="660" t="s">
        <v>286</v>
      </c>
      <c r="D18" s="660"/>
      <c r="E18" s="291"/>
      <c r="F18" s="292" t="s">
        <v>273</v>
      </c>
    </row>
    <row r="19" spans="2:6" ht="23.25" customHeight="1" x14ac:dyDescent="0.25">
      <c r="B19" s="150">
        <v>15</v>
      </c>
      <c r="C19" s="660" t="s">
        <v>287</v>
      </c>
      <c r="D19" s="660"/>
      <c r="E19" s="291"/>
      <c r="F19" s="292" t="s">
        <v>273</v>
      </c>
    </row>
    <row r="20" spans="2:6" ht="23.25" customHeight="1" x14ac:dyDescent="0.25">
      <c r="B20" s="150">
        <v>16</v>
      </c>
      <c r="C20" s="660" t="s">
        <v>288</v>
      </c>
      <c r="D20" s="660"/>
      <c r="E20" s="291"/>
      <c r="F20" s="292" t="s">
        <v>273</v>
      </c>
    </row>
    <row r="21" spans="2:6" ht="23.25" customHeight="1" x14ac:dyDescent="0.25">
      <c r="B21" s="150">
        <v>17</v>
      </c>
      <c r="C21" s="660" t="s">
        <v>289</v>
      </c>
      <c r="D21" s="660"/>
      <c r="E21" s="291"/>
      <c r="F21" s="292" t="s">
        <v>273</v>
      </c>
    </row>
    <row r="22" spans="2:6" ht="23.25" customHeight="1" x14ac:dyDescent="0.25">
      <c r="B22" s="150">
        <v>18</v>
      </c>
      <c r="C22" s="674" t="s">
        <v>290</v>
      </c>
      <c r="D22" s="674"/>
      <c r="E22" s="291"/>
      <c r="F22" s="292" t="s">
        <v>273</v>
      </c>
    </row>
    <row r="23" spans="2:6" ht="23.25" customHeight="1" thickBot="1" x14ac:dyDescent="0.3">
      <c r="B23" s="150">
        <v>19</v>
      </c>
      <c r="C23" s="660" t="s">
        <v>291</v>
      </c>
      <c r="D23" s="660"/>
      <c r="E23" s="291"/>
      <c r="F23" s="292" t="s">
        <v>273</v>
      </c>
    </row>
    <row r="24" spans="2:6" ht="15.75" customHeight="1" thickBot="1" x14ac:dyDescent="0.3">
      <c r="B24" s="675" t="s">
        <v>292</v>
      </c>
      <c r="C24" s="670"/>
      <c r="D24" s="670"/>
      <c r="E24" s="670">
        <f>COUNTIF(E5:E23,"X")</f>
        <v>5</v>
      </c>
      <c r="F24" s="671"/>
    </row>
    <row r="25" spans="2:6" ht="45.75" customHeight="1" x14ac:dyDescent="0.25">
      <c r="B25" s="672" t="s">
        <v>293</v>
      </c>
      <c r="C25" s="672"/>
      <c r="D25" s="672"/>
      <c r="E25" s="672"/>
      <c r="F25" s="672"/>
    </row>
    <row r="26" spans="2:6" ht="9.75" customHeight="1" x14ac:dyDescent="0.25">
      <c r="B26" s="673"/>
      <c r="C26" s="673"/>
      <c r="D26" s="673"/>
      <c r="E26" s="673"/>
      <c r="F26" s="673"/>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2" ma:contentTypeDescription="Crear nuevo documento." ma:contentTypeScope="" ma:versionID="4b35cf558c1634996998c74adf6cdf05">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cbaef5bd7cc467d6e2cb50a14c684e8"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purl.org/dc/elements/1.1/"/>
    <ds:schemaRef ds:uri="http://schemas.microsoft.com/office/2006/documentManagement/types"/>
    <ds:schemaRef ds:uri="6fe3b173-4fd6-445e-9b3d-9121ea5e8dd2"/>
    <ds:schemaRef ds:uri="c944bc39-dfd9-4f1d-8737-6d74dd64575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73A6D286-2D09-4BD6-9E33-2CAD724459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Yenny Hasley Yazo Lozada</cp:lastModifiedBy>
  <cp:revision/>
  <dcterms:created xsi:type="dcterms:W3CDTF">2020-03-24T23:12:47Z</dcterms:created>
  <dcterms:modified xsi:type="dcterms:W3CDTF">2022-01-18T17:50:33Z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