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F:\UMV\Riesgos 2022\"/>
    </mc:Choice>
  </mc:AlternateContent>
  <bookViews>
    <workbookView xWindow="0" yWindow="0" windowWidth="24000" windowHeight="10215" tabRatio="766" activeTab="3"/>
  </bookViews>
  <sheets>
    <sheet name="Intructivo" sheetId="20" r:id="rId1"/>
    <sheet name="DOFA " sheetId="27" r:id="rId2"/>
    <sheet name="Revisión DOFA" sheetId="21" state="hidden" r:id="rId3"/>
    <sheet name="Mapa riesgos" sheetId="1" r:id="rId4"/>
    <sheet name="Matriz Calor Inherente" sheetId="18" r:id="rId5"/>
    <sheet name="Matriz Calor Residual" sheetId="19" r:id="rId6"/>
    <sheet name="Tabla probabilidad" sheetId="12" r:id="rId7"/>
    <sheet name="Tabla Impacto" sheetId="13" r:id="rId8"/>
    <sheet name="Impacto Corrupción " sheetId="22" r:id="rId9"/>
    <sheet name="Tipo de riesgos" sheetId="23" r:id="rId10"/>
    <sheet name="Amenazas" sheetId="28" r:id="rId11"/>
    <sheet name="Ejemplos de riesgos" sheetId="26" r:id="rId12"/>
    <sheet name="Tabla Valoración controles" sheetId="15" r:id="rId13"/>
    <sheet name="Opciones Tratamiento" sheetId="16" state="hidden" r:id="rId14"/>
    <sheet name="Hoja1" sheetId="11" state="hidden" r:id="rId15"/>
  </sheets>
  <externalReferences>
    <externalReference r:id="rId16"/>
    <externalReference r:id="rId17"/>
  </externalReferences>
  <definedNames>
    <definedName name="_xlnm.Print_Area" localSheetId="1">'DOFA '!$B$8:$E$17</definedName>
    <definedName name="_xlnm.Print_Area" localSheetId="8">'Impacto Corrupción '!$A$1:$G$26</definedName>
    <definedName name="_xlnm.Print_Area" localSheetId="3">'Mapa riesgos'!$A$1:$AP$30</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8">#REF!</definedName>
    <definedName name="impactoco">#REF!</definedName>
    <definedName name="infraestructura">#REF!</definedName>
    <definedName name="interno">#REF!</definedName>
    <definedName name="macroprocesos">#REF!</definedName>
    <definedName name="medio_ambientales">#REF!</definedName>
    <definedName name="opciondelriesgo" localSheetId="8">[1]FORMULAS!$K$4:$K$7</definedName>
    <definedName name="opciondelriesgo">[2]FORMULAS!$K$4:$K$7</definedName>
    <definedName name="personal">#REF!</definedName>
    <definedName name="políticos">#REF!</definedName>
    <definedName name="probabilidad" localSheetId="8">#REF!</definedName>
    <definedName name="probabilidad">[2]FORMULAS!$G$4:$G$8</definedName>
    <definedName name="proceso">#REF!</definedName>
    <definedName name="procesos" localSheetId="8">#REF!</definedName>
    <definedName name="procesos">[2]FORMULAS!$B$4:$B$21</definedName>
    <definedName name="sociales">#REF!</definedName>
    <definedName name="tecnología">#REF!</definedName>
    <definedName name="tecnológicos">#REF!</definedName>
    <definedName name="tipo_de_amenaza" localSheetId="8">[1]FORMULAS!$E$4:$E$11</definedName>
    <definedName name="tipo_de_amenaza">[2]FORMULAS!$E$4:$E$11</definedName>
    <definedName name="tipo_de_riesgos" localSheetId="8">[1]FORMULAS!$C$4:$C$6</definedName>
    <definedName name="tipo_de_riesgos">[2]FORMULAS!$C$4:$C$6</definedName>
    <definedName name="_xlnm.Print_Titles" localSheetId="1">'DOFA '!$9:$9</definedName>
    <definedName name="_xlnm.Print_Titles" localSheetId="3">'Mapa riesgos'!$1:$8</definedName>
  </definedNames>
  <calcPr calcId="191029"/>
  <pivotCaches>
    <pivotCache cacheId="0" r:id="rId1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31" i="1" l="1"/>
  <c r="M13" i="1" l="1"/>
  <c r="N13" i="1" s="1"/>
  <c r="V13" i="1" l="1"/>
  <c r="Y13" i="1"/>
  <c r="V14" i="1"/>
  <c r="Y14" i="1"/>
  <c r="V15" i="1"/>
  <c r="Y15" i="1"/>
  <c r="V16" i="1"/>
  <c r="Y16" i="1"/>
  <c r="V17" i="1"/>
  <c r="Y17" i="1"/>
  <c r="V18" i="1"/>
  <c r="AC18" i="1" s="1"/>
  <c r="AE18" i="1" s="1"/>
  <c r="Y18" i="1"/>
  <c r="P17" i="1"/>
  <c r="P15" i="1"/>
  <c r="P16" i="1"/>
  <c r="P18" i="1"/>
  <c r="P14" i="1"/>
  <c r="AG18" i="1" l="1"/>
  <c r="AF18" i="1" s="1"/>
  <c r="AC17" i="1"/>
  <c r="AE17" i="1" s="1"/>
  <c r="AG16" i="1"/>
  <c r="AF16" i="1" s="1"/>
  <c r="AC13" i="1"/>
  <c r="AE13" i="1" s="1"/>
  <c r="AC14" i="1" s="1"/>
  <c r="AD18" i="1"/>
  <c r="AG17" i="1"/>
  <c r="AF17" i="1" s="1"/>
  <c r="AC16" i="1"/>
  <c r="AD17" i="1" l="1"/>
  <c r="AH18" i="1"/>
  <c r="AG15" i="1"/>
  <c r="AF15" i="1" s="1"/>
  <c r="AD13" i="1"/>
  <c r="AD14" i="1"/>
  <c r="AE14" i="1"/>
  <c r="AC15" i="1" s="1"/>
  <c r="AD15" i="1" s="1"/>
  <c r="AD16" i="1"/>
  <c r="AH16" i="1" s="1"/>
  <c r="AE16" i="1"/>
  <c r="AH17" i="1"/>
  <c r="AH15" i="1" l="1"/>
  <c r="AE15" i="1"/>
  <c r="M55" i="1" l="1"/>
  <c r="W8" i="1" l="1"/>
  <c r="W7" i="1"/>
  <c r="W6" i="1"/>
  <c r="V19" i="1" l="1"/>
  <c r="V20" i="1"/>
  <c r="E24" i="22" l="1"/>
  <c r="E8" i="13"/>
  <c r="E7" i="13"/>
  <c r="E6" i="13"/>
  <c r="E5" i="13"/>
  <c r="P22" i="1"/>
  <c r="P71" i="1"/>
  <c r="P38" i="1"/>
  <c r="P54" i="1"/>
  <c r="P35" i="1"/>
  <c r="P32" i="1"/>
  <c r="P42" i="1"/>
  <c r="P47" i="1"/>
  <c r="P59" i="1"/>
  <c r="P64" i="1"/>
  <c r="P40" i="1"/>
  <c r="P70" i="1"/>
  <c r="P45" i="1"/>
  <c r="P30" i="1"/>
  <c r="P63" i="1"/>
  <c r="P28" i="1"/>
  <c r="P29" i="1"/>
  <c r="P57" i="1"/>
  <c r="P24" i="1"/>
  <c r="P58" i="1"/>
  <c r="P62" i="1"/>
  <c r="P69" i="1"/>
  <c r="P68" i="1"/>
  <c r="P21" i="1"/>
  <c r="P46" i="1"/>
  <c r="P44" i="1"/>
  <c r="P53" i="1"/>
  <c r="P50" i="1"/>
  <c r="P36" i="1"/>
  <c r="P39" i="1"/>
  <c r="P23" i="1"/>
  <c r="P51" i="1"/>
  <c r="P41" i="1"/>
  <c r="P72" i="1"/>
  <c r="P27" i="1"/>
  <c r="P26" i="1"/>
  <c r="P65" i="1"/>
  <c r="P48" i="1"/>
  <c r="P56" i="1"/>
  <c r="P33" i="1"/>
  <c r="P60" i="1"/>
  <c r="P34" i="1"/>
  <c r="P52" i="1"/>
  <c r="P66" i="1"/>
  <c r="P20" i="1"/>
  <c r="F222" i="13" l="1"/>
  <c r="F212" i="13"/>
  <c r="F213" i="13"/>
  <c r="F214" i="13"/>
  <c r="F215" i="13"/>
  <c r="F216" i="13"/>
  <c r="F217" i="13"/>
  <c r="F218" i="13"/>
  <c r="F219" i="13"/>
  <c r="F220" i="13"/>
  <c r="F221" i="13"/>
  <c r="F211" i="13"/>
  <c r="B222" i="13" a="1"/>
  <c r="B222" i="13" l="1"/>
  <c r="P13" i="1" s="1"/>
  <c r="Q13" i="1" s="1"/>
  <c r="V55" i="1"/>
  <c r="V50" i="1"/>
  <c r="V44" i="1"/>
  <c r="AG55" i="1" l="1"/>
  <c r="R13" i="1"/>
  <c r="AG13" i="1" s="1"/>
  <c r="S13"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AF13" i="1" l="1"/>
  <c r="AH13" i="1" s="1"/>
  <c r="AG14" i="1"/>
  <c r="AF14" i="1" s="1"/>
  <c r="AH14" i="1" s="1"/>
  <c r="Y72" i="1"/>
  <c r="V72" i="1"/>
  <c r="Y71" i="1"/>
  <c r="V71" i="1"/>
  <c r="Y70" i="1"/>
  <c r="V70" i="1"/>
  <c r="Y69" i="1"/>
  <c r="V69" i="1"/>
  <c r="Y68" i="1"/>
  <c r="V68" i="1"/>
  <c r="Y67" i="1"/>
  <c r="V67" i="1"/>
  <c r="M67" i="1"/>
  <c r="N67" i="1" s="1"/>
  <c r="Y66" i="1"/>
  <c r="V66" i="1"/>
  <c r="Y65" i="1"/>
  <c r="V65" i="1"/>
  <c r="AG66" i="1" s="1"/>
  <c r="Y64" i="1"/>
  <c r="V64" i="1"/>
  <c r="Y63" i="1"/>
  <c r="V63" i="1"/>
  <c r="AG64" i="1" s="1"/>
  <c r="Y62" i="1"/>
  <c r="V62" i="1"/>
  <c r="Y61" i="1"/>
  <c r="V61" i="1"/>
  <c r="M61" i="1"/>
  <c r="N61" i="1" s="1"/>
  <c r="Y60" i="1"/>
  <c r="V60" i="1"/>
  <c r="Y59" i="1"/>
  <c r="V59" i="1"/>
  <c r="Y58" i="1"/>
  <c r="V58" i="1"/>
  <c r="Y57" i="1"/>
  <c r="V57" i="1"/>
  <c r="Y56" i="1"/>
  <c r="V56" i="1"/>
  <c r="Y55" i="1"/>
  <c r="N55" i="1"/>
  <c r="Y54" i="1"/>
  <c r="V54" i="1"/>
  <c r="Y53" i="1"/>
  <c r="V53" i="1"/>
  <c r="Y52" i="1"/>
  <c r="V52" i="1"/>
  <c r="Y51" i="1"/>
  <c r="V51" i="1"/>
  <c r="Y50" i="1"/>
  <c r="Y49" i="1"/>
  <c r="V49" i="1"/>
  <c r="M49" i="1"/>
  <c r="N49" i="1" s="1"/>
  <c r="Y48" i="1"/>
  <c r="V48" i="1"/>
  <c r="Y47" i="1"/>
  <c r="V47" i="1"/>
  <c r="Y46" i="1"/>
  <c r="V46" i="1"/>
  <c r="Y45" i="1"/>
  <c r="V45" i="1"/>
  <c r="Y44" i="1"/>
  <c r="Y43" i="1"/>
  <c r="V43" i="1"/>
  <c r="M43" i="1"/>
  <c r="N43" i="1" s="1"/>
  <c r="Y42" i="1"/>
  <c r="V42" i="1"/>
  <c r="Y41" i="1"/>
  <c r="V41" i="1"/>
  <c r="Y40" i="1"/>
  <c r="V40" i="1"/>
  <c r="Y39" i="1"/>
  <c r="V39" i="1"/>
  <c r="Y38" i="1"/>
  <c r="V38" i="1"/>
  <c r="Y37" i="1"/>
  <c r="V37" i="1"/>
  <c r="M37" i="1"/>
  <c r="N37" i="1" s="1"/>
  <c r="Y36" i="1"/>
  <c r="V36" i="1"/>
  <c r="Y35" i="1"/>
  <c r="V35" i="1"/>
  <c r="Y34" i="1"/>
  <c r="V34" i="1"/>
  <c r="Y33" i="1"/>
  <c r="V33" i="1"/>
  <c r="Y32" i="1"/>
  <c r="V32" i="1"/>
  <c r="Y31" i="1"/>
  <c r="V31" i="1"/>
  <c r="N31" i="1"/>
  <c r="Y30" i="1"/>
  <c r="V30" i="1"/>
  <c r="Y29" i="1"/>
  <c r="V29" i="1"/>
  <c r="Y28" i="1"/>
  <c r="V28" i="1"/>
  <c r="Y27" i="1"/>
  <c r="V27" i="1"/>
  <c r="Y26" i="1"/>
  <c r="V26" i="1"/>
  <c r="Y25" i="1"/>
  <c r="V25" i="1"/>
  <c r="M25" i="1"/>
  <c r="N25" i="1" s="1"/>
  <c r="M19" i="1"/>
  <c r="Y24" i="1"/>
  <c r="V24" i="1"/>
  <c r="Y23" i="1"/>
  <c r="V23" i="1"/>
  <c r="Y22" i="1"/>
  <c r="V22" i="1"/>
  <c r="Y21" i="1"/>
  <c r="V21" i="1"/>
  <c r="Y20" i="1"/>
  <c r="Y19" i="1"/>
  <c r="AG23" i="1" l="1"/>
  <c r="AG28" i="1"/>
  <c r="AG30" i="1"/>
  <c r="AG39" i="1"/>
  <c r="AG41" i="1"/>
  <c r="AG47" i="1"/>
  <c r="AG53" i="1"/>
  <c r="AF53" i="1" s="1"/>
  <c r="AG59" i="1"/>
  <c r="AG70" i="1"/>
  <c r="AG72" i="1"/>
  <c r="AG34" i="1"/>
  <c r="AG36" i="1"/>
  <c r="AG63" i="1"/>
  <c r="AG65" i="1"/>
  <c r="AG68" i="1"/>
  <c r="AG67" i="1"/>
  <c r="AG32" i="1"/>
  <c r="AG22" i="1"/>
  <c r="AG21" i="1"/>
  <c r="AG24" i="1"/>
  <c r="AG27" i="1"/>
  <c r="AG29" i="1"/>
  <c r="AG38" i="1"/>
  <c r="AG37" i="1"/>
  <c r="AG40" i="1"/>
  <c r="AG42" i="1"/>
  <c r="AG46" i="1"/>
  <c r="AG45" i="1"/>
  <c r="AG48" i="1"/>
  <c r="AG52" i="1"/>
  <c r="AG51" i="1"/>
  <c r="AG54" i="1"/>
  <c r="AF54" i="1" s="1"/>
  <c r="AG58" i="1"/>
  <c r="AG60" i="1"/>
  <c r="AG69" i="1"/>
  <c r="AG71" i="1"/>
  <c r="AG26" i="1"/>
  <c r="AG57" i="1"/>
  <c r="AG56" i="1"/>
  <c r="AG33" i="1"/>
  <c r="AG35" i="1"/>
  <c r="AG44" i="1"/>
  <c r="AG43" i="1"/>
  <c r="AG50" i="1"/>
  <c r="AG49" i="1"/>
  <c r="AG62" i="1"/>
  <c r="AG61" i="1"/>
  <c r="N19" i="1"/>
  <c r="AC19" i="1" s="1"/>
  <c r="AC67" i="1"/>
  <c r="AC61" i="1"/>
  <c r="AC55" i="1"/>
  <c r="AC49" i="1"/>
  <c r="AC53" i="1"/>
  <c r="AC54" i="1"/>
  <c r="AC43" i="1"/>
  <c r="AC37" i="1"/>
  <c r="AC31" i="1"/>
  <c r="AC25" i="1"/>
  <c r="AD67" i="1" l="1"/>
  <c r="AE67" i="1"/>
  <c r="AC68" i="1" s="1"/>
  <c r="AD68" i="1" s="1"/>
  <c r="AD61" i="1"/>
  <c r="AE61" i="1"/>
  <c r="AC62" i="1" s="1"/>
  <c r="AE62" i="1" s="1"/>
  <c r="AC63" i="1" s="1"/>
  <c r="AD55" i="1"/>
  <c r="AE55" i="1"/>
  <c r="AC56" i="1" s="1"/>
  <c r="AE56" i="1" s="1"/>
  <c r="AC57" i="1" s="1"/>
  <c r="AD54" i="1"/>
  <c r="AE54" i="1"/>
  <c r="AD53" i="1"/>
  <c r="AE53" i="1"/>
  <c r="AD49" i="1"/>
  <c r="AE49" i="1"/>
  <c r="AD43" i="1"/>
  <c r="AE43" i="1"/>
  <c r="AC44" i="1" s="1"/>
  <c r="AE44" i="1" s="1"/>
  <c r="AC45" i="1" s="1"/>
  <c r="AD37" i="1"/>
  <c r="AE37" i="1"/>
  <c r="AD31" i="1"/>
  <c r="AE31" i="1"/>
  <c r="AC32" i="1" s="1"/>
  <c r="AE32" i="1" s="1"/>
  <c r="AC33" i="1" s="1"/>
  <c r="AD33" i="1" s="1"/>
  <c r="AD25" i="1"/>
  <c r="AE25" i="1"/>
  <c r="AC26" i="1" s="1"/>
  <c r="AD26" i="1" s="1"/>
  <c r="AD19" i="1"/>
  <c r="AE19" i="1"/>
  <c r="AC20" i="1" s="1"/>
  <c r="AD62" i="1" l="1"/>
  <c r="AD56" i="1"/>
  <c r="AE26" i="1"/>
  <c r="AC27" i="1" s="1"/>
  <c r="AD27" i="1" s="1"/>
  <c r="AD44" i="1"/>
  <c r="AD32" i="1"/>
  <c r="AD45" i="1"/>
  <c r="AE45" i="1"/>
  <c r="AE63" i="1"/>
  <c r="AC64" i="1" s="1"/>
  <c r="AD63" i="1"/>
  <c r="AE57" i="1"/>
  <c r="AC58" i="1" s="1"/>
  <c r="AD57" i="1"/>
  <c r="AE68" i="1"/>
  <c r="AC69" i="1" s="1"/>
  <c r="AC38" i="1"/>
  <c r="AC50" i="1"/>
  <c r="AE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H53" i="1"/>
  <c r="AH54" i="1"/>
  <c r="AD64" i="1" l="1"/>
  <c r="AE64" i="1"/>
  <c r="AD58" i="1"/>
  <c r="AE58" i="1"/>
  <c r="AC59" i="1" s="1"/>
  <c r="AE27" i="1"/>
  <c r="AC28" i="1" s="1"/>
  <c r="AE28" i="1" s="1"/>
  <c r="AD69" i="1"/>
  <c r="AE69" i="1"/>
  <c r="AC70" i="1" s="1"/>
  <c r="AD50" i="1"/>
  <c r="AE50" i="1"/>
  <c r="AC51" i="1" s="1"/>
  <c r="AD51" i="1" s="1"/>
  <c r="AC46" i="1"/>
  <c r="AD38" i="1"/>
  <c r="AE38" i="1"/>
  <c r="AC39" i="1" s="1"/>
  <c r="AD39" i="1" s="1"/>
  <c r="AC35" i="1"/>
  <c r="AD35" i="1" s="1"/>
  <c r="AC34" i="1"/>
  <c r="AD20" i="1"/>
  <c r="AE20" i="1"/>
  <c r="AC21" i="1" s="1"/>
  <c r="AD21" i="1" s="1"/>
  <c r="AE51" i="1" l="1"/>
  <c r="AC52" i="1" s="1"/>
  <c r="AD52" i="1" s="1"/>
  <c r="AE39" i="1"/>
  <c r="AC40" i="1" s="1"/>
  <c r="AE40" i="1" s="1"/>
  <c r="AC41" i="1" s="1"/>
  <c r="AD59" i="1"/>
  <c r="AE59" i="1"/>
  <c r="AC60" i="1" s="1"/>
  <c r="AC65" i="1"/>
  <c r="AC66" i="1"/>
  <c r="AD28" i="1"/>
  <c r="AD46" i="1"/>
  <c r="AE46" i="1"/>
  <c r="AC47" i="1" s="1"/>
  <c r="AD47" i="1" s="1"/>
  <c r="AC29" i="1"/>
  <c r="AE70" i="1"/>
  <c r="AD70" i="1"/>
  <c r="AD34" i="1"/>
  <c r="AE34" i="1"/>
  <c r="AE35" i="1"/>
  <c r="AC36" i="1" s="1"/>
  <c r="AE21" i="1"/>
  <c r="AC22" i="1" s="1"/>
  <c r="AD22" i="1" s="1"/>
  <c r="AE52" i="1" l="1"/>
  <c r="AD40" i="1"/>
  <c r="AD66" i="1"/>
  <c r="AE66" i="1"/>
  <c r="AD65" i="1"/>
  <c r="AE65" i="1"/>
  <c r="AD60" i="1"/>
  <c r="AE60" i="1"/>
  <c r="AC71" i="1"/>
  <c r="AC72" i="1"/>
  <c r="AE47" i="1"/>
  <c r="AC48" i="1" s="1"/>
  <c r="AD48" i="1" s="1"/>
  <c r="AE41" i="1"/>
  <c r="AC42" i="1" s="1"/>
  <c r="AD41" i="1"/>
  <c r="AD29" i="1"/>
  <c r="AE29" i="1"/>
  <c r="AC30" i="1" s="1"/>
  <c r="AD30" i="1" s="1"/>
  <c r="AD36" i="1"/>
  <c r="AE36" i="1"/>
  <c r="AE22" i="1"/>
  <c r="AC23" i="1" s="1"/>
  <c r="AE23" i="1" s="1"/>
  <c r="AC24" i="1" s="1"/>
  <c r="AD72" i="1" l="1"/>
  <c r="AE72" i="1"/>
  <c r="AD71" i="1"/>
  <c r="AE71" i="1"/>
  <c r="AD42" i="1"/>
  <c r="AE42" i="1"/>
  <c r="AE48" i="1"/>
  <c r="AE30" i="1"/>
  <c r="AD23" i="1"/>
  <c r="AD24" i="1"/>
  <c r="AE24" i="1"/>
  <c r="P43" i="1" l="1"/>
  <c r="Q43" i="1" s="1"/>
  <c r="P31" i="1"/>
  <c r="Q31" i="1" s="1"/>
  <c r="P25" i="1"/>
  <c r="Q25" i="1" s="1"/>
  <c r="P55" i="1"/>
  <c r="Q55" i="1" s="1"/>
  <c r="P49" i="1"/>
  <c r="Q49" i="1" s="1"/>
  <c r="P37" i="1"/>
  <c r="Q37" i="1" s="1"/>
  <c r="P67" i="1"/>
  <c r="Q67" i="1" s="1"/>
  <c r="P61" i="1"/>
  <c r="Q61" i="1" s="1"/>
  <c r="P19" i="1"/>
  <c r="Q19" i="1" s="1"/>
  <c r="Z42" i="18" l="1"/>
  <c r="N42" i="18"/>
  <c r="AF26" i="18"/>
  <c r="N26" i="18"/>
  <c r="AF18" i="18"/>
  <c r="T10" i="18"/>
  <c r="N34" i="18"/>
  <c r="T34" i="18"/>
  <c r="T18" i="18"/>
  <c r="Z18" i="18"/>
  <c r="Z10" i="18"/>
  <c r="AL18" i="18"/>
  <c r="Z26" i="18"/>
  <c r="S61" i="1"/>
  <c r="R61"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R55" i="1"/>
  <c r="AJ42" i="18"/>
  <c r="AJ18" i="18"/>
  <c r="AD26" i="18"/>
  <c r="L10" i="18"/>
  <c r="AD10" i="18"/>
  <c r="X18" i="18"/>
  <c r="AD42" i="18"/>
  <c r="L18" i="18"/>
  <c r="R10" i="18"/>
  <c r="S55" i="1"/>
  <c r="R67" i="1"/>
  <c r="AB36" i="18"/>
  <c r="AH12" i="18"/>
  <c r="P28" i="18"/>
  <c r="AH20" i="18"/>
  <c r="P36" i="18"/>
  <c r="V12" i="18"/>
  <c r="AH28" i="18"/>
  <c r="AB20" i="18"/>
  <c r="J12" i="18"/>
  <c r="J20" i="18"/>
  <c r="S67" i="1"/>
  <c r="P44" i="18"/>
  <c r="AB44" i="18"/>
  <c r="V28" i="18"/>
  <c r="V36" i="18"/>
  <c r="J28" i="18"/>
  <c r="AH36" i="18"/>
  <c r="J44" i="18"/>
  <c r="P12" i="18"/>
  <c r="AB12" i="18"/>
  <c r="V44" i="18"/>
  <c r="AH44" i="18"/>
  <c r="V20" i="18"/>
  <c r="P20" i="18"/>
  <c r="J36" i="18"/>
  <c r="AB28" i="18"/>
  <c r="T38" i="18"/>
  <c r="AF22" i="18"/>
  <c r="N38" i="18"/>
  <c r="AF30" i="18"/>
  <c r="AL6" i="18"/>
  <c r="Z6" i="18"/>
  <c r="S25" i="1"/>
  <c r="T14" i="18"/>
  <c r="T22" i="18"/>
  <c r="N6" i="18"/>
  <c r="AL30" i="18"/>
  <c r="Z22" i="18"/>
  <c r="Z14" i="18"/>
  <c r="R25" i="1"/>
  <c r="AG25" i="1" s="1"/>
  <c r="Z30" i="18"/>
  <c r="AL38" i="18"/>
  <c r="AL14" i="18"/>
  <c r="AF6" i="18"/>
  <c r="AL22" i="18"/>
  <c r="T30" i="18"/>
  <c r="Z38" i="18"/>
  <c r="AF14" i="18"/>
  <c r="N30" i="18"/>
  <c r="N14" i="18"/>
  <c r="N22" i="18"/>
  <c r="AF38" i="18"/>
  <c r="T6" i="18"/>
  <c r="R37" i="1"/>
  <c r="X32" i="18"/>
  <c r="AD32" i="18"/>
  <c r="AJ8" i="18"/>
  <c r="L16" i="18"/>
  <c r="R32" i="18"/>
  <c r="AJ32" i="18"/>
  <c r="S37" i="1"/>
  <c r="R40" i="18"/>
  <c r="AJ40" i="18"/>
  <c r="AD24" i="18"/>
  <c r="AJ24" i="18"/>
  <c r="R24" i="18"/>
  <c r="AJ16" i="18"/>
  <c r="AD8" i="18"/>
  <c r="L32" i="18"/>
  <c r="L40" i="18"/>
  <c r="R16" i="18"/>
  <c r="L24" i="18"/>
  <c r="AD16" i="18"/>
  <c r="L8" i="18"/>
  <c r="R8" i="18"/>
  <c r="X40" i="18"/>
  <c r="X8" i="18"/>
  <c r="X16" i="18"/>
  <c r="AD40" i="18"/>
  <c r="X24" i="18"/>
  <c r="R31" i="1"/>
  <c r="AG31" i="1" s="1"/>
  <c r="J40" i="18"/>
  <c r="J16" i="18"/>
  <c r="P16" i="18"/>
  <c r="V8" i="18"/>
  <c r="J8" i="18"/>
  <c r="J24" i="18"/>
  <c r="AH16" i="18"/>
  <c r="AB16" i="18"/>
  <c r="AB40" i="18"/>
  <c r="P32" i="18"/>
  <c r="P40" i="18"/>
  <c r="AH24" i="18"/>
  <c r="AB32" i="18"/>
  <c r="J32" i="18"/>
  <c r="V16" i="18"/>
  <c r="V40" i="18"/>
  <c r="AH32" i="18"/>
  <c r="V24" i="18"/>
  <c r="V32" i="18"/>
  <c r="AH8" i="18"/>
  <c r="AB8" i="18"/>
  <c r="P8" i="18"/>
  <c r="S31" i="1"/>
  <c r="AH40" i="18"/>
  <c r="AB24" i="18"/>
  <c r="P24" i="18"/>
  <c r="AD38" i="18"/>
  <c r="L30" i="18"/>
  <c r="AD30" i="18"/>
  <c r="AJ6" i="18"/>
  <c r="L14" i="18"/>
  <c r="L22" i="18"/>
  <c r="X6" i="18"/>
  <c r="L6" i="18"/>
  <c r="S19" i="1"/>
  <c r="R38" i="18"/>
  <c r="AJ38" i="18"/>
  <c r="L38" i="18"/>
  <c r="AD6" i="18"/>
  <c r="R6" i="18"/>
  <c r="AJ30" i="18"/>
  <c r="R30" i="18"/>
  <c r="AD22" i="18"/>
  <c r="AJ14" i="18"/>
  <c r="AJ22" i="18"/>
  <c r="AD14" i="18"/>
  <c r="X38" i="18"/>
  <c r="X14" i="18"/>
  <c r="R22" i="18"/>
  <c r="X22" i="18"/>
  <c r="R19" i="1"/>
  <c r="AG19" i="1" s="1"/>
  <c r="AG20" i="1" s="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R49" i="1"/>
  <c r="AH34" i="18"/>
  <c r="AH42" i="18"/>
  <c r="AH18" i="18"/>
  <c r="AB10" i="18"/>
  <c r="J26" i="18"/>
  <c r="V18" i="18"/>
  <c r="V42" i="18"/>
  <c r="J42" i="18"/>
  <c r="P10" i="18"/>
  <c r="AB26" i="18"/>
  <c r="J34" i="18"/>
  <c r="J18" i="18"/>
  <c r="AH10" i="18"/>
  <c r="AB34" i="18"/>
  <c r="P26" i="18"/>
  <c r="P34" i="18"/>
  <c r="V34" i="18"/>
  <c r="AH26" i="18"/>
  <c r="J10" i="18"/>
  <c r="S49" i="1"/>
  <c r="P18" i="18"/>
  <c r="AB42" i="18"/>
  <c r="V10" i="18"/>
  <c r="AB18" i="18"/>
  <c r="P42" i="18"/>
  <c r="V26" i="18"/>
  <c r="Z32" i="18"/>
  <c r="N24" i="18"/>
  <c r="AL32" i="18"/>
  <c r="AL40" i="18"/>
  <c r="N8" i="18"/>
  <c r="AF24" i="18"/>
  <c r="Z40" i="18"/>
  <c r="Z16" i="18"/>
  <c r="N32" i="18"/>
  <c r="T32" i="18"/>
  <c r="N40" i="18"/>
  <c r="T8" i="18"/>
  <c r="R43" i="1"/>
  <c r="AF32" i="18"/>
  <c r="AL8" i="18"/>
  <c r="T24" i="18"/>
  <c r="N16" i="18"/>
  <c r="T16" i="18"/>
  <c r="Z24" i="18"/>
  <c r="AF16" i="18"/>
  <c r="S43" i="1"/>
  <c r="T40" i="18"/>
  <c r="AF8" i="18"/>
  <c r="AL24" i="18"/>
  <c r="Z8" i="18"/>
  <c r="AF40" i="18"/>
  <c r="AL16" i="18"/>
  <c r="AF31" i="1" l="1"/>
  <c r="AF67" i="1"/>
  <c r="AF43" i="1"/>
  <c r="AF55" i="1"/>
  <c r="AF19" i="1"/>
  <c r="AF25" i="1"/>
  <c r="AF49" i="1"/>
  <c r="AF37" i="1"/>
  <c r="AF50" i="1" l="1"/>
  <c r="AF56" i="1"/>
  <c r="AF62" i="1"/>
  <c r="AF38" i="1"/>
  <c r="AF44" i="1"/>
  <c r="AF32" i="1"/>
  <c r="AF26" i="1"/>
  <c r="J40" i="19"/>
  <c r="V30" i="19"/>
  <c r="AH20" i="19"/>
  <c r="J30" i="19"/>
  <c r="V20" i="19"/>
  <c r="AH10" i="19"/>
  <c r="P10" i="19"/>
  <c r="AB50" i="19"/>
  <c r="J50" i="19"/>
  <c r="AB40" i="19"/>
  <c r="P30" i="19"/>
  <c r="V50" i="19"/>
  <c r="P50" i="19"/>
  <c r="AB10" i="19"/>
  <c r="AH30" i="19"/>
  <c r="AH40" i="19"/>
  <c r="J10" i="19"/>
  <c r="AB20" i="19"/>
  <c r="AH50" i="19"/>
  <c r="AH37" i="1"/>
  <c r="V10" i="19"/>
  <c r="P20" i="19"/>
  <c r="J20" i="19"/>
  <c r="P40" i="19"/>
  <c r="V40" i="19"/>
  <c r="AB30" i="19"/>
  <c r="J11" i="19"/>
  <c r="V11" i="19"/>
  <c r="AB21" i="19"/>
  <c r="P31" i="19"/>
  <c r="J31" i="19"/>
  <c r="AB41" i="19"/>
  <c r="AH43"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H67" i="1"/>
  <c r="P25" i="19"/>
  <c r="V55" i="19"/>
  <c r="J15" i="19"/>
  <c r="AB15" i="19"/>
  <c r="J35" i="19"/>
  <c r="AB35" i="19"/>
  <c r="J55" i="19"/>
  <c r="AB25" i="19"/>
  <c r="P35" i="19"/>
  <c r="P55" i="19"/>
  <c r="AB45" i="19"/>
  <c r="P15" i="19"/>
  <c r="J47" i="19"/>
  <c r="V27" i="19"/>
  <c r="AH7" i="19"/>
  <c r="P47" i="19"/>
  <c r="AB27" i="19"/>
  <c r="J17" i="19"/>
  <c r="V47" i="19"/>
  <c r="J37" i="19"/>
  <c r="AH19" i="1"/>
  <c r="AB37" i="19"/>
  <c r="J27" i="19"/>
  <c r="V7" i="19"/>
  <c r="AH37" i="19"/>
  <c r="P27" i="19"/>
  <c r="AB7" i="19"/>
  <c r="P17" i="19"/>
  <c r="V17" i="19"/>
  <c r="AH47" i="19"/>
  <c r="P37" i="19"/>
  <c r="AB17" i="19"/>
  <c r="J7" i="19"/>
  <c r="V37" i="19"/>
  <c r="AH17" i="19"/>
  <c r="P7" i="19"/>
  <c r="AH27" i="19"/>
  <c r="AB47" i="19"/>
  <c r="AH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F61" i="1"/>
  <c r="AH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25"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F45" i="1"/>
  <c r="V32" i="19"/>
  <c r="P42" i="19"/>
  <c r="J12" i="19"/>
  <c r="J32" i="19"/>
  <c r="AB52" i="19"/>
  <c r="AH49" i="1"/>
  <c r="J22" i="19"/>
  <c r="V22" i="19"/>
  <c r="J52" i="19"/>
  <c r="AH12" i="19"/>
  <c r="J42" i="19"/>
  <c r="AH42" i="19"/>
  <c r="P32" i="19"/>
  <c r="AB12" i="19"/>
  <c r="AH32" i="19"/>
  <c r="AB32" i="19"/>
  <c r="AB42" i="19"/>
  <c r="V42" i="19"/>
  <c r="V12" i="19"/>
  <c r="V52" i="19"/>
  <c r="AB22" i="19"/>
  <c r="AH52" i="19"/>
  <c r="AH22" i="19"/>
  <c r="P22" i="19"/>
  <c r="P12" i="19"/>
  <c r="P52" i="19"/>
  <c r="AF51" i="1"/>
  <c r="AF20" i="1"/>
  <c r="AF68" i="1" l="1"/>
  <c r="K45" i="19" s="1"/>
  <c r="AF52" i="1"/>
  <c r="S12" i="19" s="1"/>
  <c r="W37" i="19"/>
  <c r="AI7" i="19"/>
  <c r="W17" i="19"/>
  <c r="W27" i="19"/>
  <c r="Q47" i="19"/>
  <c r="W7" i="19"/>
  <c r="AI17" i="19"/>
  <c r="K47" i="19"/>
  <c r="AI47" i="19"/>
  <c r="Q27" i="19"/>
  <c r="AC27" i="19"/>
  <c r="AC47" i="19"/>
  <c r="AC37" i="19"/>
  <c r="AI37" i="19"/>
  <c r="AH20" i="1"/>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H62"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H44" i="1"/>
  <c r="P54" i="19"/>
  <c r="AH14" i="19"/>
  <c r="AB14" i="19"/>
  <c r="AH34" i="19"/>
  <c r="AB54" i="19"/>
  <c r="AH54" i="19"/>
  <c r="AH61"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H51" i="1"/>
  <c r="AD12" i="19"/>
  <c r="AD32" i="19"/>
  <c r="AD22" i="19"/>
  <c r="X52" i="19"/>
  <c r="AD52" i="19"/>
  <c r="L42" i="19"/>
  <c r="R42" i="19"/>
  <c r="AJ21" i="19"/>
  <c r="AD31" i="19"/>
  <c r="R21" i="19"/>
  <c r="AD41" i="19"/>
  <c r="AJ11" i="19"/>
  <c r="AJ51" i="19"/>
  <c r="AH45" i="1"/>
  <c r="L41" i="19"/>
  <c r="AD11" i="19"/>
  <c r="L21" i="19"/>
  <c r="L11" i="19"/>
  <c r="X51" i="19"/>
  <c r="X21" i="19"/>
  <c r="R11" i="19"/>
  <c r="R31" i="19"/>
  <c r="AJ41" i="19"/>
  <c r="L31" i="19"/>
  <c r="R51" i="19"/>
  <c r="X31" i="19"/>
  <c r="X11" i="19"/>
  <c r="X41" i="19"/>
  <c r="AJ31" i="19"/>
  <c r="AD51" i="19"/>
  <c r="R41" i="19"/>
  <c r="AD21" i="19"/>
  <c r="L51" i="19"/>
  <c r="AF21" i="1"/>
  <c r="AF33" i="1"/>
  <c r="AF57" i="1"/>
  <c r="K42" i="19"/>
  <c r="AC32" i="19"/>
  <c r="W42" i="19"/>
  <c r="AI52" i="19"/>
  <c r="K22" i="19"/>
  <c r="Q32" i="19"/>
  <c r="AI12" i="19"/>
  <c r="AC52" i="19"/>
  <c r="Q42" i="19"/>
  <c r="AC42" i="19"/>
  <c r="K12" i="19"/>
  <c r="Q22" i="19"/>
  <c r="W52" i="19"/>
  <c r="AI42" i="19"/>
  <c r="W32" i="19"/>
  <c r="AI22" i="19"/>
  <c r="W12" i="19"/>
  <c r="AI32" i="19"/>
  <c r="AC12" i="19"/>
  <c r="Q12" i="19"/>
  <c r="Q52" i="19"/>
  <c r="AH50" i="1"/>
  <c r="K32" i="19"/>
  <c r="W22" i="19"/>
  <c r="K52" i="19"/>
  <c r="AC22" i="19"/>
  <c r="AC40" i="19"/>
  <c r="W10" i="19"/>
  <c r="AC50" i="19"/>
  <c r="Q10" i="19"/>
  <c r="Q30" i="19"/>
  <c r="W50" i="19"/>
  <c r="K40" i="19"/>
  <c r="Q50" i="19"/>
  <c r="W20" i="19"/>
  <c r="AH38"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F63" i="1"/>
  <c r="K39" i="19"/>
  <c r="AC39" i="19"/>
  <c r="W29" i="19"/>
  <c r="AI49" i="19"/>
  <c r="W9" i="19"/>
  <c r="AC19" i="19"/>
  <c r="Q49" i="19"/>
  <c r="W49" i="19"/>
  <c r="AC9" i="19"/>
  <c r="AI9" i="19"/>
  <c r="Q29" i="19"/>
  <c r="W39" i="19"/>
  <c r="Q39" i="19"/>
  <c r="AH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H56" i="1"/>
  <c r="Q33" i="19"/>
  <c r="AI23" i="19"/>
  <c r="K53" i="19"/>
  <c r="AC23" i="19"/>
  <c r="AC13" i="19"/>
  <c r="W23" i="19"/>
  <c r="W33" i="19"/>
  <c r="Q13" i="19"/>
  <c r="W13" i="19"/>
  <c r="AI13" i="19"/>
  <c r="Q43" i="19"/>
  <c r="Q23" i="19"/>
  <c r="W53" i="19"/>
  <c r="M12" i="19"/>
  <c r="AK42" i="19"/>
  <c r="AE32" i="19"/>
  <c r="AH52" i="1"/>
  <c r="Y52" i="19"/>
  <c r="S22" i="19"/>
  <c r="AK52" i="19"/>
  <c r="M22" i="19"/>
  <c r="AK32" i="19"/>
  <c r="AE22" i="19"/>
  <c r="AE42" i="19"/>
  <c r="S42" i="19"/>
  <c r="AF46" i="1"/>
  <c r="AF48" i="1"/>
  <c r="AF47" i="1"/>
  <c r="AF39"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H26" i="1"/>
  <c r="S52" i="19" l="1"/>
  <c r="AK22" i="19"/>
  <c r="AK12" i="19"/>
  <c r="AE52" i="19"/>
  <c r="Y42" i="19"/>
  <c r="Q55" i="19"/>
  <c r="Y22" i="19"/>
  <c r="Y32" i="19"/>
  <c r="AE12" i="19"/>
  <c r="M52" i="19"/>
  <c r="Y12" i="19"/>
  <c r="S32" i="19"/>
  <c r="M32" i="19"/>
  <c r="M42" i="19"/>
  <c r="W45" i="19"/>
  <c r="K25" i="19"/>
  <c r="W55" i="19"/>
  <c r="AI25" i="19"/>
  <c r="AI45" i="19"/>
  <c r="Q25" i="19"/>
  <c r="AH68" i="1"/>
  <c r="AC35" i="19"/>
  <c r="AI15" i="19"/>
  <c r="Q35" i="19"/>
  <c r="W25" i="19"/>
  <c r="AC25" i="19"/>
  <c r="AI55" i="19"/>
  <c r="K15" i="19"/>
  <c r="Q15" i="19"/>
  <c r="K35" i="19"/>
  <c r="W35" i="19"/>
  <c r="W15" i="19"/>
  <c r="AC15" i="19"/>
  <c r="Q45" i="19"/>
  <c r="AC55" i="19"/>
  <c r="K55" i="19"/>
  <c r="AC45" i="19"/>
  <c r="AI35" i="19"/>
  <c r="AF69" i="1"/>
  <c r="AF27" i="1"/>
  <c r="R18" i="19" s="1"/>
  <c r="R40" i="19"/>
  <c r="AD10" i="19"/>
  <c r="X40" i="19"/>
  <c r="AJ10" i="19"/>
  <c r="R50" i="19"/>
  <c r="X10" i="19"/>
  <c r="R30" i="19"/>
  <c r="AH39" i="1"/>
  <c r="L10" i="19"/>
  <c r="L50" i="19"/>
  <c r="AJ20" i="19"/>
  <c r="AJ40" i="19"/>
  <c r="AD30" i="19"/>
  <c r="R20" i="19"/>
  <c r="AD50" i="19"/>
  <c r="AJ30" i="19"/>
  <c r="AJ50" i="19"/>
  <c r="X30" i="19"/>
  <c r="AD20" i="19"/>
  <c r="L40" i="19"/>
  <c r="X50" i="19"/>
  <c r="X20" i="19"/>
  <c r="AD40" i="19"/>
  <c r="R10" i="19"/>
  <c r="L30" i="19"/>
  <c r="L20" i="19"/>
  <c r="AF58" i="1"/>
  <c r="AF72" i="1"/>
  <c r="AD47" i="19"/>
  <c r="AJ27" i="19"/>
  <c r="AD27" i="19"/>
  <c r="AJ7" i="19"/>
  <c r="AJ37" i="19"/>
  <c r="L27" i="19"/>
  <c r="AD17" i="19"/>
  <c r="L37" i="19"/>
  <c r="R17" i="19"/>
  <c r="AJ17" i="19"/>
  <c r="X7" i="19"/>
  <c r="X47" i="19"/>
  <c r="L7" i="19"/>
  <c r="L17" i="19"/>
  <c r="R27" i="19"/>
  <c r="X27" i="19"/>
  <c r="R7" i="19"/>
  <c r="X17" i="19"/>
  <c r="AJ47" i="19"/>
  <c r="L47" i="19"/>
  <c r="R37" i="19"/>
  <c r="AD7" i="19"/>
  <c r="X37" i="19"/>
  <c r="AH21" i="1"/>
  <c r="R47" i="19"/>
  <c r="AD37" i="19"/>
  <c r="AF29" i="1"/>
  <c r="AF28" i="1"/>
  <c r="AF30" i="1"/>
  <c r="AJ43" i="19"/>
  <c r="AD33" i="19"/>
  <c r="X33" i="19"/>
  <c r="X13" i="19"/>
  <c r="AD43" i="19"/>
  <c r="L43" i="19"/>
  <c r="AH57" i="1"/>
  <c r="X23" i="19"/>
  <c r="R33" i="19"/>
  <c r="R43" i="19"/>
  <c r="AD53" i="19"/>
  <c r="AJ13" i="19"/>
  <c r="R23" i="19"/>
  <c r="R13" i="19"/>
  <c r="AJ53" i="19"/>
  <c r="L33" i="19"/>
  <c r="L23" i="19"/>
  <c r="X43" i="19"/>
  <c r="X53" i="19"/>
  <c r="AD13" i="19"/>
  <c r="L53" i="19"/>
  <c r="L13" i="19"/>
  <c r="AD23" i="19"/>
  <c r="AJ33" i="19"/>
  <c r="AJ23" i="19"/>
  <c r="R53" i="19"/>
  <c r="AF22" i="1"/>
  <c r="Z11" i="19"/>
  <c r="AF31" i="19"/>
  <c r="T51" i="19"/>
  <c r="N51" i="19"/>
  <c r="Z41" i="19"/>
  <c r="AF21" i="19"/>
  <c r="AL31" i="19"/>
  <c r="T31" i="19"/>
  <c r="Z31" i="19"/>
  <c r="N21" i="19"/>
  <c r="N31" i="19"/>
  <c r="AL11" i="19"/>
  <c r="T11" i="19"/>
  <c r="AF11" i="19"/>
  <c r="AL41" i="19"/>
  <c r="T21" i="19"/>
  <c r="Z21" i="19"/>
  <c r="AL51" i="19"/>
  <c r="N11" i="19"/>
  <c r="AF51" i="19"/>
  <c r="N41" i="19"/>
  <c r="Z51" i="19"/>
  <c r="AH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H48" i="1"/>
  <c r="AG11" i="19"/>
  <c r="AM41" i="19"/>
  <c r="AA21" i="19"/>
  <c r="AA51" i="19"/>
  <c r="U51" i="19"/>
  <c r="U31" i="19"/>
  <c r="AA11" i="19"/>
  <c r="AG21" i="19"/>
  <c r="O31" i="19"/>
  <c r="AF64" i="1"/>
  <c r="AF34" i="1"/>
  <c r="AF35" i="1"/>
  <c r="AF36"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F40" i="1"/>
  <c r="AE11" i="19"/>
  <c r="Y41" i="19"/>
  <c r="M41" i="19"/>
  <c r="Y21" i="19"/>
  <c r="AK41" i="19"/>
  <c r="S31" i="19"/>
  <c r="M31" i="19"/>
  <c r="M51" i="19"/>
  <c r="Y51" i="19"/>
  <c r="AK21" i="19"/>
  <c r="AK31" i="19"/>
  <c r="Y11" i="19"/>
  <c r="AE41" i="19"/>
  <c r="AE21" i="19"/>
  <c r="S51" i="19"/>
  <c r="AE51" i="19"/>
  <c r="AK51" i="19"/>
  <c r="M21" i="19"/>
  <c r="AE31" i="19"/>
  <c r="AH46" i="1"/>
  <c r="S41" i="19"/>
  <c r="AK11" i="19"/>
  <c r="S11" i="19"/>
  <c r="Y31" i="19"/>
  <c r="S21" i="19"/>
  <c r="M11" i="19"/>
  <c r="L54" i="19"/>
  <c r="AJ14" i="19"/>
  <c r="AD44" i="19"/>
  <c r="X54" i="19"/>
  <c r="R14" i="19"/>
  <c r="AD24" i="19"/>
  <c r="AD34" i="19"/>
  <c r="R54" i="19"/>
  <c r="L34" i="19"/>
  <c r="AJ34" i="19"/>
  <c r="X24" i="19"/>
  <c r="AJ24" i="19"/>
  <c r="X44" i="19"/>
  <c r="R24" i="19"/>
  <c r="AH63" i="1"/>
  <c r="X34" i="19"/>
  <c r="L14" i="19"/>
  <c r="AD14" i="19"/>
  <c r="L44" i="19"/>
  <c r="R44" i="19"/>
  <c r="AD54" i="19"/>
  <c r="X14" i="19"/>
  <c r="AJ44" i="19"/>
  <c r="R34" i="19"/>
  <c r="AJ54" i="19"/>
  <c r="L24" i="19"/>
  <c r="AD29" i="19"/>
  <c r="AD19" i="19"/>
  <c r="R39" i="19"/>
  <c r="R9" i="19"/>
  <c r="X49" i="19"/>
  <c r="X9" i="19"/>
  <c r="AD39" i="19"/>
  <c r="R29" i="19"/>
  <c r="L49" i="19"/>
  <c r="X19" i="19"/>
  <c r="X29" i="19"/>
  <c r="X39" i="19"/>
  <c r="L9" i="19"/>
  <c r="AH33" i="1"/>
  <c r="AD9" i="19"/>
  <c r="AJ49" i="19"/>
  <c r="L39" i="19"/>
  <c r="R19" i="19"/>
  <c r="AJ39" i="19"/>
  <c r="AJ29" i="19"/>
  <c r="AJ19" i="19"/>
  <c r="AJ9" i="19"/>
  <c r="AD49" i="19"/>
  <c r="L19" i="19"/>
  <c r="L29" i="19"/>
  <c r="R49" i="19"/>
  <c r="R15" i="19" l="1"/>
  <c r="R55" i="19"/>
  <c r="AD25" i="19"/>
  <c r="L55" i="19"/>
  <c r="AJ35" i="19"/>
  <c r="X55" i="19"/>
  <c r="X35" i="19"/>
  <c r="AH69" i="1"/>
  <c r="AD15" i="19"/>
  <c r="X25" i="19"/>
  <c r="X45" i="19"/>
  <c r="L35" i="19"/>
  <c r="R35" i="19"/>
  <c r="AJ15" i="19"/>
  <c r="L15" i="19"/>
  <c r="AJ25" i="19"/>
  <c r="AJ55" i="19"/>
  <c r="L45" i="19"/>
  <c r="AD35" i="19"/>
  <c r="R25" i="19"/>
  <c r="AD45" i="19"/>
  <c r="R45" i="19"/>
  <c r="AD55" i="19"/>
  <c r="X15" i="19"/>
  <c r="L25" i="19"/>
  <c r="AJ45" i="19"/>
  <c r="AF71" i="1"/>
  <c r="Z35" i="19" s="1"/>
  <c r="AF70" i="1"/>
  <c r="AJ48" i="19"/>
  <c r="L18" i="19"/>
  <c r="AD8" i="19"/>
  <c r="AJ8" i="19"/>
  <c r="AJ28" i="19"/>
  <c r="R48" i="19"/>
  <c r="X48" i="19"/>
  <c r="L8" i="19"/>
  <c r="AD28" i="19"/>
  <c r="X38" i="19"/>
  <c r="AH27" i="1"/>
  <c r="X8" i="19"/>
  <c r="L48" i="19"/>
  <c r="AD48" i="19"/>
  <c r="AD38" i="19"/>
  <c r="X18" i="19"/>
  <c r="R38" i="19"/>
  <c r="R8" i="19"/>
  <c r="L38" i="19"/>
  <c r="R28" i="19"/>
  <c r="AJ38" i="19"/>
  <c r="AD18" i="19"/>
  <c r="L28" i="19"/>
  <c r="AJ18" i="19"/>
  <c r="X28" i="19"/>
  <c r="AF41" i="1"/>
  <c r="AF42" i="1"/>
  <c r="AG39" i="19"/>
  <c r="AG29" i="19"/>
  <c r="AM19" i="19"/>
  <c r="O39" i="19"/>
  <c r="AH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H64" i="1"/>
  <c r="AE24" i="19"/>
  <c r="S14" i="19"/>
  <c r="AK17" i="19"/>
  <c r="S27" i="19"/>
  <c r="S37" i="19"/>
  <c r="AE27" i="19"/>
  <c r="Y47" i="19"/>
  <c r="S7" i="19"/>
  <c r="M17" i="19"/>
  <c r="AE17" i="19"/>
  <c r="AK27" i="19"/>
  <c r="Y7" i="19"/>
  <c r="Y37" i="19"/>
  <c r="AE37" i="19"/>
  <c r="Y27" i="19"/>
  <c r="M47" i="19"/>
  <c r="AH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H28" i="1"/>
  <c r="AE28" i="19"/>
  <c r="AA55" i="19"/>
  <c r="O45" i="19"/>
  <c r="AA15" i="19"/>
  <c r="AM55" i="19"/>
  <c r="O55" i="19"/>
  <c r="AG35" i="19"/>
  <c r="AM25" i="19"/>
  <c r="AM35" i="19"/>
  <c r="AA25" i="19"/>
  <c r="AM45" i="19"/>
  <c r="AG25" i="19"/>
  <c r="AA35" i="19"/>
  <c r="O25" i="19"/>
  <c r="U25" i="19"/>
  <c r="AG45" i="19"/>
  <c r="U35" i="19"/>
  <c r="AA45" i="19"/>
  <c r="AM15" i="19"/>
  <c r="U45" i="19"/>
  <c r="O35" i="19"/>
  <c r="O15" i="19"/>
  <c r="AH72" i="1"/>
  <c r="AG15" i="19"/>
  <c r="U15" i="19"/>
  <c r="AG55" i="19"/>
  <c r="U55" i="19"/>
  <c r="AE40" i="19"/>
  <c r="Y30" i="19"/>
  <c r="M20" i="19"/>
  <c r="AH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H35" i="1"/>
  <c r="T19" i="19"/>
  <c r="AL49" i="19"/>
  <c r="T29" i="19"/>
  <c r="AF29" i="19"/>
  <c r="T18" i="19"/>
  <c r="N48" i="19"/>
  <c r="N8" i="19"/>
  <c r="T28" i="19"/>
  <c r="AF38" i="19"/>
  <c r="Z28" i="19"/>
  <c r="Z18" i="19"/>
  <c r="AF8" i="19"/>
  <c r="AH29"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H34" i="1"/>
  <c r="M9" i="19"/>
  <c r="Y29" i="19"/>
  <c r="AF59" i="1"/>
  <c r="AF60"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F65" i="1"/>
  <c r="AF66" i="1"/>
  <c r="AF24" i="1"/>
  <c r="AF23" i="1"/>
  <c r="O8" i="19"/>
  <c r="AA48" i="19"/>
  <c r="AM38" i="19"/>
  <c r="U48" i="19"/>
  <c r="AA18" i="19"/>
  <c r="AG18" i="19"/>
  <c r="AG48" i="19"/>
  <c r="AM18" i="19"/>
  <c r="AA28" i="19"/>
  <c r="AG28" i="19"/>
  <c r="AA8" i="19"/>
  <c r="U18" i="19"/>
  <c r="AG38" i="19"/>
  <c r="U38" i="19"/>
  <c r="AM8" i="19"/>
  <c r="AA38" i="19"/>
  <c r="AM48" i="19"/>
  <c r="U28" i="19"/>
  <c r="O38" i="19"/>
  <c r="U8" i="19"/>
  <c r="AG8" i="19"/>
  <c r="AH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H58"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H71"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H70"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H66" i="1"/>
  <c r="AA14" i="19"/>
  <c r="O54" i="19"/>
  <c r="U44" i="19"/>
  <c r="U43" i="19"/>
  <c r="U13" i="19"/>
  <c r="AM53" i="19"/>
  <c r="AA53" i="19"/>
  <c r="AA43" i="19"/>
  <c r="O53" i="19"/>
  <c r="O23" i="19"/>
  <c r="O13" i="19"/>
  <c r="AG43" i="19"/>
  <c r="U33" i="19"/>
  <c r="U23" i="19"/>
  <c r="AM13" i="19"/>
  <c r="AM23" i="19"/>
  <c r="AG13" i="19"/>
  <c r="AA23" i="19"/>
  <c r="AG33" i="19"/>
  <c r="AA33" i="19"/>
  <c r="AM33" i="19"/>
  <c r="AA13" i="19"/>
  <c r="AH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H65" i="1"/>
  <c r="AF53" i="19"/>
  <c r="T43" i="19"/>
  <c r="Z53" i="19"/>
  <c r="N43" i="19"/>
  <c r="T23" i="19"/>
  <c r="AF43" i="19"/>
  <c r="Z13" i="19"/>
  <c r="Z43" i="19"/>
  <c r="AF23" i="19"/>
  <c r="AL13" i="19"/>
  <c r="Z23" i="19"/>
  <c r="AL43" i="19"/>
  <c r="AF13" i="19"/>
  <c r="AL23" i="19"/>
  <c r="N13" i="19"/>
  <c r="T33" i="19"/>
  <c r="AL53" i="19"/>
  <c r="N23" i="19"/>
  <c r="N53" i="19"/>
  <c r="AF33" i="19"/>
  <c r="N33" i="19"/>
  <c r="AH59" i="1"/>
  <c r="T53" i="19"/>
  <c r="AL33" i="19"/>
  <c r="T13" i="19"/>
  <c r="Z33" i="19"/>
  <c r="Z47" i="19"/>
  <c r="T7" i="19"/>
  <c r="AL37" i="19"/>
  <c r="T17" i="19"/>
  <c r="Z17" i="19"/>
  <c r="AF7" i="19"/>
  <c r="AF37" i="19"/>
  <c r="N17" i="19"/>
  <c r="AF27" i="19"/>
  <c r="AH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H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H24" i="1"/>
  <c r="AA17" i="19"/>
  <c r="O7" i="19"/>
  <c r="AA37" i="19"/>
  <c r="AA27" i="19"/>
  <c r="AM27" i="19"/>
  <c r="U17" i="19"/>
  <c r="U47" i="19"/>
  <c r="AG17" i="19"/>
  <c r="O47" i="19"/>
  <c r="Z40" i="19"/>
  <c r="AH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4" i="13"/>
  <c r="B223"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<sst xmlns="http://schemas.openxmlformats.org/spreadsheetml/2006/main" count="711" uniqueCount="455">
  <si>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</si>
  <si>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</si>
  <si>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</si>
  <si>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</si>
  <si>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</si>
  <si>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</si>
  <si>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</si>
  <si>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</si>
  <si>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</si>
  <si>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</si>
  <si>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</si>
  <si>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</si>
  <si>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</si>
  <si>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</si>
  <si>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</si>
  <si>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</si>
  <si>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</si>
  <si>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</si>
  <si>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</si>
  <si>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</si>
  <si>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</si>
  <si>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</si>
  <si>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</si>
  <si>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</si>
  <si>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</si>
  <si>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</si>
  <si>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</si>
  <si>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</si>
  <si>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</si>
  <si>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</si>
  <si>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</si>
  <si>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</si>
  <si>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</si>
  <si>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</si>
  <si>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</si>
  <si>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</si>
  <si>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</si>
  <si>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</si>
  <si>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</si>
  <si>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</si>
  <si>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</si>
  <si>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</si>
  <si>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</si>
  <si>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</si>
  <si>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</si>
  <si>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</si>
  <si>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</si>
  <si>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</si>
  <si>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</si>
  <si>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</si>
  <si>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</si>
  <si>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</si>
  <si>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</si>
  <si>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</si>
  <si>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</si>
  <si>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</si>
  <si>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</si>
  <si>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</si>
  <si>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</si>
  <si>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</si>
  <si>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1. Direccionamiento estratégico e innovación</t>
  </si>
  <si>
    <t>2. Atención a partes interesadas y comunicaciones</t>
  </si>
  <si>
    <t>3. Estrategia y gobierno de TI</t>
  </si>
  <si>
    <t>4. Planificación de la intervención vial</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</si>
  <si>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</si>
  <si>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</si>
  <si>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</si>
  <si>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</si>
  <si>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</si>
  <si>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</si>
  <si>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</si>
  <si>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</si>
  <si>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</si>
  <si>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</si>
  <si>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</si>
  <si>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</si>
  <si>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FORMATO DEBILIDADES, OPORTUNIDADES, FORTALEZAS Y AMENAZAS -DOFA DE PROCESO</t>
  </si>
  <si>
    <t>CÓDIGO: DESI-FM-029</t>
  </si>
  <si>
    <t>PROCESO:</t>
  </si>
  <si>
    <t>DEPENDENCIA</t>
  </si>
  <si>
    <t>CONTEXTO  DE PROCESO</t>
  </si>
  <si>
    <t>FACTORES INTERNOS Y EXTERNOS</t>
  </si>
  <si>
    <t>ORIGEN</t>
  </si>
  <si>
    <t>FORTALEZAS Y/O OPORTUNIDADES</t>
  </si>
  <si>
    <t>DEBILIDADES Y/O AMENAZAS</t>
  </si>
  <si>
    <t>DISEÑO DEL PROCESO:</t>
  </si>
  <si>
    <t>INTERACCIONES CON OTROS PROCESOS:</t>
  </si>
  <si>
    <t>TRANSVERSALIDAD</t>
  </si>
  <si>
    <t>PROCEDIMIENTOS ASOCIADOS:</t>
  </si>
  <si>
    <t xml:space="preserve">RESPONSABLES DEL PROCESO: </t>
  </si>
  <si>
    <t>COMUNICACIÓN ENTRE LOS PROCESOS:</t>
  </si>
  <si>
    <t>ACTIVOS DE SEGURIDAD DIGITAL DEL PROCESO:</t>
  </si>
  <si>
    <t>Riesgo asociado</t>
  </si>
  <si>
    <t>FACTORES INTERNOS</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</si>
  <si>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</si>
  <si>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</si>
  <si>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</si>
  <si>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</si>
  <si>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</si>
  <si>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</si>
  <si>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</si>
  <si>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</si>
  <si>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</si>
  <si>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</si>
  <si>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</si>
  <si>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</si>
  <si>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</si>
  <si>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</si>
  <si>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FORMATO MAPA RIESGOS DE PROCESO</t>
  </si>
  <si>
    <t>CÓDIGO: DESI-FM-018</t>
  </si>
  <si>
    <t>VERSIÓN: 10</t>
  </si>
  <si>
    <t xml:space="preserve">                CÓDIGO: DESI-FM-018</t>
  </si>
  <si>
    <t>Proceso:</t>
  </si>
  <si>
    <t>Objetivo:</t>
  </si>
  <si>
    <t>Alcance:</t>
  </si>
  <si>
    <t>Identificación del riesgo</t>
  </si>
  <si>
    <t>Análisis del riesgo inherente</t>
  </si>
  <si>
    <t>Evaluación del riesgo - Valoración de los controles</t>
  </si>
  <si>
    <t>Evaluación del riesgo - Nivel del riesgo residual</t>
  </si>
  <si>
    <t>Plan de Acción</t>
  </si>
  <si>
    <t>ACCION DE CONTINGENCIA</t>
  </si>
  <si>
    <t xml:space="preserve">Referencia </t>
  </si>
  <si>
    <t>Tipo de riesgo</t>
  </si>
  <si>
    <t>Tipo de activo</t>
  </si>
  <si>
    <t>Activo de información</t>
  </si>
  <si>
    <t>Tipo de amenaza</t>
  </si>
  <si>
    <t>Amenaza</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</si>
  <si>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</si>
  <si>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</si>
  <si>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</si>
  <si>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</si>
  <si>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</si>
  <si>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</si>
  <si>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</si>
  <si>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</si>
  <si>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</si>
  <si>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</si>
  <si>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</si>
  <si>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</si>
  <si>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</si>
  <si>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</si>
  <si>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</si>
  <si>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</si>
  <si>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</si>
  <si>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</si>
  <si>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</si>
  <si>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Tipo</t>
  </si>
  <si>
    <t>Implementación</t>
  </si>
  <si>
    <t>Calificación</t>
  </si>
  <si>
    <t>Documentación</t>
  </si>
  <si>
    <t>Frecuencia</t>
  </si>
  <si>
    <t>Evidencia</t>
  </si>
  <si>
    <t>Económico y Reputacional</t>
  </si>
  <si>
    <t>Gestión</t>
  </si>
  <si>
    <t>Ejecucion y Administracion de procesos</t>
  </si>
  <si>
    <t xml:space="preserve">     El riesgo afecta la imagen de la entidad con algunos usuarios de relevancia frente al logro de los objetivos</t>
  </si>
  <si>
    <t>Preventivo</t>
  </si>
  <si>
    <t>Manual</t>
  </si>
  <si>
    <t>Detectivo</t>
  </si>
  <si>
    <t>Reducir (mitigar)</t>
  </si>
  <si>
    <t>Documentado</t>
  </si>
  <si>
    <t>Continua</t>
  </si>
  <si>
    <t>Con Registro</t>
  </si>
  <si>
    <t>Reputacional</t>
  </si>
  <si>
    <t>Corrupción</t>
  </si>
  <si>
    <t>Fraude Interno</t>
  </si>
  <si>
    <t>Seguridad Digital</t>
  </si>
  <si>
    <t xml:space="preserve">Pérdida de la confidencialidad </t>
  </si>
  <si>
    <t>INFORMACIÓN</t>
  </si>
  <si>
    <t>Acciones no autorizadas </t>
  </si>
  <si>
    <t>Uso no autorizado del equipo </t>
  </si>
  <si>
    <t xml:space="preserve">Pérdida de la disponibilidad </t>
  </si>
  <si>
    <t>Fallas técnicas </t>
  </si>
  <si>
    <t>Económico</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</si>
  <si>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</si>
  <si>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</si>
  <si>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</si>
  <si>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</si>
  <si>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</si>
  <si>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</si>
  <si>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</si>
  <si>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</si>
  <si>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</si>
  <si>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</si>
  <si>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</si>
  <si>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</si>
  <si>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</si>
  <si>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</si>
  <si>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</si>
  <si>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</si>
  <si>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</si>
  <si>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</si>
  <si>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</si>
  <si>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</si>
  <si>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</si>
  <si>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</si>
  <si>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</si>
  <si>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</si>
  <si>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</si>
  <si>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</si>
  <si>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</si>
  <si>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</si>
  <si>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</si>
  <si>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</si>
  <si>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</si>
  <si>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</si>
  <si>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</si>
  <si>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</si>
  <si>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</si>
  <si>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</si>
  <si>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</si>
  <si>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</si>
  <si>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</si>
  <si>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</si>
  <si>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</si>
  <si>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</si>
  <si>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</si>
  <si>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</si>
  <si>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</si>
  <si>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</si>
  <si>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</si>
  <si>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</si>
  <si>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</si>
  <si>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</si>
  <si>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</si>
  <si>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</si>
  <si>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</si>
  <si>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</si>
  <si>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</si>
  <si>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</si>
  <si>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</si>
  <si>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</si>
  <si>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</si>
  <si>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</si>
  <si>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</si>
  <si>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</si>
  <si>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</si>
  <si>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</si>
  <si>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</si>
  <si>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</si>
  <si>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</si>
  <si>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</si>
  <si>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</si>
  <si>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</si>
  <si>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</si>
  <si>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</si>
  <si>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</si>
  <si>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</si>
  <si>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</si>
  <si>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</si>
  <si>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</si>
  <si>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</si>
  <si>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</si>
  <si>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</si>
  <si>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</si>
  <si>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</si>
  <si>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</si>
  <si>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</si>
  <si>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</si>
  <si>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</si>
  <si>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</si>
  <si>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</si>
  <si>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</si>
  <si>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</si>
  <si>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</si>
  <si>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</si>
  <si>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</si>
  <si>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</si>
  <si>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</si>
  <si>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</si>
  <si>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</si>
  <si>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</si>
  <si>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</si>
  <si>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</si>
  <si>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</si>
  <si>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</si>
  <si>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</si>
  <si>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</si>
  <si>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</si>
  <si>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</si>
  <si>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</si>
  <si>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</si>
  <si>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</si>
  <si>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</si>
  <si>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Soborno</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</si>
  <si>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</si>
  <si>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</si>
  <si>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</si>
  <si>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 xml:space="preserve">Pérdida de la integridad </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</si>
  <si>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</si>
  <si>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</si>
  <si>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EQUIPAMIENTO AUXILIAR</t>
  </si>
  <si>
    <t>TIPO</t>
  </si>
  <si>
    <t>AMENAZA</t>
  </si>
  <si>
    <t>HARDWARE</t>
  </si>
  <si>
    <t>Daño físico </t>
  </si>
  <si>
    <t>Fuego</t>
  </si>
  <si>
    <t>Agua</t>
  </si>
  <si>
    <t>INSTALACIONES</t>
  </si>
  <si>
    <t>Contaminación</t>
  </si>
  <si>
    <t>PROCESOS</t>
  </si>
  <si>
    <t>Accidente Importante</t>
  </si>
  <si>
    <t>RECURSOS HUMANOS</t>
  </si>
  <si>
    <t>Destrucción del equipo o medios </t>
  </si>
  <si>
    <t>RED</t>
  </si>
  <si>
    <t>Polvo, corrosión, congelamiento </t>
  </si>
  <si>
    <t>SERVICIOS</t>
  </si>
  <si>
    <t>Eventos naturales </t>
  </si>
  <si>
    <t>Fenómenos climáticos </t>
  </si>
  <si>
    <t>SOFTWARE</t>
  </si>
  <si>
    <t>Fenómenos sísmicos </t>
  </si>
  <si>
    <t>Fenómenos volcánicos </t>
  </si>
  <si>
    <t>Fenómenos meteorológicos </t>
  </si>
  <si>
    <t>Inundación </t>
  </si>
  <si>
    <t>Perdida de los servicios esenciales </t>
  </si>
  <si>
    <t>Fallas en el sistema de suministro de agua o aire acondicionado </t>
  </si>
  <si>
    <t>Perdida de suministro de energía </t>
  </si>
  <si>
    <t>Falla en equipo de telecomunicaciones </t>
  </si>
  <si>
    <t>Perturbación debida a la radiación </t>
  </si>
  <si>
    <t>Radiación electromagnética </t>
  </si>
  <si>
    <t>Radiación térmica </t>
  </si>
  <si>
    <t>Impulsos electromagnéticos </t>
  </si>
  <si>
    <t>Compromiso de la información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</si>
  <si>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</si>
  <si>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</si>
  <si>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</si>
  <si>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</si>
  <si>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</si>
  <si>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</si>
  <si>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</si>
  <si>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</si>
  <si>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</si>
  <si>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</si>
  <si>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</si>
  <si>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</si>
  <si>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</si>
  <si>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</si>
  <si>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</si>
  <si>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</si>
  <si>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Copia fraudulenta del software </t>
  </si>
  <si>
    <t>Uso de software falso o copiado </t>
  </si>
  <si>
    <t>Corrupción de los datos </t>
  </si>
  <si>
    <t>Procesamiento ilegal de datos </t>
  </si>
  <si>
    <t>Compromiso de las funciones </t>
  </si>
  <si>
    <t>Error en el uso </t>
  </si>
  <si>
    <t>Abuso de derechos </t>
  </si>
  <si>
    <t>Falsificación de derechos </t>
  </si>
  <si>
    <t>Negación de acciones </t>
  </si>
  <si>
    <t>Incumplimiento en la disponibilidad del personal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</si>
  <si>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</si>
  <si>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</si>
  <si>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</si>
  <si>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</si>
  <si>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</si>
  <si>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</si>
  <si>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</si>
  <si>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</si>
  <si>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</si>
  <si>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</si>
  <si>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</si>
  <si>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</si>
  <si>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</si>
  <si>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</si>
  <si>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</si>
  <si>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</si>
  <si>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</si>
  <si>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</si>
  <si>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</si>
  <si>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</si>
  <si>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</si>
  <si>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</si>
  <si>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</si>
  <si>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</si>
  <si>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</si>
  <si>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Evitar</t>
  </si>
  <si>
    <t>Reducir (compartir)</t>
  </si>
  <si>
    <t>Plan de accion (solo para la opción reducir)</t>
  </si>
  <si>
    <t>Finalizado</t>
  </si>
  <si>
    <t>En curso</t>
  </si>
  <si>
    <t>Daños Activos Fisicos</t>
  </si>
  <si>
    <t>Fallas Tecnologicas</t>
  </si>
  <si>
    <t>Fraude Externo</t>
  </si>
  <si>
    <t>Relaciones Laborales</t>
  </si>
  <si>
    <t>Usuarios, productos y practicas , organizacionales</t>
  </si>
  <si>
    <t>Registro Sustancial</t>
  </si>
  <si>
    <t>Registro Material</t>
  </si>
  <si>
    <t>Sin registro</t>
  </si>
  <si>
    <t>Reducir</t>
  </si>
  <si>
    <t>ANALISIS</t>
  </si>
  <si>
    <t xml:space="preserve">CONTEXTO  DE PROCESO </t>
  </si>
  <si>
    <t>OTROS</t>
  </si>
  <si>
    <t>VERSIÓN: 2</t>
  </si>
  <si>
    <t>FECHA DE APLICACIÓN: DICIEMBRE 2021</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</si>
  <si>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</si>
  <si>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 xml:space="preserve">Equivalente </t>
  </si>
  <si>
    <t xml:space="preserve">                FECHA DE APLICACIÓN: DICIEMBRE 2021</t>
  </si>
  <si>
    <t>5. Producción de mezcla y provisión de maquinaria y equipos</t>
  </si>
  <si>
    <t>Posibilidad de afectación reputacional por perdida de la imagen de la entidad debido a la orientación de la contratación por presión indebida o intereses personales, cambios injustificados y debilidades en la integridad de quien adelanta el proceso contractual.</t>
  </si>
  <si>
    <t>Orientación de la contratación por presión indebida o intereses personales, cambios injustificados y debilidades en la integridad de quien adelanta el proceso contractual</t>
  </si>
  <si>
    <t xml:space="preserve">Perdida de la imagen de la entidad </t>
  </si>
  <si>
    <t>X</t>
  </si>
  <si>
    <t>Realizar una (1) mesa de trabajo en para sensibilizar al equipo GCon en las temáticas "estructuración y evaluación de contratos en el ejercicio de buenas prácticas en la contratación estatal, principios de la función pública, principios de la contratación estatal y las responsabilidades disciplinarias, fiscales, penales y civiles", Aplicación de documentos TIPO, para evitar modificaciones a pliegos de condiciones, durante el proceso de selección, sin la debida justificación.</t>
  </si>
  <si>
    <t>Servidor Público o contratista designado</t>
  </si>
  <si>
    <t>Listados de asistencia, grabación de la sesión y la presentación de esta.</t>
  </si>
  <si>
    <t>Informar las situaciones y evidencias identicadas en la suscripción del contrato a la Oficina de Control Disciplinario Interno, para que se tomen las medidas correspondientes.</t>
  </si>
  <si>
    <t>Comunicación oficial</t>
  </si>
  <si>
    <t xml:space="preserve">Secretaria General </t>
  </si>
  <si>
    <t>Perdida de credibilidad y confianza de las partes interesadas</t>
  </si>
  <si>
    <t>Diligenciamiento del formato Análisis de Riesgos Contractuales  fuera del lineamiento establecido por Colombia Compra Eficiente.</t>
  </si>
  <si>
    <t>Posibilidad de afectación reputacional por perdida de credibilidad y confianza de las partes interesadas, debido al diligenciamiento del formato Análisis de Riesgos Contractuales  fuera del lineamiento establecido por Colombia Compra Eficiente.</t>
  </si>
  <si>
    <t>R2-C1
El servidor público o contratista (profesional) del proceso Gestión Contractual, designado por la Secretaria General, cada vez que se adelante un proceso contractual selectivo, revisa que los riesgos identificados para el proceso de selección sean coherentes con lo estipulado en el "manual para la identificación y asignación de los riesgos"  expedido por Colombia Compra Eficiente.
Como evidencia se deja en el aplicativo ORFEO registro de la aprobación de la matriz de riesgos del proceso de selección. 
En caso de que se evidencien inconsistencias en la matriz de riesgos del proceso selectivo, se realizarán en el aplicativo ORFEO las observaciones por parte del servidor público o contratista que revisó, para sus ajustes.</t>
  </si>
  <si>
    <t>R2-C2
El servidor público o contratista (profesional), del proceso Gestión Contractual,  designado por la Secretaria General, antes de aprobar los documentos definitivos de un proceso de selección, valida que la matriz de riesgos se diligenció de conformidad con el formato GCON-FM-089: "ANÁLISIS DE RIESGOS CONTRACTUALES" vigente y publicada en el SECOP.
Como evidencia: El formato GCON-FM-089 dentro del expediente contractual.
En caso de evidenciar que no se diligenció el formato GCON-FM-089, el servidor público o contratista GCON, responsable del proceso contractual en mención procederá a analizar desde el punto de vista jurídico y elaborará el documento que corresponda según el caso y el punto donde está el proceso en la etapa precontractual.</t>
  </si>
  <si>
    <t>Socializar al equipo de GCON y los estructuradores de procesos selectivos la metodología para el diligenciamiento del formato GCON-FM-089- Análisis de riesgos contractuales.</t>
  </si>
  <si>
    <t>Listado de asistencia y presentación de la socialización adelantada.</t>
  </si>
  <si>
    <t>Posibilidad de afectación reputacional por perdida de credibilidad y confianza de las partes interesadas debido a que la información y documentos soporte publicados en el SECOP de procesos selectivos difieren del expediente contractual a nivel interno de la entidad en Orfeo.</t>
  </si>
  <si>
    <t xml:space="preserve"> La información y documentos soporte publicados en el SECOP difieren del expediente contractual a nivel interno de la entidad en Orfeo.</t>
  </si>
  <si>
    <t>Socializar al equipo de  GCON el formato de referencia cruzada,  diligenciamiento y publicación en ORFEO.</t>
  </si>
  <si>
    <t>Elaborar acto administrativo aclaratorio para la corrección de la información publicada en la plataforma SECOP.</t>
  </si>
  <si>
    <t>Actos administrativos aclaratorios</t>
  </si>
  <si>
    <t>Inicia con la identificación y programación de las necesidades de adquisición de bienes, servicios y obras públicas de la entidad y finaliza con la liquidación de los contratos, si a ello hay lugar y el archivo final de todos los documentos del proceso contractual.</t>
  </si>
  <si>
    <t>El proceso de GCON ha venido realizando sensibilizaciones a los procesos de la entidad para el fortalecimiento de la necesidad  de realizar la  publicación de documentos de cada expediente contractual. Se identifica como riesgo.</t>
  </si>
  <si>
    <t>El proceso de GCON estableció los activos de información, puntos de control y evaluación de los diferentes criterios, con lo que identificó que no es necesario la identificación del riesgo.</t>
  </si>
  <si>
    <t xml:space="preserve">El(la) Secretario(a) General de la Entidad, como responsable del Proceso de Gestión Contractual realiza reuniones periódicas de seguimiento de la ejecución del Plan Anual de Adquisiciones (PAA), con el cual se desarrolla la planeación de la actividad contractual donde se identifican las necesidades de la Entidad en esta materia, y se determina cada objeto del contrato de manera clara y precisa, para la aprobación del Comité de Contratación UAERMV. </t>
  </si>
  <si>
    <t>El proceso Gestión Contractual está integrado en su mayoría por contratistas de prestación de servicios y de apoyo a la gestión, lo cual conlleva a una fuga en la gestión del conocimiento, donde la rotación del personal genera pérdida de la memoria institucional en la materia contractual.</t>
  </si>
  <si>
    <t>Las dependencias solicitantes, en algunos casos, no determinan de manera clara y objetiva la necesidad que se pretende satisfacer, así como elaboran fichas técnicas insuficientes que generan reprocesos en la etapa precontractual y demoras en el cronograma de publicación.</t>
  </si>
  <si>
    <t xml:space="preserve">Por la falta de inducción y reinducción al momento del ingreso o reubicación de personal de planta (por Gestión del Talento Humano), y la falta de sensibilización a las nuevas contrataciones de prestación de servicios, se genera desconocimiento de la información que debe reposar tanto en ORFEO como en el SECOP DE CADA UNO DE LOS PROCESOS </t>
  </si>
  <si>
    <t>Posibilidad de afectación reputacional por perdida de credibilidad y confianza de las partes interesadas debido a la contratación de prestación de servicios profesionales y de apoyo a la gestión sin tener en cuenta la segregación de las funciones del personal de planta de la entidad.</t>
  </si>
  <si>
    <t>Realizar una socialización a las dependencias de la entidad, donde se resalte la importancia de diligenciar y solicitar la certificación de  INEXISTENCIA O INSUFICIENCIA DE PERSONAL(GTHU-FM-031) para la contratación de prestación de servicios (profesionales y apoyo a la gestión).</t>
  </si>
  <si>
    <t>Radicado Orfeo del proceso de contratación</t>
  </si>
  <si>
    <t>Devolver al área correspondiente el proceso de contratación de prestación de servicios profesionales y apoyo a la gestión cuando no se aporte el certificado de INEXISTENCIA O INSUFICIENCIA DE PERSONAL(GTHU-FM-031)</t>
  </si>
  <si>
    <t>Abogado asignado para adelantar el proceso de contratación de prestación  de servicios profesionales y de apoyo a la gestión.</t>
  </si>
  <si>
    <t>perdida de credibilidad y confianza de las partes interesadas</t>
  </si>
  <si>
    <t>Ejecución y Administración de procesos</t>
  </si>
  <si>
    <t>R3-C1
El servidor público o contratista (profesional) del proceso GCON designado por la Secretaria General para adelantar el proceso de selección diligencia e incluye en el expediente del proceso en Orfeo el formato de referencia cruzada, el cual debe ser concordante con el proceso de selección que se adelante a través de la plataforma del Secop II
Como evidencia: Formato de referencia cruzada diligenciado de cada proceso Selectivo, publicado en el ORFEO.
En caso de verificar que no se encuentra cargado en el ORFEO deberá diligenciarlo e incluirlo en el expediente de ORFEO.</t>
  </si>
  <si>
    <t>El servidor público o contratista (profesional) del proceso GCON designado por la Secretaria General para adelantar el proceso de contratación directa debe verificar  la existencia del certificado de inexistencia o insuficiencia de personal de planta, donde se identifique que:
I. No existe personal que pueda desarrollar la actividad para la cual se requiere contratar la prestación del servicio.
II.Existe personal en la planta, pero este no es suficiente.
III. El desarrollo de la actividad requiere un grado de especialización y un perfil diferente a los establecidos en el manual de funciones y competencias de la Unidad, lo que implica la inminente necesidad de contratación del servicio.
Como evidencia se entregaran formatos aleatorios de CERTIFICADO DE INEXISTENCIA O INSUFICIENCIA DE PERSONAL(GTHU-FM-031).
En caso de verificar que no se cuenta con el certificado, se debe solicitar al área generador de la necesidad la presentación de este.</t>
  </si>
  <si>
    <t>Coordinar los diferentes procesos de contratación requeridos por la entidad, en las etapas precontractual, contractual y pos contractual, mediante la sujeción de la normatividad legal vigente, con el fin de garantizar la adquisición de bienes, servicios y obra pública para suplir las necesidades de la entidad, y el cumplimiento de las metas y los objetivos institucionales de la entidad, bajo parámetros de efectividad, calidad y transparencia.</t>
  </si>
  <si>
    <t>R1-C1 
El profesional (servidor público o contratista) del proceso de Gestión Contractual, cada vez que tenga que adelantar un proceso contractual (exceptuando las modalidades de mínima cuantía y contratación directa), conforme a las necesidades que se encuentran incluidas en el Plan Anual de Adquisiciones (PAA), previo a su publicación verificará que el proceso de selección haya sido aprobado por el comité de contratación. 
Como evidencia se cuenta con el correo electrónico institucional en el cual se informa al abogado que adelanta el proceso, la aprobación del proceso de selección en la respectiva sesión del Comité de Contratación.
En caso de evidenciar que no se ha aprobado el proceso de selección por parte del Comité de Contratación, se solicitará al Secretario(a) Técnico del Comité de Contratación, convocar a través del correo institucional a sesión extraordinaria del mismo Comité.</t>
  </si>
  <si>
    <t>R1-C2
El Enlace GCON promueve la participación del equipo de gestión contractual en la sensibilización Anual del Manual "código de integridad UAERMV", con el objeto de apropiar la integridad en el marco de la lucha contra la corrupción, para evitar conductas o comportamientos inadecuados, que transgredan dicho código. 
Como evidencia se aportará el listado de asistencia a la sensibilización y se aplicará Evaluación Interna al equipo de gestión contractual de esta sensibilización.
En caso de evidenciar que no se ha realizado la sensibilización, reiterará la solicitud para su realización a Gestión de Talento Humano a través del correo institucional.</t>
  </si>
  <si>
    <t>Los continuos cambios en las normas de contratación pueden generar desconocimiento en su aplicación inmediata en los procesos de selección 
generando reprocesos y demora en el cronograma del proceso y el cumplimiento al Plan Anual de Adquisiciones (PAA).</t>
  </si>
  <si>
    <t>Los procedimientos están directamente relacionados con el proceso de Gestión Documental (GDOC). Los procesos se inician creando un expediente en el sistema de gestión documental ORFEO, y una vez firmados lo documentos electrónicamente se inicia el procesos selectivo a través de la plataforma de SECOP, para lo cual el responsable del proceso contractual diligencia y anexa el formato "GDOC-FM-013 Formato Referencia Cruzada" en formato PDFcomo anexo en ORFEO de todos los documentos que se generen dentro del proceso contractual en SECOP, evitando la duplicidad de la información.</t>
  </si>
  <si>
    <t xml:space="preserve">Las áreas no evidencian la necesidad de contratación con el tiempo suficiente generando modificaciones al PAA retrasando el cronograma del proceso y el cumplimiento en los plazos establecidos al PAA
</t>
  </si>
  <si>
    <t>Dado que el proceso de gestión contractual  es un proceso de apoyo a la gestión y transversal a la entidad  en la adquisición de bienes, servicios y obra pública, su labor le permite comunicarse con cada uno de los procesos de las dependencias para gestionar la consecución de las diferentes necesidades que se establecieron en el plan anual de adquisiciones.</t>
  </si>
  <si>
    <t>Desconocimiento del aplicativo ORFEO y del expediente creado para cada proceso por parte de los  supervisores de contratos y de apoyo a la supervisión, donde deben reposar todas las comunicaciones y documentos que se generen dentro del proceso, su ejecución y liquidación y el formato de referencia cruzada (FM), con la información publicada en el SECOP.</t>
  </si>
  <si>
    <t>Todo contratista tiene su hoja de vida cargada en el SIDEAP (Sistema de información Distrital del Empleo y la Administración Pública), con el fin de dar cumplimiento a la directriz del DASCD de actualizar las hojas de vida y la declaración de bienes y rentas; y realizar  una declaración general de los conflictos de interés potenciales o reales; de los impedimentos que se le presenten cuando consideren que se encuentran incursos en una causal de conflicto de interés y/o presentar recusaciones, para lograr una cultura sostenible de integridad para generar apropiación de lo público.</t>
  </si>
  <si>
    <t xml:space="preserve">Secretaría General </t>
  </si>
  <si>
    <t>Realizando el diseño del proceso se concluye que no se identifica un riesgo ya que existen controles en el seguimiento y visto bueno para la publicación de procesos en SECOP. Adicionalmente, para la gestión de conocimiento se realiza a través del Sistema de gestión documental ORFEO.</t>
  </si>
  <si>
    <t>El proceso Gestión Contractual por las características respecto a la adquisición de bienes, servicios y obra pública, permite la interacción con los demás procesos institucionales, para satisfacer las necesidades de contratación en las dependencias.</t>
  </si>
  <si>
    <t>No se identifica como riesgo ya que el proceso GCON realiza mesas interdisciplinarias para la estructuración y definición de factores relevantes en el proceso contratación.</t>
  </si>
  <si>
    <t xml:space="preserve">Las actas de los Comités de Contratación UAERMV efectuados presencial y virtualmente, quedan en custodia de la Secretaría General para su archivo y consulta, por ejercer la secretaría técnica de este comité, como responsable del Proceso Gestión Contractual.
El expediente del contrato es el que contiene la información y documentación de las diferentes etapas del proceso contractual; que, según las responsabilidades establecidas en el manual de contratación vigente, cada actor debe cerciorarse de entregar o cargar la documentación soporte de las diferentes actuaciones contractuales a su cargo.
La Base de Datos de Contratación, se actualiza permanentemente por el proceso Gestión Contractual, la cual contiene los datos de todos los procesos contractuales de la vigencia. </t>
  </si>
  <si>
    <t>La Base de Datos de Contratación se maneja en archivo Excel, lo cual puede conllevar a la perdida de la información al no solicitar continuamente copia de seguridad al proceso GSIT-Gestión de Servicios e Infraestructura Tecnológica, para la confidencialidad, integridad y disponibilidad de esta información y conservar su memoria histórica.</t>
  </si>
  <si>
    <t>Los responsables de las dependencias a través de sus Planes de Acción de procesos y/o los responsables de los proyectos de inversión  incluyen  en el Plan Anual de Adquisiciones de la vigencia las actividades prioritarias, previa aprobación del Comité de Contratación UAERMV.</t>
  </si>
  <si>
    <t>Se identifica como riesgo número dos: Posibilidad de afectación reputacional por perdida de credibilidad y confianza de las partes interesadas, debido al diligenciamiento del formato Análisis de Riesgos Contractuales  fuera del lineamiento establecido por Colombia Compra Eficiente.</t>
  </si>
  <si>
    <t>El proceso Gestión contractual se encuentra conformado por servidores y contratistas íntegros y con los conocimientos en la materia, dentro del cual, se encuentra el equipo de costos y estudios económicos que es transversal a la Entidad, conformado por servidores y contratistas de las dependencias generadoras de la necesidad y del Proceso de Gestión Contractual (bajo la dirección de la Secretaría General); cuya función principal es estructurar los estudios del sector y los estudios previos, y se presentan ante el Comité de Contratación para la respectiva aprobación.
También se realiza el análisis del riesgo en los procesos contractuales selectivos, por las dependencias de la Entidad con el Equipo Gestión Contractual, donde se debe hacer un análisis sobre los riesgos inherentes a la naturaleza y al objeto del contrato, identificando la forma de prevenirlos y/o mitigarlos, e indicando la parte que asume ese riesgo o si es compartido el mismo.</t>
  </si>
  <si>
    <t>Se identifica como riesgo número tres: Posibilidad de afectación reputacional por perdida de credibilidad y confianza de las partes interesadas debido a que la información y documentos soporte publicados en el SECOP de procesos selectivos difieren del expediente contractual a nivel interno de la entidad en Orfeo.</t>
  </si>
  <si>
    <t>Segregación inadecuada de las funciones del personal de planta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</si>
</sst>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 #,##0.00_-;\-&quot;$&quot;\ * #,##0.00_-;_-&quot;$&quot;\ * &quot;-&quot;??_-;_-@_-"/>
    <numFmt numFmtId="165" formatCode="0.0%"/>
    <numFmt numFmtId="166" formatCode="_-&quot;$&quot;\ * #,##0_-;\-&quot;$&quot;\ * #,##0_-;_-&quot;$&quot;\ * &quot;-&quot;??_-;_-@_-"/>
    <numFmt numFmtId="167" formatCode="&quot;$&quot;\ #,##0.00"/>
  </numFmts>
  <fonts count="91"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b/>
      <sz val="11"/>
      <name val="Arial"/>
      <family val="2"/>
    </font>
    <font>
      <sz val="16"/>
      <name val="Arial"/>
      <family val="2"/>
    </font>
    <font>
      <sz val="11"/>
      <color rgb="FF000000"/>
      <name val="Arial"/>
      <family val="2"/>
    </font>
    <font>
      <sz val="12"/>
      <color rgb="FF000000"/>
      <name val="Arial"/>
      <family val="2"/>
    </font>
  </fonts>
  <fills count="2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0" tint="-0.34998626667073579"/>
        <bgColor indexed="64"/>
      </patternFill>
    </fill>
    <fill>
      <patternFill patternType="solid">
        <fgColor theme="7" tint="0.59999389629810485"/>
        <bgColor indexed="64"/>
      </patternFill>
    </fill>
    <fill>
      <patternFill patternType="solid">
        <fgColor theme="8" tint="0.39997558519241921"/>
        <bgColor indexed="64"/>
      </patternFill>
    </fill>
  </fills>
  <borders count="12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style="hair">
        <color theme="6" tint="-0.499984740745262"/>
      </top>
      <bottom/>
      <diagonal/>
    </border>
    <border>
      <left/>
      <right style="hair">
        <color theme="6" tint="-0.499984740745262"/>
      </right>
      <top style="hair">
        <color theme="6" tint="-0.499984740745262"/>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medium">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medium">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hair">
        <color theme="6" tint="-0.499984740745262"/>
      </left>
      <right style="medium">
        <color theme="6" tint="-0.499984740745262"/>
      </right>
      <top/>
      <bottom/>
      <diagonal/>
    </border>
    <border>
      <left style="medium">
        <color theme="6" tint="-0.499984740745262"/>
      </left>
      <right style="hair">
        <color theme="6" tint="-0.499984740745262"/>
      </right>
      <top/>
      <bottom style="hair">
        <color theme="6" tint="-0.499984740745262"/>
      </bottom>
      <diagonal/>
    </border>
    <border>
      <left style="hair">
        <color theme="6" tint="-0.499984740745262"/>
      </left>
      <right style="medium">
        <color theme="6" tint="-0.499984740745262"/>
      </right>
      <top/>
      <bottom style="hair">
        <color theme="6" tint="-0.499984740745262"/>
      </bottom>
      <diagonal/>
    </border>
    <border>
      <left/>
      <right style="hair">
        <color theme="6" tint="-0.499984740745262"/>
      </right>
      <top style="medium">
        <color theme="6" tint="-0.499984740745262"/>
      </top>
      <bottom style="hair">
        <color theme="6" tint="-0.499984740745262"/>
      </bottom>
      <diagonal/>
    </border>
    <border>
      <left/>
      <right style="hair">
        <color theme="6" tint="-0.499984740745262"/>
      </right>
      <top style="hair">
        <color theme="6" tint="-0.499984740745262"/>
      </top>
      <bottom style="medium">
        <color theme="6" tint="-0.499984740745262"/>
      </bottom>
      <diagonal/>
    </border>
    <border>
      <left style="medium">
        <color theme="6" tint="-0.499984740745262"/>
      </left>
      <right style="hair">
        <color theme="6" tint="-0.499984740745262"/>
      </right>
      <top style="hair">
        <color theme="6" tint="-0.499984740745262"/>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hair">
        <color theme="6" tint="-0.499984740745262"/>
      </left>
      <right style="hair">
        <color theme="6" tint="-0.499984740745262"/>
      </right>
      <top style="medium">
        <color indexed="64"/>
      </top>
      <bottom style="hair">
        <color theme="6" tint="-0.499984740745262"/>
      </bottom>
      <diagonal/>
    </border>
    <border>
      <left style="hair">
        <color theme="6" tint="-0.499984740745262"/>
      </left>
      <right style="hair">
        <color theme="6" tint="-0.499984740745262"/>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7">
    <xf numFmtId="0" fontId="0" fillId="0" borderId="0"/>
    <xf numFmtId="9" fontId="12" fillId="0" borderId="0" applyFont="0" applyFill="0" applyBorder="0" applyAlignment="0" applyProtection="0"/>
    <xf numFmtId="0" fontId="44" fillId="0" borderId="0"/>
    <xf numFmtId="0" fontId="45" fillId="0" borderId="0"/>
    <xf numFmtId="0" fontId="4" fillId="0" borderId="0"/>
    <xf numFmtId="164" fontId="12" fillId="0" borderId="0" applyFont="0" applyFill="0" applyBorder="0" applyAlignment="0" applyProtection="0"/>
    <xf numFmtId="0" fontId="12" fillId="0" borderId="0"/>
  </cellStyleXfs>
  <cellXfs count="604">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9" fillId="6" borderId="0" xfId="0" applyFont="1" applyFill="1" applyAlignment="1">
      <alignment horizontal="center" vertical="center" wrapText="1" readingOrder="1"/>
    </xf>
    <xf numFmtId="0" fontId="30" fillId="5" borderId="4" xfId="0" applyFont="1" applyFill="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1" fillId="9" borderId="1" xfId="0" applyFont="1" applyFill="1" applyBorder="1" applyAlignment="1">
      <alignment horizontal="center" vertical="center" wrapText="1" readingOrder="1"/>
    </xf>
    <xf numFmtId="0" fontId="30" fillId="0" borderId="4"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0" fillId="3" borderId="0" xfId="0" applyFill="1"/>
    <xf numFmtId="0" fontId="46" fillId="3" borderId="40" xfId="2" applyFont="1" applyFill="1" applyBorder="1"/>
    <xf numFmtId="0" fontId="46" fillId="3" borderId="41" xfId="2" applyFont="1" applyFill="1" applyBorder="1"/>
    <xf numFmtId="0" fontId="46" fillId="3" borderId="42"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23" xfId="0" applyFont="1" applyFill="1" applyBorder="1" applyAlignment="1">
      <alignment horizontal="center" vertical="center" wrapText="1" readingOrder="1"/>
    </xf>
    <xf numFmtId="0" fontId="35" fillId="3" borderId="23" xfId="0" applyFont="1" applyFill="1" applyBorder="1" applyAlignment="1">
      <alignment horizontal="justify" vertical="center" wrapText="1" readingOrder="1"/>
    </xf>
    <xf numFmtId="9" fontId="34" fillId="3" borderId="32" xfId="0" applyNumberFormat="1"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5" fillId="3" borderId="22" xfId="0" applyFont="1" applyFill="1" applyBorder="1" applyAlignment="1">
      <alignment horizontal="justify" vertical="center" wrapText="1" readingOrder="1"/>
    </xf>
    <xf numFmtId="9" fontId="34" fillId="3" borderId="27" xfId="0" applyNumberFormat="1" applyFont="1" applyFill="1" applyBorder="1" applyAlignment="1">
      <alignment horizontal="center" vertical="center" wrapText="1" readingOrder="1"/>
    </xf>
    <xf numFmtId="0" fontId="35" fillId="3" borderId="27"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35" fillId="3" borderId="29" xfId="0" applyFont="1" applyFill="1" applyBorder="1" applyAlignment="1">
      <alignment horizontal="justify" vertical="center" wrapText="1" readingOrder="1"/>
    </xf>
    <xf numFmtId="0" fontId="35" fillId="3" borderId="30" xfId="0" applyFont="1" applyFill="1" applyBorder="1" applyAlignment="1">
      <alignment horizontal="center" vertical="center" wrapText="1" readingOrder="1"/>
    </xf>
    <xf numFmtId="0" fontId="43" fillId="3" borderId="0" xfId="0" applyFont="1" applyFill="1"/>
    <xf numFmtId="0" fontId="34" fillId="15" borderId="34" xfId="0" applyFont="1" applyFill="1" applyBorder="1" applyAlignment="1">
      <alignment horizontal="center" vertical="center" wrapText="1" readingOrder="1"/>
    </xf>
    <xf numFmtId="0" fontId="34"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6" fillId="3" borderId="7"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8" xfId="2" applyFont="1" applyFill="1" applyBorder="1"/>
    <xf numFmtId="0" fontId="46" fillId="3" borderId="9" xfId="2" applyFont="1" applyFill="1" applyBorder="1"/>
    <xf numFmtId="0" fontId="46" fillId="3" borderId="11" xfId="2" applyFont="1" applyFill="1" applyBorder="1"/>
    <xf numFmtId="0" fontId="46" fillId="3" borderId="10"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7"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8" xfId="2" quotePrefix="1" applyFont="1" applyFill="1" applyBorder="1" applyAlignment="1">
      <alignment horizontal="left" vertical="top" wrapText="1"/>
    </xf>
    <xf numFmtId="0" fontId="30" fillId="0" borderId="64" xfId="0" applyFont="1" applyBorder="1" applyAlignment="1">
      <alignment horizontal="justify" vertical="center" wrapText="1" readingOrder="1"/>
    </xf>
    <xf numFmtId="0" fontId="30" fillId="0" borderId="65" xfId="0" applyFont="1" applyBorder="1" applyAlignment="1">
      <alignment horizontal="justify" vertical="center" wrapText="1" readingOrder="1"/>
    </xf>
    <xf numFmtId="166" fontId="28" fillId="3" borderId="0" xfId="5" applyNumberFormat="1" applyFont="1" applyFill="1" applyAlignment="1">
      <alignment horizontal="center" vertical="center" wrapText="1"/>
    </xf>
    <xf numFmtId="166" fontId="0" fillId="3" borderId="0" xfId="5" applyNumberFormat="1" applyFont="1" applyFill="1" applyAlignment="1">
      <alignment horizontal="center" vertical="center"/>
    </xf>
    <xf numFmtId="0" fontId="56" fillId="3" borderId="0" xfId="0" applyFont="1" applyFill="1"/>
    <xf numFmtId="0" fontId="57" fillId="3" borderId="0" xfId="0" applyFont="1" applyFill="1" applyAlignment="1">
      <alignment horizontal="justify" vertical="center" wrapText="1" readingOrder="1"/>
    </xf>
    <xf numFmtId="0" fontId="56" fillId="0" borderId="0" xfId="0" applyFont="1"/>
    <xf numFmtId="0" fontId="58" fillId="3" borderId="0" xfId="0" applyFont="1" applyFill="1" applyAlignment="1">
      <alignment vertical="center"/>
    </xf>
    <xf numFmtId="164" fontId="0" fillId="3" borderId="0" xfId="5" applyFont="1" applyFill="1" applyAlignment="1">
      <alignment horizontal="left" vertical="center"/>
    </xf>
    <xf numFmtId="164" fontId="56" fillId="3" borderId="0" xfId="5" applyFont="1" applyFill="1" applyAlignment="1">
      <alignment horizontal="left" vertical="center"/>
    </xf>
    <xf numFmtId="164" fontId="0" fillId="0" borderId="0" xfId="5" applyFont="1" applyAlignment="1">
      <alignment horizontal="left" vertical="center"/>
    </xf>
    <xf numFmtId="164" fontId="27" fillId="0" borderId="0" xfId="5" applyFont="1" applyAlignment="1">
      <alignment horizontal="left" vertical="center"/>
    </xf>
    <xf numFmtId="0" fontId="0" fillId="0" borderId="0" xfId="0" applyAlignment="1">
      <alignment wrapText="1"/>
    </xf>
    <xf numFmtId="0" fontId="26" fillId="0" borderId="0" xfId="0" applyFont="1" applyAlignment="1">
      <alignment wrapText="1"/>
    </xf>
    <xf numFmtId="0" fontId="0" fillId="0" borderId="0" xfId="0" applyAlignment="1">
      <alignment vertical="center" wrapText="1"/>
    </xf>
    <xf numFmtId="0" fontId="59" fillId="0" borderId="0" xfId="0" applyFont="1"/>
    <xf numFmtId="0" fontId="60" fillId="0" borderId="0" xfId="0" applyFont="1"/>
    <xf numFmtId="0" fontId="61" fillId="0" borderId="0" xfId="0" applyFont="1"/>
    <xf numFmtId="0" fontId="62" fillId="0" borderId="0" xfId="0" applyFont="1" applyAlignment="1">
      <alignment wrapText="1"/>
    </xf>
    <xf numFmtId="0" fontId="61" fillId="0" borderId="0" xfId="0" applyFont="1" applyAlignment="1">
      <alignment wrapText="1"/>
    </xf>
    <xf numFmtId="0" fontId="59" fillId="0" borderId="8" xfId="0" applyFont="1" applyBorder="1"/>
    <xf numFmtId="0" fontId="64" fillId="0" borderId="8" xfId="0" applyFont="1" applyBorder="1"/>
    <xf numFmtId="0" fontId="65" fillId="19" borderId="69" xfId="0" applyFont="1" applyFill="1" applyBorder="1" applyAlignment="1">
      <alignment horizontal="center" vertical="center" wrapText="1"/>
    </xf>
    <xf numFmtId="0" fontId="66" fillId="19" borderId="10" xfId="0" applyFont="1" applyFill="1" applyBorder="1" applyAlignment="1">
      <alignment horizontal="center" vertical="center" wrapText="1"/>
    </xf>
    <xf numFmtId="0" fontId="65" fillId="19" borderId="33" xfId="0" applyFont="1" applyFill="1" applyBorder="1" applyAlignment="1">
      <alignment horizontal="center" vertical="center" wrapText="1"/>
    </xf>
    <xf numFmtId="0" fontId="64" fillId="0" borderId="0" xfId="0" applyFont="1"/>
    <xf numFmtId="0" fontId="65" fillId="19" borderId="69" xfId="0" applyFont="1" applyFill="1" applyBorder="1" applyAlignment="1">
      <alignment horizontal="center" vertical="center" textRotation="90" wrapText="1"/>
    </xf>
    <xf numFmtId="0" fontId="62" fillId="0" borderId="6" xfId="0" applyFont="1" applyBorder="1" applyAlignment="1">
      <alignment horizontal="justify" vertical="center" wrapText="1"/>
    </xf>
    <xf numFmtId="0" fontId="65" fillId="19" borderId="68" xfId="0" applyFont="1" applyFill="1" applyBorder="1" applyAlignment="1">
      <alignment horizontal="center" vertical="center" textRotation="90" wrapText="1"/>
    </xf>
    <xf numFmtId="0" fontId="62" fillId="0" borderId="68" xfId="0" applyFont="1" applyBorder="1" applyAlignment="1">
      <alignment horizontal="left" vertical="center" wrapText="1"/>
    </xf>
    <xf numFmtId="0" fontId="65" fillId="19" borderId="71" xfId="0" applyFont="1" applyFill="1" applyBorder="1" applyAlignment="1">
      <alignment horizontal="center" vertical="center" textRotation="90" wrapText="1"/>
    </xf>
    <xf numFmtId="0" fontId="62" fillId="0" borderId="69" xfId="0" applyFont="1" applyBorder="1" applyAlignment="1">
      <alignment horizontal="left" vertical="center" wrapText="1"/>
    </xf>
    <xf numFmtId="0" fontId="65" fillId="19" borderId="6" xfId="0" applyFont="1" applyFill="1" applyBorder="1" applyAlignment="1">
      <alignment horizontal="center" vertical="center" textRotation="90" wrapText="1"/>
    </xf>
    <xf numFmtId="0" fontId="69" fillId="0" borderId="68" xfId="0" applyFont="1" applyBorder="1" applyAlignment="1">
      <alignment horizontal="left" vertical="center" wrapText="1"/>
    </xf>
    <xf numFmtId="0" fontId="65" fillId="19" borderId="36" xfId="0" applyFont="1" applyFill="1" applyBorder="1" applyAlignment="1">
      <alignment horizontal="center" vertical="center" textRotation="90" wrapText="1"/>
    </xf>
    <xf numFmtId="0" fontId="70" fillId="0" borderId="8" xfId="0" applyFont="1" applyBorder="1"/>
    <xf numFmtId="0" fontId="71" fillId="20" borderId="6" xfId="0" applyFont="1" applyFill="1" applyBorder="1" applyAlignment="1">
      <alignment horizontal="center" vertical="center" textRotation="90" wrapText="1"/>
    </xf>
    <xf numFmtId="0" fontId="70" fillId="0" borderId="0" xfId="0" applyFont="1"/>
    <xf numFmtId="0" fontId="70" fillId="20" borderId="36" xfId="0" applyFont="1" applyFill="1" applyBorder="1"/>
    <xf numFmtId="0" fontId="72" fillId="20" borderId="69" xfId="0" applyFont="1" applyFill="1" applyBorder="1" applyAlignment="1">
      <alignment horizontal="center" vertical="center" wrapText="1"/>
    </xf>
    <xf numFmtId="0" fontId="71" fillId="20" borderId="69" xfId="0" applyFont="1" applyFill="1" applyBorder="1" applyAlignment="1">
      <alignment horizontal="center" vertical="center" wrapText="1"/>
    </xf>
    <xf numFmtId="0" fontId="66" fillId="0" borderId="0" xfId="0" applyFont="1" applyAlignment="1">
      <alignment horizontal="center" vertical="center"/>
    </xf>
    <xf numFmtId="0" fontId="65" fillId="0" borderId="0" xfId="0" applyFont="1" applyAlignment="1">
      <alignment horizontal="center" vertical="center"/>
    </xf>
    <xf numFmtId="0" fontId="62" fillId="0" borderId="0" xfId="0" applyFont="1"/>
    <xf numFmtId="0" fontId="73" fillId="0" borderId="0" xfId="0" applyFont="1" applyAlignment="1">
      <alignment vertical="center" wrapText="1"/>
    </xf>
    <xf numFmtId="0" fontId="73" fillId="0" borderId="73" xfId="0" applyFont="1" applyBorder="1" applyAlignment="1">
      <alignment horizontal="center" vertical="center" wrapText="1"/>
    </xf>
    <xf numFmtId="0" fontId="73" fillId="0" borderId="26" xfId="0" applyFont="1" applyBorder="1" applyAlignment="1">
      <alignment horizontal="center" vertical="center" wrapText="1"/>
    </xf>
    <xf numFmtId="0" fontId="78" fillId="0" borderId="77" xfId="0" applyFont="1" applyBorder="1" applyAlignment="1">
      <alignment horizontal="justify" vertical="center" wrapText="1"/>
    </xf>
    <xf numFmtId="0" fontId="78" fillId="0" borderId="79" xfId="0" applyFont="1" applyBorder="1" applyAlignment="1">
      <alignment horizontal="justify" vertical="center" wrapText="1"/>
    </xf>
    <xf numFmtId="0" fontId="77" fillId="16" borderId="77" xfId="0" applyFont="1" applyFill="1" applyBorder="1" applyAlignment="1">
      <alignment horizontal="center" vertical="center" wrapText="1"/>
    </xf>
    <xf numFmtId="0" fontId="77" fillId="16" borderId="79" xfId="0" applyFont="1" applyFill="1" applyBorder="1" applyAlignment="1">
      <alignment horizontal="center" vertical="center" wrapText="1"/>
    </xf>
    <xf numFmtId="0" fontId="77" fillId="16" borderId="81"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30" xfId="0" applyFont="1" applyFill="1" applyBorder="1" applyAlignment="1">
      <alignment horizontal="center" vertical="center" wrapText="1"/>
    </xf>
    <xf numFmtId="0" fontId="77" fillId="19" borderId="69" xfId="0" applyFont="1" applyFill="1" applyBorder="1" applyAlignment="1">
      <alignment horizontal="center" vertical="center" wrapText="1"/>
    </xf>
    <xf numFmtId="0" fontId="77" fillId="19" borderId="36" xfId="0" applyFont="1" applyFill="1" applyBorder="1" applyAlignment="1">
      <alignment horizontal="center" vertical="center" wrapText="1"/>
    </xf>
    <xf numFmtId="0" fontId="78" fillId="0" borderId="10" xfId="0" applyFont="1" applyBorder="1" applyAlignment="1">
      <alignment horizontal="justify" vertical="center" wrapText="1"/>
    </xf>
    <xf numFmtId="0" fontId="62" fillId="0" borderId="5" xfId="0" applyFont="1" applyBorder="1" applyAlignment="1">
      <alignment horizontal="justify" vertical="center" wrapText="1"/>
    </xf>
    <xf numFmtId="0" fontId="62" fillId="0" borderId="5" xfId="0" applyFont="1" applyBorder="1" applyAlignment="1">
      <alignment horizontal="left" vertical="center" wrapText="1"/>
    </xf>
    <xf numFmtId="0" fontId="61" fillId="0" borderId="24" xfId="0" applyFont="1" applyBorder="1" applyAlignment="1">
      <alignment horizontal="left" vertical="center" wrapText="1"/>
    </xf>
    <xf numFmtId="0" fontId="61" fillId="0" borderId="5" xfId="0" applyFont="1" applyBorder="1" applyAlignment="1">
      <alignment horizontal="justify" vertical="center" wrapText="1"/>
    </xf>
    <xf numFmtId="0" fontId="64" fillId="0" borderId="85" xfId="0" applyFont="1" applyBorder="1" applyAlignment="1">
      <alignment horizontal="center" vertical="center"/>
    </xf>
    <xf numFmtId="0" fontId="64" fillId="0" borderId="84" xfId="0" applyFont="1" applyBorder="1" applyAlignment="1">
      <alignment horizontal="center" vertical="center"/>
    </xf>
    <xf numFmtId="0" fontId="70" fillId="0" borderId="86" xfId="0" applyFont="1" applyBorder="1" applyAlignment="1">
      <alignment horizontal="center" vertical="center"/>
    </xf>
    <xf numFmtId="0" fontId="80" fillId="24" borderId="89" xfId="0" applyFont="1" applyFill="1" applyBorder="1" applyAlignment="1">
      <alignment horizontal="left" vertical="center" wrapText="1" readingOrder="1"/>
    </xf>
    <xf numFmtId="0" fontId="80" fillId="25" borderId="89" xfId="0" applyFont="1" applyFill="1" applyBorder="1" applyAlignment="1">
      <alignment horizontal="left" vertical="center" wrapText="1" readingOrder="1"/>
    </xf>
    <xf numFmtId="0" fontId="75" fillId="0" borderId="22" xfId="0" applyFont="1" applyBorder="1" applyAlignment="1">
      <alignment horizontal="left" vertical="center" wrapText="1"/>
    </xf>
    <xf numFmtId="0" fontId="86" fillId="0" borderId="84" xfId="0" applyFont="1" applyBorder="1" applyAlignment="1">
      <alignment vertical="center" wrapText="1"/>
    </xf>
    <xf numFmtId="0" fontId="85" fillId="0" borderId="84" xfId="0" applyFont="1" applyBorder="1" applyAlignment="1">
      <alignment vertical="center"/>
    </xf>
    <xf numFmtId="0" fontId="85" fillId="0" borderId="84" xfId="0" applyFont="1" applyBorder="1" applyAlignment="1">
      <alignment vertical="center" wrapText="1"/>
    </xf>
    <xf numFmtId="0" fontId="85" fillId="27" borderId="0" xfId="0" applyFont="1" applyFill="1" applyAlignment="1">
      <alignment horizontal="center" vertical="center"/>
    </xf>
    <xf numFmtId="0" fontId="77" fillId="27" borderId="69" xfId="0" applyFont="1" applyFill="1" applyBorder="1" applyAlignment="1">
      <alignment horizontal="center" vertical="center" wrapText="1"/>
    </xf>
    <xf numFmtId="0" fontId="77" fillId="27" borderId="36" xfId="0" applyFont="1" applyFill="1" applyBorder="1" applyAlignment="1">
      <alignment horizontal="center" vertical="center" wrapText="1"/>
    </xf>
    <xf numFmtId="0" fontId="0" fillId="3" borderId="0" xfId="0" applyFill="1" applyAlignment="1">
      <alignment vertical="top"/>
    </xf>
    <xf numFmtId="164" fontId="0" fillId="3" borderId="0" xfId="5" applyFont="1" applyFill="1" applyAlignment="1">
      <alignment horizontal="left" vertical="top"/>
    </xf>
    <xf numFmtId="0" fontId="0" fillId="0" borderId="0" xfId="0" applyAlignment="1">
      <alignment vertical="top"/>
    </xf>
    <xf numFmtId="164" fontId="55" fillId="3" borderId="0" xfId="5" applyFont="1" applyFill="1" applyAlignment="1">
      <alignment vertical="top"/>
    </xf>
    <xf numFmtId="0" fontId="60" fillId="0" borderId="0" xfId="0" applyFont="1" applyFill="1" applyBorder="1"/>
    <xf numFmtId="0" fontId="61" fillId="0" borderId="0" xfId="0" applyFont="1" applyFill="1" applyBorder="1"/>
    <xf numFmtId="0" fontId="62" fillId="0" borderId="0" xfId="0" applyFont="1" applyFill="1" applyBorder="1"/>
    <xf numFmtId="0" fontId="65" fillId="0" borderId="0" xfId="0" applyFont="1" applyFill="1" applyBorder="1" applyAlignment="1">
      <alignment horizontal="center" vertical="center" wrapText="1"/>
    </xf>
    <xf numFmtId="0" fontId="65" fillId="0" borderId="0" xfId="0" applyFont="1" applyFill="1" applyBorder="1" applyAlignment="1">
      <alignment horizontal="center" vertical="center" textRotation="90" wrapText="1"/>
    </xf>
    <xf numFmtId="0" fontId="61" fillId="0" borderId="0" xfId="0" applyFont="1" applyFill="1" applyBorder="1" applyAlignment="1">
      <alignment horizontal="justify" vertical="center" wrapText="1"/>
    </xf>
    <xf numFmtId="0" fontId="61" fillId="0" borderId="0" xfId="0" applyFont="1" applyFill="1" applyBorder="1" applyAlignment="1">
      <alignment horizontal="left" vertical="center" wrapText="1"/>
    </xf>
    <xf numFmtId="0" fontId="71" fillId="0" borderId="0" xfId="0" applyFont="1" applyFill="1" applyBorder="1" applyAlignment="1">
      <alignment horizontal="center" vertical="center" textRotation="90" wrapText="1"/>
    </xf>
    <xf numFmtId="0" fontId="70" fillId="0" borderId="0" xfId="0" applyFont="1" applyFill="1" applyBorder="1"/>
    <xf numFmtId="0" fontId="71" fillId="0" borderId="0" xfId="0" applyFont="1" applyFill="1" applyBorder="1" applyAlignment="1">
      <alignment horizontal="center" vertical="center" wrapText="1"/>
    </xf>
    <xf numFmtId="0" fontId="82" fillId="0" borderId="90"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justify" vertical="center" wrapText="1"/>
      <protection locked="0"/>
    </xf>
    <xf numFmtId="0" fontId="82" fillId="0" borderId="90" xfId="0" applyFont="1" applyFill="1" applyBorder="1" applyAlignment="1" applyProtection="1">
      <alignment horizontal="justify" vertical="center"/>
      <protection locked="0"/>
    </xf>
    <xf numFmtId="0" fontId="82" fillId="0" borderId="90" xfId="0" applyFont="1" applyFill="1" applyBorder="1" applyAlignment="1" applyProtection="1">
      <alignment horizontal="center" vertical="center"/>
      <protection hidden="1"/>
    </xf>
    <xf numFmtId="0" fontId="82" fillId="0" borderId="90" xfId="0" applyFont="1" applyFill="1" applyBorder="1" applyAlignment="1" applyProtection="1">
      <alignment horizontal="center" vertical="center" textRotation="90"/>
      <protection locked="0"/>
    </xf>
    <xf numFmtId="9" fontId="82" fillId="0" borderId="90" xfId="0" applyNumberFormat="1" applyFont="1" applyFill="1" applyBorder="1" applyAlignment="1" applyProtection="1">
      <alignment horizontal="center" vertical="center"/>
      <protection hidden="1"/>
    </xf>
    <xf numFmtId="165" fontId="82" fillId="0" borderId="90" xfId="1" applyNumberFormat="1" applyFont="1" applyFill="1" applyBorder="1" applyAlignment="1">
      <alignment horizontal="center" vertical="center"/>
    </xf>
    <xf numFmtId="0" fontId="83" fillId="0" borderId="90" xfId="0" applyFont="1" applyFill="1" applyBorder="1" applyAlignment="1" applyProtection="1">
      <alignment horizontal="center" vertical="center" textRotation="90" wrapText="1"/>
      <protection hidden="1"/>
    </xf>
    <xf numFmtId="0" fontId="83" fillId="0" borderId="90" xfId="0" applyFont="1" applyFill="1" applyBorder="1" applyAlignment="1" applyProtection="1">
      <alignment horizontal="center" vertical="center" textRotation="90"/>
      <protection hidden="1"/>
    </xf>
    <xf numFmtId="0" fontId="82" fillId="0" borderId="90" xfId="0" applyFont="1" applyFill="1" applyBorder="1" applyAlignment="1" applyProtection="1">
      <alignment horizontal="center" vertical="center" textRotation="90" wrapText="1"/>
      <protection locked="0"/>
    </xf>
    <xf numFmtId="0" fontId="82" fillId="0" borderId="90" xfId="0" applyFont="1" applyFill="1" applyBorder="1" applyAlignment="1" applyProtection="1">
      <alignment horizontal="center" vertical="center"/>
      <protection locked="0"/>
    </xf>
    <xf numFmtId="14" fontId="82" fillId="0" borderId="90" xfId="0" applyNumberFormat="1" applyFont="1" applyFill="1" applyBorder="1" applyAlignment="1" applyProtection="1">
      <alignment horizontal="center" vertical="center"/>
      <protection locked="0"/>
    </xf>
    <xf numFmtId="0" fontId="82" fillId="0" borderId="0" xfId="0" applyFont="1" applyFill="1"/>
    <xf numFmtId="0" fontId="82" fillId="0" borderId="90" xfId="0" applyFont="1" applyFill="1" applyBorder="1" applyAlignment="1" applyProtection="1">
      <alignment horizontal="justify" vertical="top" wrapText="1"/>
      <protection locked="0"/>
    </xf>
    <xf numFmtId="0" fontId="81" fillId="0" borderId="0" xfId="0" applyFont="1" applyAlignment="1">
      <alignment vertical="center"/>
    </xf>
    <xf numFmtId="0" fontId="88" fillId="3" borderId="0" xfId="0" applyFont="1" applyFill="1"/>
    <xf numFmtId="0" fontId="88" fillId="0" borderId="0" xfId="0" applyFont="1"/>
    <xf numFmtId="0" fontId="81" fillId="0" borderId="93" xfId="0" applyFont="1" applyBorder="1" applyAlignment="1">
      <alignment vertical="center"/>
    </xf>
    <xf numFmtId="0" fontId="81" fillId="0" borderId="91" xfId="0" applyFont="1" applyBorder="1" applyAlignment="1">
      <alignment vertical="center"/>
    </xf>
    <xf numFmtId="0" fontId="82" fillId="3" borderId="0" xfId="0" applyFont="1" applyFill="1" applyAlignment="1">
      <alignment horizontal="center" vertical="center"/>
    </xf>
    <xf numFmtId="0" fontId="82" fillId="3" borderId="0" xfId="0" applyFont="1" applyFill="1" applyAlignment="1">
      <alignment horizontal="left" vertical="center"/>
    </xf>
    <xf numFmtId="0" fontId="82" fillId="3" borderId="0" xfId="0" applyFont="1" applyFill="1"/>
    <xf numFmtId="0" fontId="82" fillId="3" borderId="0" xfId="0" applyFont="1" applyFill="1" applyAlignment="1">
      <alignment horizontal="center"/>
    </xf>
    <xf numFmtId="0" fontId="82" fillId="3" borderId="0" xfId="0" applyFont="1" applyFill="1" applyAlignment="1">
      <alignment wrapText="1"/>
    </xf>
    <xf numFmtId="0" fontId="82" fillId="0" borderId="0" xfId="0" applyFont="1"/>
    <xf numFmtId="0" fontId="83" fillId="3" borderId="99" xfId="0" applyFont="1" applyFill="1" applyBorder="1"/>
    <xf numFmtId="0" fontId="83" fillId="3" borderId="90" xfId="0" applyFont="1" applyFill="1" applyBorder="1"/>
    <xf numFmtId="0" fontId="83" fillId="3" borderId="100" xfId="0" applyFont="1" applyFill="1" applyBorder="1"/>
    <xf numFmtId="0" fontId="83" fillId="3" borderId="111" xfId="0" applyFont="1" applyFill="1" applyBorder="1"/>
    <xf numFmtId="0" fontId="83" fillId="3" borderId="91" xfId="0" applyFont="1" applyFill="1" applyBorder="1"/>
    <xf numFmtId="0" fontId="83" fillId="3" borderId="101" xfId="0" applyFont="1" applyFill="1" applyBorder="1"/>
    <xf numFmtId="0" fontId="83" fillId="0" borderId="0" xfId="0" applyFont="1" applyAlignment="1">
      <alignment horizontal="left" vertical="center"/>
    </xf>
    <xf numFmtId="0" fontId="82" fillId="0" borderId="0" xfId="0" applyFont="1" applyAlignment="1" applyProtection="1">
      <alignment horizontal="left" vertical="center" wrapText="1"/>
      <protection locked="0"/>
    </xf>
    <xf numFmtId="0" fontId="83" fillId="0" borderId="0" xfId="0" applyFont="1"/>
    <xf numFmtId="0" fontId="82" fillId="0" borderId="0" xfId="0" applyFont="1" applyAlignment="1">
      <alignment horizontal="left" wrapText="1"/>
    </xf>
    <xf numFmtId="0" fontId="83" fillId="16" borderId="90" xfId="0" applyFont="1" applyFill="1" applyBorder="1" applyAlignment="1">
      <alignment horizontal="center" vertical="center" textRotation="90"/>
    </xf>
    <xf numFmtId="0" fontId="83" fillId="3" borderId="0" xfId="0" applyFont="1" applyFill="1" applyAlignment="1">
      <alignment horizontal="center" vertical="center"/>
    </xf>
    <xf numFmtId="0" fontId="83" fillId="0" borderId="0" xfId="0" applyFont="1" applyAlignment="1">
      <alignment horizontal="center" vertical="center"/>
    </xf>
    <xf numFmtId="0" fontId="83" fillId="2" borderId="0" xfId="0" applyFont="1" applyFill="1" applyAlignment="1">
      <alignment horizontal="center" vertical="center"/>
    </xf>
    <xf numFmtId="0" fontId="82" fillId="0" borderId="90" xfId="0" applyFont="1" applyFill="1" applyBorder="1" applyAlignment="1">
      <alignment horizontal="center" vertical="center"/>
    </xf>
    <xf numFmtId="0" fontId="82" fillId="0" borderId="0" xfId="0" applyFont="1" applyFill="1" applyAlignment="1">
      <alignment vertical="center"/>
    </xf>
    <xf numFmtId="0" fontId="82" fillId="0" borderId="3" xfId="0" applyFont="1" applyBorder="1" applyAlignment="1">
      <alignment horizontal="center" vertical="center"/>
    </xf>
    <xf numFmtId="0" fontId="82" fillId="0" borderId="0" xfId="0" applyFont="1" applyAlignment="1">
      <alignment wrapText="1"/>
    </xf>
    <xf numFmtId="0" fontId="82" fillId="0" borderId="0" xfId="0" applyFont="1" applyAlignment="1">
      <alignment horizontal="center" vertical="center"/>
    </xf>
    <xf numFmtId="0" fontId="82" fillId="0" borderId="0" xfId="0" applyFont="1" applyAlignment="1">
      <alignment horizontal="center"/>
    </xf>
    <xf numFmtId="167" fontId="30" fillId="0" borderId="64" xfId="0" applyNumberFormat="1" applyFont="1" applyBorder="1" applyAlignment="1">
      <alignment horizontal="center" vertical="center" wrapText="1" readingOrder="1"/>
    </xf>
    <xf numFmtId="0" fontId="82" fillId="0" borderId="90" xfId="0" applyFont="1" applyFill="1" applyBorder="1" applyAlignment="1" applyProtection="1">
      <alignment horizontal="center" vertical="center" wrapText="1"/>
      <protection locked="0"/>
    </xf>
    <xf numFmtId="0" fontId="89" fillId="0" borderId="74" xfId="0" applyFont="1" applyBorder="1" applyAlignment="1">
      <alignment horizontal="center" vertical="center" wrapText="1"/>
    </xf>
    <xf numFmtId="0" fontId="89" fillId="0" borderId="75" xfId="0" applyFont="1" applyBorder="1" applyAlignment="1">
      <alignment horizontal="center" vertical="center" wrapText="1"/>
    </xf>
    <xf numFmtId="0" fontId="89" fillId="0" borderId="22" xfId="0" applyFont="1" applyBorder="1" applyAlignment="1">
      <alignment horizontal="center" vertical="center" wrapText="1"/>
    </xf>
    <xf numFmtId="0" fontId="89" fillId="0" borderId="27" xfId="0" applyFont="1" applyBorder="1" applyAlignment="1">
      <alignment horizontal="center" vertical="center" wrapText="1"/>
    </xf>
    <xf numFmtId="0" fontId="82" fillId="0" borderId="118" xfId="0" applyFont="1" applyBorder="1" applyAlignment="1" applyProtection="1">
      <alignment horizontal="justify" vertical="center" wrapText="1"/>
      <protection locked="0"/>
    </xf>
    <xf numFmtId="0" fontId="82" fillId="0" borderId="90" xfId="0" applyFont="1" applyBorder="1" applyAlignment="1" applyProtection="1">
      <alignment horizontal="justify" vertical="top" wrapText="1"/>
      <protection locked="0"/>
    </xf>
    <xf numFmtId="0" fontId="82" fillId="0" borderId="90" xfId="0" applyFont="1" applyBorder="1" applyAlignment="1" applyProtection="1">
      <alignment horizontal="center" vertical="center" wrapText="1"/>
      <protection locked="0"/>
    </xf>
    <xf numFmtId="0" fontId="82" fillId="0" borderId="92" xfId="0" applyFont="1" applyBorder="1" applyAlignment="1" applyProtection="1">
      <alignment horizontal="center" vertical="center" wrapText="1"/>
      <protection locked="0"/>
    </xf>
    <xf numFmtId="14" fontId="82" fillId="0" borderId="118" xfId="0" applyNumberFormat="1" applyFont="1" applyBorder="1" applyAlignment="1" applyProtection="1">
      <alignment horizontal="center" vertical="center"/>
      <protection locked="0"/>
    </xf>
    <xf numFmtId="0" fontId="82" fillId="0" borderId="118" xfId="0" applyFont="1" applyBorder="1" applyAlignment="1" applyProtection="1">
      <alignment horizontal="justify" vertical="top" wrapText="1"/>
      <protection locked="0"/>
    </xf>
    <xf numFmtId="0" fontId="90" fillId="0" borderId="90" xfId="0" applyFont="1" applyBorder="1" applyAlignment="1" applyProtection="1">
      <alignment horizontal="center" vertical="center" wrapText="1"/>
      <protection locked="0"/>
    </xf>
    <xf numFmtId="14" fontId="82" fillId="0" borderId="90" xfId="0" applyNumberFormat="1" applyFont="1" applyBorder="1" applyAlignment="1" applyProtection="1">
      <alignment horizontal="center" vertical="center"/>
      <protection locked="0"/>
    </xf>
    <xf numFmtId="14" fontId="82" fillId="0" borderId="90" xfId="0" applyNumberFormat="1" applyFont="1" applyFill="1" applyBorder="1" applyAlignment="1" applyProtection="1">
      <alignment horizontal="center" vertical="center" wrapText="1"/>
      <protection locked="0"/>
    </xf>
    <xf numFmtId="0" fontId="82" fillId="0" borderId="105" xfId="0" applyFont="1" applyFill="1" applyBorder="1" applyAlignment="1" applyProtection="1">
      <alignment vertical="center"/>
      <protection locked="0"/>
    </xf>
    <xf numFmtId="0" fontId="82" fillId="0" borderId="92" xfId="0" applyFont="1" applyFill="1" applyBorder="1" applyAlignment="1" applyProtection="1">
      <alignment vertical="center"/>
      <protection locked="0"/>
    </xf>
    <xf numFmtId="0" fontId="82" fillId="0" borderId="91" xfId="0" applyFont="1" applyFill="1" applyBorder="1" applyAlignment="1" applyProtection="1">
      <alignment vertical="center" wrapText="1"/>
      <protection locked="0"/>
    </xf>
    <xf numFmtId="0" fontId="82" fillId="0" borderId="90" xfId="0" applyFont="1" applyFill="1" applyBorder="1" applyAlignment="1" applyProtection="1">
      <alignment horizontal="center" vertical="center" wrapText="1"/>
      <protection locked="0"/>
    </xf>
    <xf numFmtId="0" fontId="59" fillId="0" borderId="0" xfId="0" applyFont="1" applyAlignment="1">
      <alignment wrapText="1"/>
    </xf>
    <xf numFmtId="0" fontId="64" fillId="0" borderId="0" xfId="0" applyFont="1" applyAlignment="1">
      <alignment wrapText="1"/>
    </xf>
    <xf numFmtId="0" fontId="65" fillId="28" borderId="22" xfId="0" applyFont="1" applyFill="1" applyBorder="1" applyAlignment="1">
      <alignment horizontal="center" vertical="center" wrapText="1"/>
    </xf>
    <xf numFmtId="0" fontId="66" fillId="28" borderId="22" xfId="0" applyFont="1" applyFill="1" applyBorder="1" applyAlignment="1">
      <alignment horizontal="center" vertical="center" wrapText="1"/>
    </xf>
    <xf numFmtId="0" fontId="79" fillId="19" borderId="22" xfId="0" applyFont="1" applyFill="1" applyBorder="1" applyAlignment="1">
      <alignment horizontal="center" vertical="center" textRotation="90" wrapText="1"/>
    </xf>
    <xf numFmtId="0" fontId="6" fillId="3" borderId="22" xfId="0" applyFont="1" applyFill="1" applyBorder="1" applyAlignment="1">
      <alignment horizontal="center" vertical="center" wrapText="1"/>
    </xf>
    <xf numFmtId="0" fontId="6" fillId="0" borderId="22" xfId="0" applyFont="1" applyBorder="1" applyAlignment="1">
      <alignment horizontal="center" vertical="center" wrapText="1"/>
    </xf>
    <xf numFmtId="0" fontId="79" fillId="20" borderId="22" xfId="0" applyFont="1" applyFill="1" applyBorder="1" applyAlignment="1">
      <alignment horizontal="center" vertical="center" textRotation="90" wrapText="1"/>
    </xf>
    <xf numFmtId="0" fontId="65" fillId="28" borderId="120" xfId="0" applyFont="1" applyFill="1" applyBorder="1" applyAlignment="1">
      <alignment horizontal="center" vertical="center" wrapText="1"/>
    </xf>
    <xf numFmtId="0" fontId="6" fillId="3" borderId="120" xfId="0" applyFont="1" applyFill="1" applyBorder="1" applyAlignment="1">
      <alignment horizontal="center" vertical="center" wrapText="1"/>
    </xf>
    <xf numFmtId="0" fontId="6" fillId="0" borderId="120" xfId="0" applyFont="1" applyBorder="1" applyAlignment="1">
      <alignment horizontal="center" vertical="center" wrapText="1"/>
    </xf>
    <xf numFmtId="0" fontId="59" fillId="0" borderId="0" xfId="0" applyFont="1" applyBorder="1"/>
    <xf numFmtId="0" fontId="64" fillId="0" borderId="0" xfId="0" applyFont="1" applyBorder="1"/>
    <xf numFmtId="0" fontId="70" fillId="0" borderId="0" xfId="0" applyFont="1" applyBorder="1"/>
    <xf numFmtId="0" fontId="64" fillId="0" borderId="27" xfId="0" applyFont="1" applyBorder="1" applyAlignment="1">
      <alignment horizontal="center" vertical="center" wrapText="1"/>
    </xf>
    <xf numFmtId="0" fontId="79" fillId="20" borderId="29" xfId="0" applyFont="1" applyFill="1" applyBorder="1" applyAlignment="1">
      <alignment horizontal="center" vertical="center" textRotation="90" wrapText="1"/>
    </xf>
    <xf numFmtId="0" fontId="79" fillId="0" borderId="121" xfId="0" applyFont="1" applyBorder="1" applyAlignment="1">
      <alignment horizontal="center" vertical="center" wrapText="1"/>
    </xf>
    <xf numFmtId="0" fontId="64"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2" xfId="0" applyFont="1" applyFill="1" applyBorder="1" applyAlignment="1">
      <alignment horizontal="center" vertical="center" wrapText="1"/>
    </xf>
    <xf numFmtId="0" fontId="6" fillId="0" borderId="120" xfId="0" applyFont="1" applyFill="1" applyBorder="1" applyAlignment="1">
      <alignment horizontal="center" vertical="center" wrapText="1"/>
    </xf>
    <xf numFmtId="0" fontId="64" fillId="0" borderId="27" xfId="0" applyFont="1" applyFill="1" applyBorder="1" applyAlignment="1">
      <alignment horizontal="center" vertical="center" wrapText="1"/>
    </xf>
    <xf numFmtId="0" fontId="6" fillId="0" borderId="27" xfId="0" applyFont="1" applyBorder="1" applyAlignment="1">
      <alignment horizontal="center" vertical="center" wrapText="1"/>
    </xf>
    <xf numFmtId="0" fontId="52" fillId="3" borderId="53" xfId="2" applyFont="1" applyFill="1" applyBorder="1" applyAlignment="1">
      <alignment horizontal="justify" vertical="center" wrapText="1"/>
    </xf>
    <xf numFmtId="0" fontId="52" fillId="3" borderId="54" xfId="2" applyFont="1" applyFill="1" applyBorder="1" applyAlignment="1">
      <alignment horizontal="justify" vertical="center" wrapText="1"/>
    </xf>
    <xf numFmtId="0" fontId="51" fillId="3" borderId="60" xfId="0" applyFont="1" applyFill="1" applyBorder="1" applyAlignment="1">
      <alignment horizontal="left" vertical="center" wrapText="1"/>
    </xf>
    <xf numFmtId="0" fontId="51" fillId="3" borderId="61" xfId="0" applyFont="1" applyFill="1" applyBorder="1" applyAlignment="1">
      <alignment horizontal="left" vertical="center" wrapText="1"/>
    </xf>
    <xf numFmtId="0" fontId="51" fillId="3" borderId="47" xfId="3" applyFont="1" applyFill="1" applyBorder="1" applyAlignment="1">
      <alignment horizontal="left" vertical="top" wrapText="1" readingOrder="1"/>
    </xf>
    <xf numFmtId="0" fontId="51" fillId="3" borderId="48" xfId="3" applyFont="1" applyFill="1" applyBorder="1" applyAlignment="1">
      <alignment horizontal="left" vertical="top" wrapText="1" readingOrder="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1" xfId="0" applyFont="1" applyFill="1" applyBorder="1" applyAlignment="1">
      <alignment horizontal="left" vertical="center" wrapText="1"/>
    </xf>
    <xf numFmtId="0" fontId="51" fillId="3" borderId="52" xfId="0" applyFont="1" applyFill="1" applyBorder="1" applyAlignment="1">
      <alignment horizontal="left" vertical="center" wrapText="1"/>
    </xf>
    <xf numFmtId="0" fontId="46" fillId="3" borderId="7"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8" xfId="2" applyFont="1" applyFill="1" applyBorder="1" applyAlignment="1">
      <alignment horizontal="left" vertical="top" wrapText="1"/>
    </xf>
    <xf numFmtId="0" fontId="51" fillId="3" borderId="62" xfId="0" applyFont="1" applyFill="1" applyBorder="1" applyAlignment="1">
      <alignment horizontal="left" vertical="center" wrapText="1"/>
    </xf>
    <xf numFmtId="0" fontId="51" fillId="3" borderId="63" xfId="0" applyFont="1" applyFill="1" applyBorder="1" applyAlignment="1">
      <alignment horizontal="left" vertical="center" wrapText="1"/>
    </xf>
    <xf numFmtId="0" fontId="52" fillId="3" borderId="55" xfId="0" applyFont="1" applyFill="1" applyBorder="1" applyAlignment="1">
      <alignment horizontal="justify" vertical="center" wrapText="1"/>
    </xf>
    <xf numFmtId="0" fontId="52" fillId="3" borderId="56" xfId="0" applyFont="1" applyFill="1" applyBorder="1" applyAlignment="1">
      <alignment horizontal="justify" vertical="center" wrapText="1"/>
    </xf>
    <xf numFmtId="0" fontId="47" fillId="23" borderId="37" xfId="2" applyFont="1" applyFill="1" applyBorder="1" applyAlignment="1">
      <alignment horizontal="center" vertical="center" wrapText="1"/>
    </xf>
    <xf numFmtId="0" fontId="47" fillId="23" borderId="38" xfId="2" applyFont="1" applyFill="1" applyBorder="1" applyAlignment="1">
      <alignment horizontal="center" vertical="center" wrapText="1"/>
    </xf>
    <xf numFmtId="0" fontId="47" fillId="23" borderId="39" xfId="2" applyFont="1" applyFill="1" applyBorder="1" applyAlignment="1">
      <alignment horizontal="center" vertical="center" wrapText="1"/>
    </xf>
    <xf numFmtId="0" fontId="46" fillId="0" borderId="7"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8" xfId="2" quotePrefix="1" applyFont="1" applyBorder="1" applyAlignment="1">
      <alignment horizontal="left" vertical="center" wrapText="1"/>
    </xf>
    <xf numFmtId="0" fontId="46" fillId="0" borderId="57" xfId="2" quotePrefix="1" applyFont="1" applyBorder="1" applyAlignment="1">
      <alignment horizontal="left" vertical="center" wrapText="1"/>
    </xf>
    <xf numFmtId="0" fontId="46" fillId="0" borderId="58" xfId="2" quotePrefix="1" applyFont="1" applyBorder="1" applyAlignment="1">
      <alignment horizontal="left" vertical="center" wrapText="1"/>
    </xf>
    <xf numFmtId="0" fontId="46" fillId="0" borderId="59" xfId="2" quotePrefix="1" applyFont="1" applyBorder="1" applyAlignment="1">
      <alignment horizontal="left" vertical="center" wrapText="1"/>
    </xf>
    <xf numFmtId="0" fontId="48" fillId="3" borderId="40" xfId="2" quotePrefix="1" applyFont="1" applyFill="1" applyBorder="1" applyAlignment="1">
      <alignment horizontal="left" vertical="top" wrapText="1"/>
    </xf>
    <xf numFmtId="0" fontId="49" fillId="3" borderId="41" xfId="2" quotePrefix="1" applyFont="1" applyFill="1" applyBorder="1" applyAlignment="1">
      <alignment horizontal="left" vertical="top" wrapText="1"/>
    </xf>
    <xf numFmtId="0" fontId="49" fillId="3" borderId="42" xfId="2" quotePrefix="1" applyFont="1" applyFill="1" applyBorder="1" applyAlignment="1">
      <alignment horizontal="left" vertical="top" wrapText="1"/>
    </xf>
    <xf numFmtId="0" fontId="46" fillId="0" borderId="7"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8" xfId="2" quotePrefix="1" applyFont="1" applyBorder="1" applyAlignment="1">
      <alignment horizontal="left" vertical="top" wrapText="1"/>
    </xf>
    <xf numFmtId="0" fontId="51" fillId="14" borderId="43" xfId="3" applyFont="1" applyFill="1" applyBorder="1" applyAlignment="1">
      <alignment horizontal="center" vertical="center" wrapText="1"/>
    </xf>
    <xf numFmtId="0" fontId="51" fillId="14" borderId="44" xfId="3" applyFont="1" applyFill="1" applyBorder="1" applyAlignment="1">
      <alignment horizontal="center" vertical="center" wrapText="1"/>
    </xf>
    <xf numFmtId="0" fontId="51" fillId="14" borderId="45" xfId="2" applyFont="1" applyFill="1" applyBorder="1" applyAlignment="1">
      <alignment horizontal="center" vertical="center"/>
    </xf>
    <xf numFmtId="0" fontId="51"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textRotation="90"/>
    </xf>
    <xf numFmtId="15" fontId="79" fillId="6" borderId="75" xfId="0" applyNumberFormat="1" applyFont="1" applyFill="1" applyBorder="1" applyAlignment="1">
      <alignment horizontal="center" vertical="center" wrapText="1"/>
    </xf>
    <xf numFmtId="15" fontId="79" fillId="6" borderId="27" xfId="0" applyNumberFormat="1" applyFont="1" applyFill="1" applyBorder="1" applyAlignment="1">
      <alignment horizontal="center" vertical="center" wrapText="1"/>
    </xf>
    <xf numFmtId="0" fontId="63" fillId="26" borderId="24" xfId="0" applyFont="1" applyFill="1" applyBorder="1" applyAlignment="1">
      <alignment horizontal="center" vertical="center" wrapText="1"/>
    </xf>
    <xf numFmtId="0" fontId="63" fillId="26" borderId="12" xfId="0" applyFont="1" applyFill="1" applyBorder="1" applyAlignment="1">
      <alignment horizontal="center" vertical="center" wrapText="1"/>
    </xf>
    <xf numFmtId="0" fontId="63" fillId="26" borderId="5" xfId="0" applyFont="1" applyFill="1" applyBorder="1" applyAlignment="1">
      <alignment horizontal="center" vertical="center" textRotation="90"/>
    </xf>
    <xf numFmtId="0" fontId="63" fillId="26" borderId="7" xfId="0" applyFont="1" applyFill="1" applyBorder="1" applyAlignment="1">
      <alignment horizontal="center" vertical="center" textRotation="90"/>
    </xf>
    <xf numFmtId="0" fontId="63" fillId="26" borderId="9" xfId="0" applyFont="1" applyFill="1" applyBorder="1" applyAlignment="1">
      <alignment horizontal="center" vertical="center" textRotation="90"/>
    </xf>
    <xf numFmtId="0" fontId="87" fillId="21" borderId="22" xfId="0" applyFont="1" applyFill="1" applyBorder="1" applyAlignment="1">
      <alignment horizontal="center" vertical="center" wrapText="1"/>
    </xf>
    <xf numFmtId="0" fontId="0" fillId="0" borderId="22" xfId="0" applyBorder="1" applyAlignment="1">
      <alignment horizontal="center"/>
    </xf>
    <xf numFmtId="0" fontId="81" fillId="0" borderId="22" xfId="0" applyFont="1" applyBorder="1" applyAlignment="1">
      <alignment horizontal="center" vertical="center" wrapText="1"/>
    </xf>
    <xf numFmtId="0" fontId="75" fillId="0" borderId="22" xfId="0" applyFont="1" applyBorder="1" applyAlignment="1">
      <alignment horizontal="left" vertical="center" wrapText="1"/>
    </xf>
    <xf numFmtId="0" fontId="75" fillId="0" borderId="22" xfId="0" applyFont="1" applyBorder="1" applyAlignment="1">
      <alignment horizontal="left" vertical="center" wrapText="1" indent="1"/>
    </xf>
    <xf numFmtId="0" fontId="76" fillId="0" borderId="87" xfId="0" applyFont="1" applyBorder="1" applyAlignment="1">
      <alignment horizontal="left"/>
    </xf>
    <xf numFmtId="0" fontId="76" fillId="0" borderId="0" xfId="0" applyFont="1" applyBorder="1" applyAlignment="1">
      <alignment horizontal="left"/>
    </xf>
    <xf numFmtId="0" fontId="63" fillId="17" borderId="66" xfId="0" applyFont="1" applyFill="1" applyBorder="1" applyAlignment="1">
      <alignment horizontal="center" vertical="center" wrapText="1"/>
    </xf>
    <xf numFmtId="0" fontId="63" fillId="17" borderId="67" xfId="0" applyFont="1" applyFill="1" applyBorder="1" applyAlignment="1">
      <alignment horizontal="center" vertical="center" wrapText="1"/>
    </xf>
    <xf numFmtId="0" fontId="63" fillId="18" borderId="68" xfId="0" applyFont="1" applyFill="1" applyBorder="1" applyAlignment="1">
      <alignment horizontal="center" vertical="center" textRotation="90"/>
    </xf>
    <xf numFmtId="0" fontId="63" fillId="18" borderId="70" xfId="0" applyFont="1" applyFill="1" applyBorder="1" applyAlignment="1">
      <alignment horizontal="center" vertical="center" textRotation="90"/>
    </xf>
    <xf numFmtId="0" fontId="63" fillId="18" borderId="72" xfId="0" applyFont="1" applyFill="1" applyBorder="1" applyAlignment="1">
      <alignment horizontal="center" vertical="center" textRotation="90"/>
    </xf>
    <xf numFmtId="0" fontId="79" fillId="22" borderId="87" xfId="0" applyFont="1" applyFill="1" applyBorder="1" applyAlignment="1">
      <alignment horizontal="center" vertical="center"/>
    </xf>
    <xf numFmtId="0" fontId="79" fillId="22" borderId="88" xfId="0" applyFont="1" applyFill="1" applyBorder="1" applyAlignment="1">
      <alignment horizontal="center" vertical="center"/>
    </xf>
    <xf numFmtId="9" fontId="82" fillId="0" borderId="90" xfId="0" applyNumberFormat="1" applyFont="1" applyFill="1" applyBorder="1" applyAlignment="1" applyProtection="1">
      <alignment horizontal="center" vertical="center" wrapText="1"/>
      <protection hidden="1"/>
    </xf>
    <xf numFmtId="0" fontId="83" fillId="0" borderId="90" xfId="0" applyFont="1" applyFill="1" applyBorder="1" applyAlignment="1" applyProtection="1">
      <alignment horizontal="center" vertical="center"/>
      <protection hidden="1"/>
    </xf>
    <xf numFmtId="0" fontId="88" fillId="0" borderId="96" xfId="0" applyFont="1" applyBorder="1" applyAlignment="1">
      <alignment horizontal="center" vertical="center"/>
    </xf>
    <xf numFmtId="0" fontId="88" fillId="0" borderId="97" xfId="0" applyFont="1" applyBorder="1" applyAlignment="1">
      <alignment horizontal="center" vertical="center"/>
    </xf>
    <xf numFmtId="0" fontId="88" fillId="0" borderId="98" xfId="0" applyFont="1" applyBorder="1" applyAlignment="1">
      <alignment horizontal="center" vertical="center"/>
    </xf>
    <xf numFmtId="0" fontId="88" fillId="0" borderId="99" xfId="0" applyFont="1" applyBorder="1" applyAlignment="1">
      <alignment horizontal="center" vertical="center"/>
    </xf>
    <xf numFmtId="0" fontId="88" fillId="0" borderId="90" xfId="0" applyFont="1" applyBorder="1" applyAlignment="1">
      <alignment horizontal="center" vertical="center"/>
    </xf>
    <xf numFmtId="0" fontId="88" fillId="0" borderId="100" xfId="0" applyFont="1" applyBorder="1" applyAlignment="1">
      <alignment horizontal="center" vertical="center"/>
    </xf>
    <xf numFmtId="0" fontId="88" fillId="0" borderId="102" xfId="0" applyFont="1" applyBorder="1" applyAlignment="1">
      <alignment horizontal="center" vertical="center"/>
    </xf>
    <xf numFmtId="0" fontId="88" fillId="0" borderId="103" xfId="0" applyFont="1" applyBorder="1" applyAlignment="1">
      <alignment horizontal="center" vertical="center"/>
    </xf>
    <xf numFmtId="0" fontId="88" fillId="0" borderId="104" xfId="0" applyFont="1" applyBorder="1" applyAlignment="1">
      <alignment horizontal="center" vertical="center"/>
    </xf>
    <xf numFmtId="0" fontId="81" fillId="0" borderId="109" xfId="0" applyFont="1" applyBorder="1" applyAlignment="1">
      <alignment horizontal="center" vertical="center"/>
    </xf>
    <xf numFmtId="0" fontId="81" fillId="0" borderId="97" xfId="0" applyFont="1" applyBorder="1" applyAlignment="1">
      <alignment horizontal="center" vertical="center"/>
    </xf>
    <xf numFmtId="0" fontId="81" fillId="0" borderId="98" xfId="0" applyFont="1" applyBorder="1" applyAlignment="1">
      <alignment horizontal="center" vertical="center"/>
    </xf>
    <xf numFmtId="0" fontId="81" fillId="0" borderId="110" xfId="0" applyFont="1" applyBorder="1" applyAlignment="1">
      <alignment horizontal="center" vertical="center"/>
    </xf>
    <xf numFmtId="0" fontId="81" fillId="0" borderId="103" xfId="0" applyFont="1" applyBorder="1" applyAlignment="1">
      <alignment horizontal="center" vertical="center"/>
    </xf>
    <xf numFmtId="0" fontId="81" fillId="0" borderId="104" xfId="0" applyFont="1" applyBorder="1" applyAlignment="1">
      <alignment horizontal="center" vertical="center"/>
    </xf>
    <xf numFmtId="0" fontId="81" fillId="0" borderId="95" xfId="0" applyFont="1" applyBorder="1" applyAlignment="1">
      <alignment horizontal="left" vertical="center"/>
    </xf>
    <xf numFmtId="0" fontId="81" fillId="0" borderId="105" xfId="0" applyFont="1" applyBorder="1" applyAlignment="1">
      <alignment horizontal="left" vertical="center"/>
    </xf>
    <xf numFmtId="0" fontId="81" fillId="0" borderId="106" xfId="0" applyFont="1" applyBorder="1" applyAlignment="1">
      <alignment horizontal="left" vertical="center"/>
    </xf>
    <xf numFmtId="0" fontId="81" fillId="0" borderId="110" xfId="0" applyFont="1" applyBorder="1" applyAlignment="1">
      <alignment horizontal="left" vertical="center"/>
    </xf>
    <xf numFmtId="0" fontId="81" fillId="0" borderId="103" xfId="0" applyFont="1" applyBorder="1" applyAlignment="1">
      <alignment horizontal="left" vertical="center"/>
    </xf>
    <xf numFmtId="0" fontId="81" fillId="0" borderId="104" xfId="0" applyFont="1" applyBorder="1" applyAlignment="1">
      <alignment horizontal="left" vertical="center"/>
    </xf>
    <xf numFmtId="0" fontId="82" fillId="3" borderId="109" xfId="0" applyFont="1" applyFill="1" applyBorder="1" applyAlignment="1">
      <alignment horizontal="left" wrapText="1"/>
    </xf>
    <xf numFmtId="0" fontId="82" fillId="3" borderId="97" xfId="0" applyFont="1" applyFill="1" applyBorder="1" applyAlignment="1">
      <alignment horizontal="left" wrapText="1"/>
    </xf>
    <xf numFmtId="0" fontId="82" fillId="3" borderId="98" xfId="0" applyFont="1" applyFill="1" applyBorder="1" applyAlignment="1">
      <alignment horizontal="left" wrapText="1"/>
    </xf>
    <xf numFmtId="0" fontId="82" fillId="3" borderId="94" xfId="0" applyFont="1" applyFill="1" applyBorder="1" applyAlignment="1">
      <alignment horizontal="left" wrapText="1"/>
    </xf>
    <xf numFmtId="0" fontId="82" fillId="3" borderId="90" xfId="0" applyFont="1" applyFill="1" applyBorder="1" applyAlignment="1">
      <alignment horizontal="left" wrapText="1"/>
    </xf>
    <xf numFmtId="0" fontId="82" fillId="3" borderId="100" xfId="0" applyFont="1" applyFill="1" applyBorder="1" applyAlignment="1">
      <alignment horizontal="left" wrapText="1"/>
    </xf>
    <xf numFmtId="0" fontId="82" fillId="3" borderId="93" xfId="0" applyFont="1" applyFill="1" applyBorder="1" applyAlignment="1">
      <alignment horizontal="left" wrapText="1"/>
    </xf>
    <xf numFmtId="0" fontId="82" fillId="3" borderId="91" xfId="0" applyFont="1" applyFill="1" applyBorder="1" applyAlignment="1">
      <alignment horizontal="left" wrapText="1"/>
    </xf>
    <xf numFmtId="0" fontId="82" fillId="3" borderId="101" xfId="0" applyFont="1" applyFill="1" applyBorder="1" applyAlignment="1">
      <alignment horizontal="left" wrapText="1"/>
    </xf>
    <xf numFmtId="0" fontId="81" fillId="0" borderId="96" xfId="0" applyFont="1" applyBorder="1" applyAlignment="1">
      <alignment horizontal="center" vertical="center"/>
    </xf>
    <xf numFmtId="0" fontId="81" fillId="0" borderId="102" xfId="0" applyFont="1" applyBorder="1" applyAlignment="1">
      <alignment horizontal="center" vertical="center"/>
    </xf>
    <xf numFmtId="0" fontId="81" fillId="0" borderId="107" xfId="0" applyFont="1" applyBorder="1" applyAlignment="1">
      <alignment horizontal="left" vertical="center"/>
    </xf>
    <xf numFmtId="0" fontId="81" fillId="0" borderId="92" xfId="0" applyFont="1" applyBorder="1" applyAlignment="1">
      <alignment horizontal="left" vertical="center"/>
    </xf>
    <xf numFmtId="0" fontId="81" fillId="0" borderId="102" xfId="0" applyFont="1" applyBorder="1" applyAlignment="1">
      <alignment horizontal="left" vertical="center"/>
    </xf>
    <xf numFmtId="0" fontId="81" fillId="0" borderId="108" xfId="0" applyFont="1" applyBorder="1" applyAlignment="1">
      <alignment horizontal="left" vertical="center"/>
    </xf>
    <xf numFmtId="0" fontId="83" fillId="16" borderId="112" xfId="0" applyFont="1" applyFill="1" applyBorder="1" applyAlignment="1">
      <alignment horizontal="left" vertical="center"/>
    </xf>
    <xf numFmtId="0" fontId="83" fillId="16" borderId="113" xfId="0" applyFont="1" applyFill="1" applyBorder="1" applyAlignment="1">
      <alignment horizontal="left" vertical="center"/>
    </xf>
    <xf numFmtId="0" fontId="83" fillId="16" borderId="114" xfId="0" applyFont="1" applyFill="1" applyBorder="1" applyAlignment="1">
      <alignment horizontal="left" vertical="center"/>
    </xf>
    <xf numFmtId="0" fontId="83" fillId="16" borderId="115" xfId="0" applyFont="1" applyFill="1" applyBorder="1" applyAlignment="1">
      <alignment horizontal="left" vertical="center"/>
    </xf>
    <xf numFmtId="0" fontId="83" fillId="16" borderId="116" xfId="0" applyFont="1" applyFill="1" applyBorder="1" applyAlignment="1">
      <alignment horizontal="left" vertical="center"/>
    </xf>
    <xf numFmtId="0" fontId="83" fillId="16" borderId="117" xfId="0" applyFont="1" applyFill="1" applyBorder="1" applyAlignment="1">
      <alignment horizontal="left" vertical="center"/>
    </xf>
    <xf numFmtId="9" fontId="82" fillId="0" borderId="90" xfId="0" applyNumberFormat="1" applyFont="1" applyFill="1" applyBorder="1" applyAlignment="1" applyProtection="1">
      <alignment horizontal="center" vertical="center" wrapText="1"/>
      <protection locked="0"/>
    </xf>
    <xf numFmtId="0" fontId="83" fillId="0" borderId="90" xfId="0" applyFont="1" applyFill="1" applyBorder="1" applyAlignment="1" applyProtection="1">
      <alignment horizontal="center" vertical="center" wrapText="1"/>
      <protection hidden="1"/>
    </xf>
    <xf numFmtId="0" fontId="83" fillId="0" borderId="90" xfId="0" applyFont="1" applyFill="1" applyBorder="1" applyAlignment="1">
      <alignment horizontal="center" vertical="center"/>
    </xf>
    <xf numFmtId="0" fontId="82" fillId="0" borderId="90" xfId="0" applyFont="1" applyFill="1" applyBorder="1" applyAlignment="1" applyProtection="1">
      <alignment horizontal="center" vertical="center" wrapText="1"/>
      <protection locked="0"/>
    </xf>
    <xf numFmtId="0" fontId="82" fillId="0" borderId="91" xfId="0" applyFont="1" applyFill="1" applyBorder="1" applyAlignment="1" applyProtection="1">
      <alignment horizontal="center" vertical="center" wrapText="1"/>
      <protection locked="0"/>
    </xf>
    <xf numFmtId="0" fontId="82" fillId="0" borderId="105" xfId="0" applyFont="1" applyFill="1" applyBorder="1" applyAlignment="1" applyProtection="1">
      <alignment horizontal="center" vertical="center" wrapText="1"/>
      <protection locked="0"/>
    </xf>
    <xf numFmtId="0" fontId="82" fillId="0" borderId="92"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center" vertical="center"/>
      <protection locked="0"/>
    </xf>
    <xf numFmtId="0" fontId="82" fillId="3" borderId="109" xfId="0" applyFont="1" applyFill="1" applyBorder="1" applyAlignment="1" applyProtection="1">
      <alignment horizontal="left" vertical="center"/>
      <protection locked="0"/>
    </xf>
    <xf numFmtId="0" fontId="82" fillId="3" borderId="97" xfId="0" applyFont="1" applyFill="1" applyBorder="1" applyAlignment="1" applyProtection="1">
      <alignment horizontal="left" vertical="center"/>
      <protection locked="0"/>
    </xf>
    <xf numFmtId="0" fontId="82" fillId="3" borderId="98" xfId="0" applyFont="1" applyFill="1" applyBorder="1" applyAlignment="1" applyProtection="1">
      <alignment horizontal="left" vertical="center"/>
      <protection locked="0"/>
    </xf>
    <xf numFmtId="0" fontId="83" fillId="3" borderId="96" xfId="0" applyFont="1" applyFill="1" applyBorder="1" applyAlignment="1">
      <alignment horizontal="left" vertical="center"/>
    </xf>
    <xf numFmtId="0" fontId="83" fillId="3" borderId="97" xfId="0" applyFont="1" applyFill="1" applyBorder="1" applyAlignment="1">
      <alignment horizontal="left" vertical="center"/>
    </xf>
    <xf numFmtId="0" fontId="83" fillId="3" borderId="98" xfId="0" applyFont="1" applyFill="1" applyBorder="1" applyAlignment="1">
      <alignment horizontal="left" vertical="center"/>
    </xf>
    <xf numFmtId="0" fontId="83" fillId="16" borderId="92" xfId="0" applyFont="1" applyFill="1" applyBorder="1" applyAlignment="1">
      <alignment horizontal="center" vertical="center"/>
    </xf>
    <xf numFmtId="0" fontId="82" fillId="0" borderId="2" xfId="0" applyFont="1" applyBorder="1" applyAlignment="1">
      <alignment horizontal="left" vertical="center" wrapText="1"/>
    </xf>
    <xf numFmtId="0" fontId="82" fillId="0" borderId="21" xfId="0" applyFont="1" applyBorder="1" applyAlignment="1">
      <alignment horizontal="left" vertical="center" wrapText="1"/>
    </xf>
    <xf numFmtId="0" fontId="82" fillId="0" borderId="90" xfId="0" applyFont="1" applyFill="1" applyBorder="1" applyAlignment="1" applyProtection="1">
      <alignment horizontal="left" vertical="center" wrapText="1"/>
      <protection locked="0"/>
    </xf>
    <xf numFmtId="0" fontId="82" fillId="0" borderId="90" xfId="0" applyFont="1" applyFill="1" applyBorder="1" applyAlignment="1" applyProtection="1">
      <alignment horizontal="center" vertical="top" wrapText="1"/>
      <protection locked="0"/>
    </xf>
    <xf numFmtId="0" fontId="82" fillId="0" borderId="91" xfId="0" applyFont="1" applyFill="1" applyBorder="1" applyAlignment="1" applyProtection="1">
      <alignment horizontal="center" vertical="top" wrapText="1"/>
      <protection locked="0"/>
    </xf>
    <xf numFmtId="0" fontId="82" fillId="0" borderId="105" xfId="0" applyFont="1" applyFill="1" applyBorder="1" applyAlignment="1" applyProtection="1">
      <alignment horizontal="center" vertical="top" wrapText="1"/>
      <protection locked="0"/>
    </xf>
    <xf numFmtId="0" fontId="82" fillId="0" borderId="92" xfId="0" applyFont="1" applyFill="1" applyBorder="1" applyAlignment="1" applyProtection="1">
      <alignment horizontal="center" vertical="top" wrapText="1"/>
      <protection locked="0"/>
    </xf>
    <xf numFmtId="0" fontId="82" fillId="3" borderId="94" xfId="0" applyFont="1" applyFill="1" applyBorder="1" applyAlignment="1" applyProtection="1">
      <alignment horizontal="left" vertical="center" wrapText="1"/>
      <protection locked="0"/>
    </xf>
    <xf numFmtId="0" fontId="82" fillId="3" borderId="90" xfId="0" applyFont="1" applyFill="1" applyBorder="1" applyAlignment="1" applyProtection="1">
      <alignment horizontal="left" vertical="center" wrapText="1"/>
      <protection locked="0"/>
    </xf>
    <xf numFmtId="0" fontId="82" fillId="3" borderId="100" xfId="0" applyFont="1" applyFill="1" applyBorder="1" applyAlignment="1" applyProtection="1">
      <alignment horizontal="left" vertical="center" wrapText="1"/>
      <protection locked="0"/>
    </xf>
    <xf numFmtId="0" fontId="82" fillId="3" borderId="110" xfId="0" applyFont="1" applyFill="1" applyBorder="1" applyAlignment="1" applyProtection="1">
      <alignment horizontal="left" vertical="center" wrapText="1"/>
      <protection locked="0"/>
    </xf>
    <xf numFmtId="0" fontId="82" fillId="3" borderId="103" xfId="0" applyFont="1" applyFill="1" applyBorder="1" applyAlignment="1" applyProtection="1">
      <alignment horizontal="left" vertical="center" wrapText="1"/>
      <protection locked="0"/>
    </xf>
    <xf numFmtId="0" fontId="82" fillId="3" borderId="104" xfId="0" applyFont="1" applyFill="1" applyBorder="1" applyAlignment="1" applyProtection="1">
      <alignment horizontal="left" vertical="center" wrapText="1"/>
      <protection locked="0"/>
    </xf>
    <xf numFmtId="0" fontId="83" fillId="16" borderId="90" xfId="0" applyFont="1" applyFill="1" applyBorder="1" applyAlignment="1">
      <alignment horizontal="center" vertical="center" wrapText="1"/>
    </xf>
    <xf numFmtId="0" fontId="82" fillId="0" borderId="91" xfId="0" applyFont="1" applyFill="1" applyBorder="1" applyAlignment="1" applyProtection="1">
      <alignment horizontal="center" vertical="center"/>
      <protection locked="0"/>
    </xf>
    <xf numFmtId="0" fontId="82" fillId="0" borderId="105" xfId="0" applyFont="1" applyFill="1" applyBorder="1" applyAlignment="1" applyProtection="1">
      <alignment horizontal="center" vertical="center"/>
      <protection locked="0"/>
    </xf>
    <xf numFmtId="0" fontId="82" fillId="0" borderId="92" xfId="0" applyFont="1" applyFill="1" applyBorder="1" applyAlignment="1" applyProtection="1">
      <alignment horizontal="center" vertical="center"/>
      <protection locked="0"/>
    </xf>
    <xf numFmtId="0" fontId="83" fillId="0" borderId="91" xfId="0" applyFont="1" applyFill="1" applyBorder="1" applyAlignment="1" applyProtection="1">
      <alignment horizontal="center" vertical="center" wrapText="1"/>
      <protection hidden="1"/>
    </xf>
    <xf numFmtId="0" fontId="83" fillId="0" borderId="105" xfId="0" applyFont="1" applyFill="1" applyBorder="1" applyAlignment="1" applyProtection="1">
      <alignment horizontal="center" vertical="center" wrapText="1"/>
      <protection hidden="1"/>
    </xf>
    <xf numFmtId="0" fontId="83" fillId="0" borderId="92" xfId="0" applyFont="1" applyFill="1" applyBorder="1" applyAlignment="1" applyProtection="1">
      <alignment horizontal="center" vertical="center" wrapText="1"/>
      <protection hidden="1"/>
    </xf>
    <xf numFmtId="0" fontId="83" fillId="16" borderId="90" xfId="0" applyFont="1" applyFill="1" applyBorder="1" applyAlignment="1">
      <alignment horizontal="center" vertical="center" textRotation="90"/>
    </xf>
    <xf numFmtId="0" fontId="83" fillId="23" borderId="90" xfId="0" applyFont="1" applyFill="1" applyBorder="1" applyAlignment="1">
      <alignment horizontal="center" vertical="center" wrapText="1"/>
    </xf>
    <xf numFmtId="0" fontId="83" fillId="16" borderId="90" xfId="0" applyFont="1" applyFill="1" applyBorder="1" applyAlignment="1">
      <alignment horizontal="center" vertical="center"/>
    </xf>
    <xf numFmtId="9" fontId="82" fillId="0" borderId="91" xfId="0" applyNumberFormat="1" applyFont="1" applyFill="1" applyBorder="1" applyAlignment="1" applyProtection="1">
      <alignment horizontal="center" vertical="center" wrapText="1"/>
      <protection hidden="1"/>
    </xf>
    <xf numFmtId="9" fontId="82" fillId="0" borderId="105" xfId="0" applyNumberFormat="1" applyFont="1" applyFill="1" applyBorder="1" applyAlignment="1" applyProtection="1">
      <alignment horizontal="center" vertical="center" wrapText="1"/>
      <protection hidden="1"/>
    </xf>
    <xf numFmtId="9" fontId="82" fillId="0" borderId="92" xfId="0" applyNumberFormat="1" applyFont="1" applyFill="1" applyBorder="1" applyAlignment="1" applyProtection="1">
      <alignment horizontal="center" vertical="center" wrapText="1"/>
      <protection hidden="1"/>
    </xf>
    <xf numFmtId="0" fontId="82" fillId="0" borderId="119" xfId="0" applyFont="1" applyFill="1" applyBorder="1" applyAlignment="1" applyProtection="1">
      <alignment horizontal="center" vertical="center" wrapText="1"/>
      <protection locked="0"/>
    </xf>
    <xf numFmtId="0" fontId="83" fillId="16" borderId="90" xfId="0" applyFont="1" applyFill="1" applyBorder="1" applyAlignment="1">
      <alignment horizontal="center" vertical="center" textRotation="90" wrapText="1"/>
    </xf>
    <xf numFmtId="0" fontId="83" fillId="23" borderId="91" xfId="0" applyFont="1" applyFill="1" applyBorder="1" applyAlignment="1">
      <alignment horizontal="center" vertical="center" wrapText="1"/>
    </xf>
    <xf numFmtId="0" fontId="83" fillId="23" borderId="92" xfId="0" applyFont="1" applyFill="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12" xfId="0" applyFont="1" applyBorder="1" applyAlignment="1">
      <alignment horizontal="center" vertical="center" wrapText="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23" fillId="0" borderId="0" xfId="0" applyFont="1" applyAlignment="1">
      <alignment horizontal="center" vertical="center" wrapText="1"/>
    </xf>
    <xf numFmtId="0" fontId="39" fillId="11" borderId="13" xfId="0" applyFont="1" applyFill="1" applyBorder="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7" xfId="0" applyFont="1" applyFill="1" applyBorder="1" applyAlignment="1">
      <alignment horizontal="center" vertical="center" wrapText="1" readingOrder="1"/>
    </xf>
    <xf numFmtId="0" fontId="39" fillId="11" borderId="18" xfId="0" applyFont="1" applyFill="1" applyBorder="1" applyAlignment="1">
      <alignment horizontal="center" vertical="center" wrapText="1" readingOrder="1"/>
    </xf>
    <xf numFmtId="0" fontId="39" fillId="11" borderId="19" xfId="0" applyFont="1" applyFill="1" applyBorder="1" applyAlignment="1">
      <alignment horizontal="center" vertical="center" wrapText="1" readingOrder="1"/>
    </xf>
    <xf numFmtId="0" fontId="39" fillId="11" borderId="20" xfId="0" applyFont="1" applyFill="1" applyBorder="1" applyAlignment="1">
      <alignment horizontal="center" vertical="center" wrapText="1" readingOrder="1"/>
    </xf>
    <xf numFmtId="0" fontId="40" fillId="0" borderId="5" xfId="0" applyFont="1" applyBorder="1" applyAlignment="1">
      <alignment horizontal="center" vertical="center" wrapText="1"/>
    </xf>
    <xf numFmtId="0" fontId="40" fillId="0" borderId="12" xfId="0" applyFont="1" applyBorder="1" applyAlignment="1">
      <alignment horizontal="center" vertical="center"/>
    </xf>
    <xf numFmtId="0" fontId="40" fillId="0" borderId="7" xfId="0" applyFont="1" applyBorder="1" applyAlignment="1">
      <alignment horizontal="center" vertical="center" wrapText="1"/>
    </xf>
    <xf numFmtId="0" fontId="40" fillId="0" borderId="0" xfId="0" applyFont="1" applyAlignment="1">
      <alignment horizontal="center" vertical="center"/>
    </xf>
    <xf numFmtId="0" fontId="40" fillId="0" borderId="7" xfId="0" applyFont="1" applyBorder="1" applyAlignment="1">
      <alignment horizontal="center" vertical="center"/>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39" fillId="12" borderId="13" xfId="0" applyFont="1" applyFill="1" applyBorder="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7" xfId="0" applyFont="1" applyFill="1" applyBorder="1" applyAlignment="1">
      <alignment horizontal="center" vertical="center" wrapText="1" readingOrder="1"/>
    </xf>
    <xf numFmtId="0" fontId="39" fillId="12" borderId="18" xfId="0" applyFont="1" applyFill="1" applyBorder="1" applyAlignment="1">
      <alignment horizontal="center" vertical="center" wrapText="1" readingOrder="1"/>
    </xf>
    <xf numFmtId="0" fontId="39" fillId="12" borderId="19" xfId="0" applyFont="1" applyFill="1" applyBorder="1" applyAlignment="1">
      <alignment horizontal="center" vertical="center" wrapText="1" readingOrder="1"/>
    </xf>
    <xf numFmtId="0" fontId="39" fillId="12" borderId="20"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40" fillId="0" borderId="10" xfId="0" applyFont="1" applyBorder="1" applyAlignment="1">
      <alignment horizontal="center" vertical="center"/>
    </xf>
    <xf numFmtId="0" fontId="39" fillId="5" borderId="13" xfId="0" applyFont="1" applyFill="1" applyBorder="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5" borderId="18" xfId="0" applyFont="1" applyFill="1" applyBorder="1" applyAlignment="1">
      <alignment horizontal="center" vertical="center" wrapText="1" readingOrder="1"/>
    </xf>
    <xf numFmtId="0" fontId="39" fillId="5" borderId="19" xfId="0" applyFont="1" applyFill="1" applyBorder="1" applyAlignment="1">
      <alignment horizontal="center" vertical="center" wrapText="1" readingOrder="1"/>
    </xf>
    <xf numFmtId="0" fontId="39" fillId="5" borderId="20"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7" xfId="0" applyFont="1" applyFill="1" applyBorder="1" applyAlignment="1">
      <alignment horizontal="center" vertical="center" wrapText="1" readingOrder="1"/>
    </xf>
    <xf numFmtId="0" fontId="39" fillId="13" borderId="18" xfId="0" applyFont="1" applyFill="1" applyBorder="1" applyAlignment="1">
      <alignment horizontal="center" vertical="center" wrapText="1" readingOrder="1"/>
    </xf>
    <xf numFmtId="0" fontId="39" fillId="13" borderId="19" xfId="0" applyFont="1" applyFill="1" applyBorder="1" applyAlignment="1">
      <alignment horizontal="center" vertical="center" wrapText="1" readingOrder="1"/>
    </xf>
    <xf numFmtId="0" fontId="39" fillId="13" borderId="20" xfId="0" applyFont="1" applyFill="1" applyBorder="1" applyAlignment="1">
      <alignment horizontal="center" vertical="center" wrapText="1" readingOrder="1"/>
    </xf>
    <xf numFmtId="0" fontId="40" fillId="0" borderId="12" xfId="0" applyFont="1" applyBorder="1" applyAlignment="1">
      <alignment horizontal="center" vertical="center" wrapText="1"/>
    </xf>
    <xf numFmtId="0" fontId="22" fillId="0" borderId="0" xfId="0" applyFont="1" applyAlignment="1">
      <alignment horizontal="center" vertical="center"/>
    </xf>
    <xf numFmtId="0" fontId="42" fillId="0" borderId="0" xfId="0" applyFont="1" applyAlignment="1">
      <alignment horizontal="center" vertical="center"/>
    </xf>
    <xf numFmtId="0" fontId="76" fillId="21" borderId="34" xfId="0" applyFont="1" applyFill="1" applyBorder="1" applyAlignment="1">
      <alignment horizontal="center" vertical="center" wrapText="1"/>
    </xf>
    <xf numFmtId="0" fontId="76" fillId="21" borderId="35" xfId="0" applyFont="1" applyFill="1" applyBorder="1" applyAlignment="1">
      <alignment horizontal="center" vertical="center" wrapText="1"/>
    </xf>
    <xf numFmtId="0" fontId="73" fillId="0" borderId="0" xfId="0" applyFont="1" applyAlignment="1">
      <alignment horizontal="left" vertical="center" wrapText="1"/>
    </xf>
    <xf numFmtId="0" fontId="73" fillId="0" borderId="0" xfId="0" applyFont="1" applyAlignment="1">
      <alignment horizontal="center" vertical="center" wrapText="1"/>
    </xf>
    <xf numFmtId="0" fontId="73" fillId="0" borderId="22" xfId="0" applyFont="1" applyBorder="1" applyAlignment="1">
      <alignment horizontal="left" vertical="center" wrapText="1"/>
    </xf>
    <xf numFmtId="0" fontId="73" fillId="0" borderId="76" xfId="0" applyFont="1" applyBorder="1" applyAlignment="1">
      <alignment horizontal="left" vertical="center" wrapText="1"/>
    </xf>
    <xf numFmtId="0" fontId="76" fillId="21" borderId="33" xfId="0" applyFont="1" applyFill="1" applyBorder="1" applyAlignment="1">
      <alignment horizontal="center" vertical="center" wrapText="1"/>
    </xf>
    <xf numFmtId="0" fontId="74" fillId="16" borderId="24" xfId="0" applyFont="1" applyFill="1" applyBorder="1" applyAlignment="1">
      <alignment horizontal="center" vertical="center" wrapText="1"/>
    </xf>
    <xf numFmtId="0" fontId="74" fillId="16" borderId="25" xfId="0" applyFont="1" applyFill="1" applyBorder="1" applyAlignment="1">
      <alignment horizontal="center" vertical="center" wrapText="1"/>
    </xf>
    <xf numFmtId="0" fontId="74" fillId="16" borderId="36" xfId="0" applyFont="1" applyFill="1" applyBorder="1" applyAlignment="1">
      <alignment horizontal="center" vertical="center" wrapText="1"/>
    </xf>
    <xf numFmtId="0" fontId="75" fillId="16" borderId="73" xfId="0" applyFont="1" applyFill="1" applyBorder="1" applyAlignment="1">
      <alignment horizontal="center" vertical="center" wrapText="1"/>
    </xf>
    <xf numFmtId="0" fontId="75" fillId="16" borderId="28" xfId="0" applyFont="1" applyFill="1" applyBorder="1" applyAlignment="1">
      <alignment horizontal="center" vertical="center" wrapText="1"/>
    </xf>
    <xf numFmtId="0" fontId="75" fillId="16" borderId="74"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75" xfId="0" applyFont="1" applyFill="1" applyBorder="1" applyAlignment="1">
      <alignment horizontal="center" vertical="center" wrapText="1"/>
    </xf>
    <xf numFmtId="0" fontId="73" fillId="0" borderId="74" xfId="0" applyFont="1" applyBorder="1" applyAlignment="1">
      <alignment horizontal="left" vertical="center" wrapText="1"/>
    </xf>
    <xf numFmtId="0" fontId="77" fillId="16" borderId="82" xfId="0" applyFont="1" applyFill="1" applyBorder="1" applyAlignment="1">
      <alignment horizontal="center" vertical="center" wrapText="1"/>
    </xf>
    <xf numFmtId="0" fontId="77" fillId="16" borderId="80" xfId="0" applyFont="1" applyFill="1" applyBorder="1" applyAlignment="1">
      <alignment horizontal="center" vertical="center" wrapText="1"/>
    </xf>
    <xf numFmtId="0" fontId="77" fillId="16" borderId="78" xfId="0" applyFont="1" applyFill="1" applyBorder="1" applyAlignment="1">
      <alignment horizontal="center" vertical="center" wrapText="1"/>
    </xf>
    <xf numFmtId="0" fontId="78" fillId="0" borderId="82" xfId="0" applyFont="1" applyBorder="1" applyAlignment="1">
      <alignment horizontal="justify" vertical="center" wrapText="1"/>
    </xf>
    <xf numFmtId="0" fontId="78" fillId="0" borderId="80" xfId="0" applyFont="1" applyBorder="1" applyAlignment="1">
      <alignment horizontal="justify" vertical="center" wrapText="1"/>
    </xf>
    <xf numFmtId="0" fontId="78" fillId="0" borderId="78" xfId="0" applyFont="1" applyBorder="1" applyAlignment="1">
      <alignment horizontal="justify" vertical="center" wrapText="1"/>
    </xf>
    <xf numFmtId="0" fontId="77" fillId="0" borderId="71" xfId="0" applyFont="1" applyBorder="1" applyAlignment="1">
      <alignment horizontal="center" vertical="center" wrapText="1"/>
    </xf>
    <xf numFmtId="0" fontId="77" fillId="0" borderId="70" xfId="0" applyFont="1" applyBorder="1" applyAlignment="1">
      <alignment horizontal="center" vertical="center" wrapText="1"/>
    </xf>
    <xf numFmtId="0" fontId="77" fillId="0" borderId="83" xfId="0" applyFont="1" applyBorder="1" applyAlignment="1">
      <alignment horizontal="center" vertical="center" wrapText="1"/>
    </xf>
    <xf numFmtId="0" fontId="77" fillId="0" borderId="68" xfId="0" applyFont="1" applyBorder="1" applyAlignment="1">
      <alignment horizontal="center" vertical="center" wrapText="1"/>
    </xf>
    <xf numFmtId="0" fontId="37" fillId="15" borderId="24" xfId="0" applyFont="1" applyFill="1" applyBorder="1" applyAlignment="1">
      <alignment horizontal="center" vertical="center" wrapText="1" readingOrder="1"/>
    </xf>
    <xf numFmtId="0" fontId="37" fillId="15" borderId="25" xfId="0" applyFont="1" applyFill="1" applyBorder="1" applyAlignment="1">
      <alignment horizontal="center" vertical="center" wrapText="1" readingOrder="1"/>
    </xf>
    <xf numFmtId="0" fontId="37" fillId="15" borderId="36"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33" xfId="0" applyFont="1" applyFill="1" applyBorder="1" applyAlignment="1">
      <alignment horizontal="center" vertical="center" wrapText="1" readingOrder="1"/>
    </xf>
    <xf numFmtId="0" fontId="34" fillId="15" borderId="34" xfId="0" applyFont="1" applyFill="1" applyBorder="1" applyAlignment="1">
      <alignment horizontal="center" vertical="center" wrapText="1" readingOrder="1"/>
    </xf>
    <xf numFmtId="0" fontId="34" fillId="3" borderId="31"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34" fillId="3" borderId="23"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28"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cellXfs>
  <cellStyles count="7">
    <cellStyle name="Moneda" xfId="5" builtinId="4"/>
    <cellStyle name="Normal" xfId="0" builtinId="0"/>
    <cellStyle name="Normal - Style1 2" xfId="2"/>
    <cellStyle name="Normal 2" xfId="4"/>
    <cellStyle name="Normal 2 2" xfId="3"/>
    <cellStyle name="Normal 3" xfId="6"/>
    <cellStyle name="Porcentaje" xfId="1" builtinId="5"/>
  </cellStyles>
  <dxfs count="239">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183928</xdr:colOff>
      <xdr:row>19</xdr:row>
      <xdr:rowOff>14287</xdr:rowOff>
    </xdr:from>
    <xdr:to>
      <xdr:col>5</xdr:col>
      <xdr:colOff>1126807</xdr:colOff>
      <xdr:row>31</xdr:row>
      <xdr:rowOff>265627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545878" y="28303537"/>
          <a:ext cx="18766059" cy="4385191"/>
        </a:xfrm>
        <a:prstGeom prst="rect">
          <a:avLst/>
        </a:prstGeom>
      </xdr:spPr>
    </xdr:pic>
    <xdr:clientData/>
  </xdr:twoCellAnchor>
  <xdr:oneCellAnchor>
    <xdr:from>
      <xdr:col>1</xdr:col>
      <xdr:colOff>301624</xdr:colOff>
      <xdr:row>1</xdr:row>
      <xdr:rowOff>66676</xdr:rowOff>
    </xdr:from>
    <xdr:ext cx="1460499" cy="1500186"/>
    <xdr:pic>
      <xdr:nvPicPr>
        <xdr:cNvPr id="3" name="Imagen 2" descr="escudo negr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574" y="333376"/>
          <a:ext cx="1460499" cy="150018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sheetData>
      <sheetData sheetId="1"/>
      <sheetData sheetId="2"/>
      <sheetData sheetId="3"/>
      <sheetData sheetId="4"/>
      <sheetData sheetId="5"/>
      <sheetData sheetId="6"/>
      <sheetData sheetId="7"/>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Natalia Norato Mora" refreshedDate="44522.492354513888"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7">
      <pivotArea dataOnly="0" labelOnly="1" outline="0" fieldPosition="0">
        <references count="1">
          <reference field="0" count="1">
            <x v="1"/>
          </reference>
        </references>
      </pivotArea>
    </format>
    <format dxfId="6">
      <pivotArea dataOnly="0" labelOnly="1" outline="0" fieldPosition="0">
        <references count="2">
          <reference field="0" count="1" selected="0">
            <x v="1"/>
          </reference>
          <reference field="1" count="5">
            <x v="1"/>
            <x v="2"/>
            <x v="3"/>
            <x v="4"/>
            <x v="5"/>
          </reference>
        </references>
      </pivotArea>
    </format>
    <format dxfId="5">
      <pivotArea dataOnly="0" labelOnly="1" outline="0" fieldPosition="0">
        <references count="2">
          <reference field="0" count="1" selected="0">
            <x v="1"/>
          </reference>
          <reference field="1" count="5">
            <x v="1"/>
            <x v="2"/>
            <x v="3"/>
            <x v="4"/>
            <x v="5"/>
          </reference>
        </references>
      </pivotArea>
    </format>
    <format dxfId="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10:C220" totalsRowShown="0" headerRowDxfId="3" dataDxfId="2">
  <autoFilter ref="B210:C220"/>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16"/>
  <sheetViews>
    <sheetView zoomScale="110" zoomScaleNormal="110" workbookViewId="0">
      <selection activeCell="E306" sqref="E306"/>
    </sheetView>
  </sheetViews>
  <sheetFormatPr baseColWidth="10" defaultColWidth="11.42578125" defaultRowHeight="15" x14ac:dyDescent="0.25"/>
  <cols>
    <col min="1" max="1" width="2.85546875" style="66" customWidth="1"/>
    <col min="2" max="3" width="24.7109375" style="66" customWidth="1"/>
    <col min="4" max="4" width="16" style="66" customWidth="1"/>
    <col min="5" max="5" width="24.7109375" style="66" customWidth="1"/>
    <col min="6" max="6" width="27.7109375" style="66" customWidth="1"/>
    <col min="7" max="8" width="24.7109375" style="66" customWidth="1"/>
    <col min="9" max="16384" width="11.42578125" style="66"/>
  </cols>
  <sheetData>
    <row r="1" spans="2:8" ht="15.75" thickBot="1" x14ac:dyDescent="0.3"/>
    <row r="2" spans="2:8" ht="18" x14ac:dyDescent="0.25">
      <c r="B2" s="295" t="s">
        <v>0</v>
      </c>
      <c r="C2" s="296"/>
      <c r="D2" s="296"/>
      <c r="E2" s="296"/>
      <c r="F2" s="296"/>
      <c r="G2" s="296"/>
      <c r="H2" s="297"/>
    </row>
    <row r="3" spans="2:8" x14ac:dyDescent="0.25">
      <c r="B3" s="67"/>
      <c r="C3" s="68"/>
      <c r="D3" s="68"/>
      <c r="E3" s="68"/>
      <c r="F3" s="68"/>
      <c r="G3" s="68"/>
      <c r="H3" s="69"/>
    </row>
    <row r="4" spans="2:8" ht="63" customHeight="1" x14ac:dyDescent="0.25">
      <c r="B4" s="298" t="s">
        <v>1</v>
      </c>
      <c r="C4" s="299"/>
      <c r="D4" s="299"/>
      <c r="E4" s="299"/>
      <c r="F4" s="299"/>
      <c r="G4" s="299"/>
      <c r="H4" s="300"/>
    </row>
    <row r="5" spans="2:8" ht="63" customHeight="1" x14ac:dyDescent="0.25">
      <c r="B5" s="301"/>
      <c r="C5" s="302"/>
      <c r="D5" s="302"/>
      <c r="E5" s="302"/>
      <c r="F5" s="302"/>
      <c r="G5" s="302"/>
      <c r="H5" s="303"/>
    </row>
    <row r="6" spans="2:8" ht="16.5" x14ac:dyDescent="0.25">
      <c r="B6" s="304" t="s">
        <v>2</v>
      </c>
      <c r="C6" s="305"/>
      <c r="D6" s="305"/>
      <c r="E6" s="305"/>
      <c r="F6" s="305"/>
      <c r="G6" s="305"/>
      <c r="H6" s="306"/>
    </row>
    <row r="7" spans="2:8" ht="95.25" customHeight="1" x14ac:dyDescent="0.25">
      <c r="B7" s="314" t="s">
        <v>3</v>
      </c>
      <c r="C7" s="315"/>
      <c r="D7" s="315"/>
      <c r="E7" s="315"/>
      <c r="F7" s="315"/>
      <c r="G7" s="315"/>
      <c r="H7" s="316"/>
    </row>
    <row r="8" spans="2:8" ht="16.5" x14ac:dyDescent="0.25">
      <c r="B8" s="101"/>
      <c r="C8" s="102"/>
      <c r="D8" s="102"/>
      <c r="E8" s="102"/>
      <c r="F8" s="102"/>
      <c r="G8" s="102"/>
      <c r="H8" s="103"/>
    </row>
    <row r="9" spans="2:8" ht="16.5" customHeight="1" x14ac:dyDescent="0.25">
      <c r="B9" s="307" t="s">
        <v>4</v>
      </c>
      <c r="C9" s="308"/>
      <c r="D9" s="308"/>
      <c r="E9" s="308"/>
      <c r="F9" s="308"/>
      <c r="G9" s="308"/>
      <c r="H9" s="309"/>
    </row>
    <row r="10" spans="2:8" ht="44.25" customHeight="1" x14ac:dyDescent="0.25">
      <c r="B10" s="307"/>
      <c r="C10" s="308"/>
      <c r="D10" s="308"/>
      <c r="E10" s="308"/>
      <c r="F10" s="308"/>
      <c r="G10" s="308"/>
      <c r="H10" s="309"/>
    </row>
    <row r="11" spans="2:8" ht="15.75" thickBot="1" x14ac:dyDescent="0.3">
      <c r="B11" s="90"/>
      <c r="C11" s="93"/>
      <c r="D11" s="98"/>
      <c r="E11" s="99"/>
      <c r="F11" s="99"/>
      <c r="G11" s="100"/>
      <c r="H11" s="94"/>
    </row>
    <row r="12" spans="2:8" ht="15.75" thickTop="1" x14ac:dyDescent="0.25">
      <c r="B12" s="90"/>
      <c r="C12" s="310" t="s">
        <v>5</v>
      </c>
      <c r="D12" s="311"/>
      <c r="E12" s="312" t="s">
        <v>6</v>
      </c>
      <c r="F12" s="313"/>
      <c r="G12" s="93"/>
      <c r="H12" s="94"/>
    </row>
    <row r="13" spans="2:8" ht="35.25" customHeight="1" x14ac:dyDescent="0.25">
      <c r="B13" s="90"/>
      <c r="C13" s="282" t="s">
        <v>7</v>
      </c>
      <c r="D13" s="283"/>
      <c r="E13" s="284" t="s">
        <v>8</v>
      </c>
      <c r="F13" s="285"/>
      <c r="G13" s="93"/>
      <c r="H13" s="94"/>
    </row>
    <row r="14" spans="2:8" ht="17.25" customHeight="1" x14ac:dyDescent="0.25">
      <c r="B14" s="90"/>
      <c r="C14" s="282" t="s">
        <v>9</v>
      </c>
      <c r="D14" s="283"/>
      <c r="E14" s="284" t="s">
        <v>10</v>
      </c>
      <c r="F14" s="285"/>
      <c r="G14" s="93"/>
      <c r="H14" s="94"/>
    </row>
    <row r="15" spans="2:8" ht="19.5" customHeight="1" x14ac:dyDescent="0.25">
      <c r="B15" s="90"/>
      <c r="C15" s="282" t="s">
        <v>11</v>
      </c>
      <c r="D15" s="283"/>
      <c r="E15" s="284" t="s">
        <v>12</v>
      </c>
      <c r="F15" s="285"/>
      <c r="G15" s="93"/>
      <c r="H15" s="94"/>
    </row>
    <row r="16" spans="2:8" ht="69.75" customHeight="1" x14ac:dyDescent="0.25">
      <c r="B16" s="90"/>
      <c r="C16" s="282" t="s">
        <v>13</v>
      </c>
      <c r="D16" s="283"/>
      <c r="E16" s="284" t="s">
        <v>14</v>
      </c>
      <c r="F16" s="285"/>
      <c r="G16" s="93"/>
      <c r="H16" s="94"/>
    </row>
    <row r="17" spans="2:8" ht="34.5" customHeight="1" x14ac:dyDescent="0.25">
      <c r="B17" s="90"/>
      <c r="C17" s="286" t="s">
        <v>15</v>
      </c>
      <c r="D17" s="287"/>
      <c r="E17" s="278" t="s">
        <v>16</v>
      </c>
      <c r="F17" s="279"/>
      <c r="G17" s="93"/>
      <c r="H17" s="94"/>
    </row>
    <row r="18" spans="2:8" ht="27.75" customHeight="1" x14ac:dyDescent="0.25">
      <c r="B18" s="90"/>
      <c r="C18" s="286" t="s">
        <v>17</v>
      </c>
      <c r="D18" s="287"/>
      <c r="E18" s="278" t="s">
        <v>18</v>
      </c>
      <c r="F18" s="279"/>
      <c r="G18" s="93"/>
      <c r="H18" s="94"/>
    </row>
    <row r="19" spans="2:8" ht="28.5" customHeight="1" x14ac:dyDescent="0.25">
      <c r="B19" s="90"/>
      <c r="C19" s="286" t="s">
        <v>19</v>
      </c>
      <c r="D19" s="287"/>
      <c r="E19" s="278" t="s">
        <v>20</v>
      </c>
      <c r="F19" s="279"/>
      <c r="G19" s="93"/>
      <c r="H19" s="94"/>
    </row>
    <row r="20" spans="2:8" ht="72.75" customHeight="1" x14ac:dyDescent="0.25">
      <c r="B20" s="90"/>
      <c r="C20" s="286" t="s">
        <v>21</v>
      </c>
      <c r="D20" s="287"/>
      <c r="E20" s="278" t="s">
        <v>22</v>
      </c>
      <c r="F20" s="279"/>
      <c r="G20" s="93"/>
      <c r="H20" s="94"/>
    </row>
    <row r="21" spans="2:8" ht="64.5" customHeight="1" x14ac:dyDescent="0.25">
      <c r="B21" s="90"/>
      <c r="C21" s="286" t="s">
        <v>23</v>
      </c>
      <c r="D21" s="287"/>
      <c r="E21" s="278" t="s">
        <v>24</v>
      </c>
      <c r="F21" s="279"/>
      <c r="G21" s="93"/>
      <c r="H21" s="94"/>
    </row>
    <row r="22" spans="2:8" ht="71.25" customHeight="1" x14ac:dyDescent="0.25">
      <c r="B22" s="90"/>
      <c r="C22" s="286" t="s">
        <v>25</v>
      </c>
      <c r="D22" s="287"/>
      <c r="E22" s="278" t="s">
        <v>26</v>
      </c>
      <c r="F22" s="279"/>
      <c r="G22" s="93"/>
      <c r="H22" s="94"/>
    </row>
    <row r="23" spans="2:8" ht="55.5" customHeight="1" x14ac:dyDescent="0.25">
      <c r="B23" s="90"/>
      <c r="C23" s="280" t="s">
        <v>27</v>
      </c>
      <c r="D23" s="281"/>
      <c r="E23" s="278" t="s">
        <v>28</v>
      </c>
      <c r="F23" s="279"/>
      <c r="G23" s="93"/>
      <c r="H23" s="94"/>
    </row>
    <row r="24" spans="2:8" ht="42" customHeight="1" x14ac:dyDescent="0.25">
      <c r="B24" s="90"/>
      <c r="C24" s="280" t="s">
        <v>29</v>
      </c>
      <c r="D24" s="281"/>
      <c r="E24" s="278" t="s">
        <v>30</v>
      </c>
      <c r="F24" s="279"/>
      <c r="G24" s="93"/>
      <c r="H24" s="94"/>
    </row>
    <row r="25" spans="2:8" ht="59.25" customHeight="1" x14ac:dyDescent="0.25">
      <c r="B25" s="90"/>
      <c r="C25" s="280" t="s">
        <v>31</v>
      </c>
      <c r="D25" s="281"/>
      <c r="E25" s="278" t="s">
        <v>32</v>
      </c>
      <c r="F25" s="279"/>
      <c r="G25" s="93"/>
      <c r="H25" s="94"/>
    </row>
    <row r="26" spans="2:8" ht="23.25" customHeight="1" x14ac:dyDescent="0.25">
      <c r="B26" s="90"/>
      <c r="C26" s="280" t="s">
        <v>33</v>
      </c>
      <c r="D26" s="281"/>
      <c r="E26" s="278" t="s">
        <v>34</v>
      </c>
      <c r="F26" s="279"/>
      <c r="G26" s="93"/>
      <c r="H26" s="94"/>
    </row>
    <row r="27" spans="2:8" ht="30.75" customHeight="1" x14ac:dyDescent="0.25">
      <c r="B27" s="90"/>
      <c r="C27" s="280" t="s">
        <v>35</v>
      </c>
      <c r="D27" s="281"/>
      <c r="E27" s="278" t="s">
        <v>36</v>
      </c>
      <c r="F27" s="279"/>
      <c r="G27" s="93"/>
      <c r="H27" s="94"/>
    </row>
    <row r="28" spans="2:8" ht="35.25" customHeight="1" x14ac:dyDescent="0.25">
      <c r="B28" s="90"/>
      <c r="C28" s="280" t="s">
        <v>37</v>
      </c>
      <c r="D28" s="281"/>
      <c r="E28" s="278" t="s">
        <v>38</v>
      </c>
      <c r="F28" s="279"/>
      <c r="G28" s="93"/>
      <c r="H28" s="94"/>
    </row>
    <row r="29" spans="2:8" ht="33" customHeight="1" x14ac:dyDescent="0.25">
      <c r="B29" s="90"/>
      <c r="C29" s="280" t="s">
        <v>37</v>
      </c>
      <c r="D29" s="281"/>
      <c r="E29" s="278" t="s">
        <v>38</v>
      </c>
      <c r="F29" s="279"/>
      <c r="G29" s="93"/>
      <c r="H29" s="94"/>
    </row>
    <row r="30" spans="2:8" ht="30" customHeight="1" x14ac:dyDescent="0.25">
      <c r="B30" s="90"/>
      <c r="C30" s="280" t="s">
        <v>39</v>
      </c>
      <c r="D30" s="281"/>
      <c r="E30" s="278" t="s">
        <v>40</v>
      </c>
      <c r="F30" s="279"/>
      <c r="G30" s="93"/>
      <c r="H30" s="94"/>
    </row>
    <row r="31" spans="2:8" ht="35.25" customHeight="1" x14ac:dyDescent="0.25">
      <c r="B31" s="90"/>
      <c r="C31" s="280" t="s">
        <v>41</v>
      </c>
      <c r="D31" s="281"/>
      <c r="E31" s="278" t="s">
        <v>42</v>
      </c>
      <c r="F31" s="279"/>
      <c r="G31" s="93"/>
      <c r="H31" s="94"/>
    </row>
    <row r="32" spans="2:8" ht="31.5" customHeight="1" x14ac:dyDescent="0.25">
      <c r="B32" s="90"/>
      <c r="C32" s="280" t="s">
        <v>43</v>
      </c>
      <c r="D32" s="281"/>
      <c r="E32" s="278" t="s">
        <v>44</v>
      </c>
      <c r="F32" s="279"/>
      <c r="G32" s="93"/>
      <c r="H32" s="94"/>
    </row>
    <row r="33" spans="2:8" ht="35.25" customHeight="1" x14ac:dyDescent="0.25">
      <c r="B33" s="90"/>
      <c r="C33" s="280" t="s">
        <v>45</v>
      </c>
      <c r="D33" s="281"/>
      <c r="E33" s="278" t="s">
        <v>46</v>
      </c>
      <c r="F33" s="279"/>
      <c r="G33" s="93"/>
      <c r="H33" s="94"/>
    </row>
    <row r="34" spans="2:8" ht="59.25" customHeight="1" x14ac:dyDescent="0.25">
      <c r="B34" s="90"/>
      <c r="C34" s="280" t="s">
        <v>47</v>
      </c>
      <c r="D34" s="281"/>
      <c r="E34" s="278" t="s">
        <v>48</v>
      </c>
      <c r="F34" s="279"/>
      <c r="G34" s="93"/>
      <c r="H34" s="94"/>
    </row>
    <row r="35" spans="2:8" ht="29.25" customHeight="1" x14ac:dyDescent="0.25">
      <c r="B35" s="90"/>
      <c r="C35" s="280" t="s">
        <v>49</v>
      </c>
      <c r="D35" s="281"/>
      <c r="E35" s="278" t="s">
        <v>50</v>
      </c>
      <c r="F35" s="279"/>
      <c r="G35" s="93"/>
      <c r="H35" s="94"/>
    </row>
    <row r="36" spans="2:8" ht="82.5" customHeight="1" x14ac:dyDescent="0.25">
      <c r="B36" s="90"/>
      <c r="C36" s="280" t="s">
        <v>51</v>
      </c>
      <c r="D36" s="281"/>
      <c r="E36" s="278" t="s">
        <v>52</v>
      </c>
      <c r="F36" s="279"/>
      <c r="G36" s="93"/>
      <c r="H36" s="94"/>
    </row>
    <row r="37" spans="2:8" ht="46.5" customHeight="1" x14ac:dyDescent="0.25">
      <c r="B37" s="90"/>
      <c r="C37" s="280" t="s">
        <v>53</v>
      </c>
      <c r="D37" s="281"/>
      <c r="E37" s="278" t="s">
        <v>54</v>
      </c>
      <c r="F37" s="279"/>
      <c r="G37" s="93"/>
      <c r="H37" s="94"/>
    </row>
    <row r="38" spans="2:8" ht="6.75" customHeight="1" thickBot="1" x14ac:dyDescent="0.3">
      <c r="B38" s="90"/>
      <c r="C38" s="291"/>
      <c r="D38" s="292"/>
      <c r="E38" s="293"/>
      <c r="F38" s="294"/>
      <c r="G38" s="93"/>
      <c r="H38" s="94"/>
    </row>
    <row r="39" spans="2:8" ht="15.75" thickTop="1" x14ac:dyDescent="0.25">
      <c r="B39" s="90"/>
      <c r="C39" s="91"/>
      <c r="D39" s="91"/>
      <c r="E39" s="92"/>
      <c r="F39" s="92"/>
      <c r="G39" s="93"/>
      <c r="H39" s="94"/>
    </row>
    <row r="40" spans="2:8" ht="21" customHeight="1" x14ac:dyDescent="0.25">
      <c r="B40" s="288" t="s">
        <v>55</v>
      </c>
      <c r="C40" s="289"/>
      <c r="D40" s="289"/>
      <c r="E40" s="289"/>
      <c r="F40" s="289"/>
      <c r="G40" s="289"/>
      <c r="H40" s="290"/>
    </row>
    <row r="41" spans="2:8" ht="20.25" customHeight="1" x14ac:dyDescent="0.25">
      <c r="B41" s="288" t="s">
        <v>56</v>
      </c>
      <c r="C41" s="289"/>
      <c r="D41" s="289"/>
      <c r="E41" s="289"/>
      <c r="F41" s="289"/>
      <c r="G41" s="289"/>
      <c r="H41" s="290"/>
    </row>
    <row r="42" spans="2:8" ht="20.25" customHeight="1" x14ac:dyDescent="0.25">
      <c r="B42" s="288" t="s">
        <v>57</v>
      </c>
      <c r="C42" s="289"/>
      <c r="D42" s="289"/>
      <c r="E42" s="289"/>
      <c r="F42" s="289"/>
      <c r="G42" s="289"/>
      <c r="H42" s="290"/>
    </row>
    <row r="43" spans="2:8" ht="20.25" customHeight="1" x14ac:dyDescent="0.25">
      <c r="B43" s="288" t="s">
        <v>58</v>
      </c>
      <c r="C43" s="289"/>
      <c r="D43" s="289"/>
      <c r="E43" s="289"/>
      <c r="F43" s="289"/>
      <c r="G43" s="289"/>
      <c r="H43" s="290"/>
    </row>
    <row r="44" spans="2:8" x14ac:dyDescent="0.25">
      <c r="B44" s="288" t="s">
        <v>59</v>
      </c>
      <c r="C44" s="289"/>
      <c r="D44" s="289"/>
      <c r="E44" s="289"/>
      <c r="F44" s="289"/>
      <c r="G44" s="289"/>
      <c r="H44" s="290"/>
    </row>
    <row r="45" spans="2:8" ht="15.75" thickBot="1" x14ac:dyDescent="0.3">
      <c r="B45" s="95"/>
      <c r="C45" s="96"/>
      <c r="D45" s="96"/>
      <c r="E45" s="96"/>
      <c r="F45" s="96"/>
      <c r="G45" s="96"/>
      <c r="H45" s="97"/>
    </row>
    <row r="300" spans="3:3" ht="31.5" x14ac:dyDescent="0.25">
      <c r="C300" s="168" t="s">
        <v>60</v>
      </c>
    </row>
    <row r="301" spans="3:3" ht="47.25" x14ac:dyDescent="0.25">
      <c r="C301" s="168" t="s">
        <v>61</v>
      </c>
    </row>
    <row r="302" spans="3:3" ht="31.5" x14ac:dyDescent="0.25">
      <c r="C302" s="169" t="s">
        <v>62</v>
      </c>
    </row>
    <row r="303" spans="3:3" ht="31.5" x14ac:dyDescent="0.25">
      <c r="C303" s="168" t="s">
        <v>63</v>
      </c>
    </row>
    <row r="304" spans="3:3" ht="47.25" x14ac:dyDescent="0.25">
      <c r="C304" s="168" t="s">
        <v>396</v>
      </c>
    </row>
    <row r="305" spans="3:3" ht="31.5" x14ac:dyDescent="0.25">
      <c r="C305" s="168" t="s">
        <v>64</v>
      </c>
    </row>
    <row r="306" spans="3:3" ht="47.25" x14ac:dyDescent="0.25">
      <c r="C306" s="169" t="s">
        <v>65</v>
      </c>
    </row>
    <row r="307" spans="3:3" ht="31.5" x14ac:dyDescent="0.25">
      <c r="C307" s="168" t="s">
        <v>66</v>
      </c>
    </row>
    <row r="308" spans="3:3" ht="15.75" x14ac:dyDescent="0.25">
      <c r="C308" s="168" t="s">
        <v>67</v>
      </c>
    </row>
    <row r="309" spans="3:3" ht="15.75" x14ac:dyDescent="0.25">
      <c r="C309" s="168" t="s">
        <v>68</v>
      </c>
    </row>
    <row r="310" spans="3:3" ht="31.5" x14ac:dyDescent="0.25">
      <c r="C310" s="168" t="s">
        <v>69</v>
      </c>
    </row>
    <row r="311" spans="3:3" ht="31.5" x14ac:dyDescent="0.25">
      <c r="C311" s="168" t="s">
        <v>70</v>
      </c>
    </row>
    <row r="312" spans="3:3" ht="15.75" x14ac:dyDescent="0.25">
      <c r="C312" s="168" t="s">
        <v>71</v>
      </c>
    </row>
    <row r="313" spans="3:3" ht="15.75" x14ac:dyDescent="0.25">
      <c r="C313" s="168" t="s">
        <v>72</v>
      </c>
    </row>
    <row r="314" spans="3:3" ht="15.75" x14ac:dyDescent="0.25">
      <c r="C314" s="168" t="s">
        <v>73</v>
      </c>
    </row>
    <row r="315" spans="3:3" ht="31.5" x14ac:dyDescent="0.25">
      <c r="C315" s="168" t="s">
        <v>74</v>
      </c>
    </row>
    <row r="316" spans="3:3" ht="31.5" x14ac:dyDescent="0.25">
      <c r="C316" s="168" t="s">
        <v>75</v>
      </c>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X18"/>
  <sheetViews>
    <sheetView zoomScale="140" zoomScaleNormal="140" workbookViewId="0">
      <pane xSplit="4" ySplit="2" topLeftCell="E3" activePane="bottomRight" state="frozen"/>
      <selection pane="topRight" activeCell="E1" sqref="E1"/>
      <selection pane="bottomLeft" activeCell="A3" sqref="A3"/>
      <selection pane="bottomRight" activeCell="C3" sqref="C3:D3"/>
    </sheetView>
  </sheetViews>
  <sheetFormatPr baseColWidth="10" defaultColWidth="11.42578125" defaultRowHeight="15" x14ac:dyDescent="0.25"/>
  <cols>
    <col min="2" max="2" width="18" customWidth="1"/>
    <col min="3" max="3" width="26.5703125" customWidth="1"/>
    <col min="4" max="4" width="41.85546875" customWidth="1"/>
    <col min="50" max="50" width="15.42578125" customWidth="1"/>
  </cols>
  <sheetData>
    <row r="2" spans="2:50" ht="15.75" thickBot="1" x14ac:dyDescent="0.3"/>
    <row r="3" spans="2:50" ht="33.75" customHeight="1" thickBot="1" x14ac:dyDescent="0.3">
      <c r="B3" s="582" t="s">
        <v>153</v>
      </c>
      <c r="C3" s="153" t="s">
        <v>272</v>
      </c>
      <c r="D3" s="151" t="s">
        <v>273</v>
      </c>
      <c r="AX3" t="s">
        <v>153</v>
      </c>
    </row>
    <row r="4" spans="2:50" ht="48.75" thickBot="1" x14ac:dyDescent="0.3">
      <c r="B4" s="583"/>
      <c r="C4" s="154" t="s">
        <v>274</v>
      </c>
      <c r="D4" s="152" t="s">
        <v>275</v>
      </c>
      <c r="AX4" t="s">
        <v>164</v>
      </c>
    </row>
    <row r="5" spans="2:50" ht="48.75" thickBot="1" x14ac:dyDescent="0.3">
      <c r="B5" s="583"/>
      <c r="C5" s="154" t="s">
        <v>276</v>
      </c>
      <c r="D5" s="152" t="s">
        <v>277</v>
      </c>
      <c r="AX5" t="s">
        <v>166</v>
      </c>
    </row>
    <row r="6" spans="2:50" ht="36.75" thickBot="1" x14ac:dyDescent="0.3">
      <c r="B6" s="584"/>
      <c r="C6" s="154" t="s">
        <v>278</v>
      </c>
      <c r="D6" s="152" t="s">
        <v>279</v>
      </c>
    </row>
    <row r="7" spans="2:50" ht="36.75" thickBot="1" x14ac:dyDescent="0.3">
      <c r="B7" s="582" t="s">
        <v>164</v>
      </c>
      <c r="C7" s="154" t="s">
        <v>280</v>
      </c>
      <c r="D7" s="152" t="s">
        <v>281</v>
      </c>
    </row>
    <row r="8" spans="2:50" ht="108.75" thickBot="1" x14ac:dyDescent="0.3">
      <c r="B8" s="583"/>
      <c r="C8" s="154" t="s">
        <v>282</v>
      </c>
      <c r="D8" s="152" t="s">
        <v>283</v>
      </c>
    </row>
    <row r="9" spans="2:50" ht="48.75" thickBot="1" x14ac:dyDescent="0.3">
      <c r="B9" s="584"/>
      <c r="C9" s="154" t="s">
        <v>284</v>
      </c>
      <c r="D9" s="152" t="s">
        <v>285</v>
      </c>
    </row>
    <row r="10" spans="2:50" x14ac:dyDescent="0.25">
      <c r="B10" s="582" t="s">
        <v>166</v>
      </c>
      <c r="C10" s="155"/>
      <c r="D10" s="585" t="s">
        <v>286</v>
      </c>
    </row>
    <row r="11" spans="2:50" x14ac:dyDescent="0.25">
      <c r="B11" s="583"/>
      <c r="C11" s="155" t="s">
        <v>167</v>
      </c>
      <c r="D11" s="586"/>
    </row>
    <row r="12" spans="2:50" ht="15.75" thickBot="1" x14ac:dyDescent="0.3">
      <c r="B12" s="583"/>
      <c r="C12" s="154"/>
      <c r="D12" s="587"/>
    </row>
    <row r="13" spans="2:50" ht="22.5" customHeight="1" x14ac:dyDescent="0.25">
      <c r="B13" s="583"/>
      <c r="C13" s="155"/>
      <c r="D13" s="585" t="s">
        <v>287</v>
      </c>
    </row>
    <row r="14" spans="2:50" ht="22.5" customHeight="1" x14ac:dyDescent="0.25">
      <c r="B14" s="583"/>
      <c r="C14" s="155" t="s">
        <v>288</v>
      </c>
      <c r="D14" s="586"/>
    </row>
    <row r="15" spans="2:50" ht="22.5" customHeight="1" thickBot="1" x14ac:dyDescent="0.3">
      <c r="B15" s="583"/>
      <c r="C15" s="154"/>
      <c r="D15" s="587"/>
    </row>
    <row r="16" spans="2:50" ht="25.5" customHeight="1" x14ac:dyDescent="0.25">
      <c r="B16" s="583"/>
      <c r="C16" s="155"/>
      <c r="D16" s="585" t="s">
        <v>289</v>
      </c>
    </row>
    <row r="17" spans="2:4" ht="25.5" customHeight="1" x14ac:dyDescent="0.25">
      <c r="B17" s="583"/>
      <c r="C17" s="155" t="s">
        <v>171</v>
      </c>
      <c r="D17" s="586"/>
    </row>
    <row r="18" spans="2:4" ht="25.5" customHeight="1" thickBot="1" x14ac:dyDescent="0.3">
      <c r="B18" s="584"/>
      <c r="C18" s="154"/>
      <c r="D18" s="587"/>
    </row>
  </sheetData>
  <mergeCells count="6">
    <mergeCell ref="B3:B6"/>
    <mergeCell ref="B7:B9"/>
    <mergeCell ref="B10:B18"/>
    <mergeCell ref="D10:D12"/>
    <mergeCell ref="D13:D15"/>
    <mergeCell ref="D16:D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48"/>
  <sheetViews>
    <sheetView zoomScale="110" zoomScaleNormal="110" workbookViewId="0">
      <selection activeCell="H8" sqref="H8:H9"/>
    </sheetView>
  </sheetViews>
  <sheetFormatPr baseColWidth="10" defaultColWidth="11.42578125" defaultRowHeight="15" x14ac:dyDescent="0.25"/>
  <cols>
    <col min="1" max="1" width="3.7109375" customWidth="1"/>
    <col min="2" max="2" width="8.28515625" customWidth="1"/>
    <col min="3" max="3" width="27" customWidth="1"/>
    <col min="5" max="5" width="15" customWidth="1"/>
    <col min="6" max="6" width="33.42578125" customWidth="1"/>
  </cols>
  <sheetData>
    <row r="1" spans="3:6" ht="15.75" thickBot="1" x14ac:dyDescent="0.3">
      <c r="C1" s="174" t="s">
        <v>290</v>
      </c>
    </row>
    <row r="2" spans="3:6" ht="15.75" thickBot="1" x14ac:dyDescent="0.3">
      <c r="C2" s="171" t="s">
        <v>291</v>
      </c>
      <c r="E2" s="175" t="s">
        <v>292</v>
      </c>
      <c r="F2" s="176" t="s">
        <v>293</v>
      </c>
    </row>
    <row r="3" spans="3:6" ht="15.75" thickBot="1" x14ac:dyDescent="0.3">
      <c r="C3" s="172" t="s">
        <v>294</v>
      </c>
      <c r="E3" s="591" t="s">
        <v>295</v>
      </c>
      <c r="F3" s="160" t="s">
        <v>296</v>
      </c>
    </row>
    <row r="4" spans="3:6" ht="15.75" thickBot="1" x14ac:dyDescent="0.3">
      <c r="C4" s="172" t="s">
        <v>168</v>
      </c>
      <c r="E4" s="589"/>
      <c r="F4" s="160" t="s">
        <v>297</v>
      </c>
    </row>
    <row r="5" spans="3:6" ht="15.75" thickBot="1" x14ac:dyDescent="0.3">
      <c r="C5" s="172" t="s">
        <v>298</v>
      </c>
      <c r="E5" s="589"/>
      <c r="F5" s="160" t="s">
        <v>299</v>
      </c>
    </row>
    <row r="6" spans="3:6" ht="15.75" thickBot="1" x14ac:dyDescent="0.3">
      <c r="C6" s="172" t="s">
        <v>300</v>
      </c>
      <c r="E6" s="589"/>
      <c r="F6" s="160" t="s">
        <v>301</v>
      </c>
    </row>
    <row r="7" spans="3:6" ht="15.75" thickBot="1" x14ac:dyDescent="0.3">
      <c r="C7" s="173" t="s">
        <v>302</v>
      </c>
      <c r="E7" s="589"/>
      <c r="F7" s="160" t="s">
        <v>303</v>
      </c>
    </row>
    <row r="8" spans="3:6" ht="15.75" thickBot="1" x14ac:dyDescent="0.3">
      <c r="C8" s="172" t="s">
        <v>304</v>
      </c>
      <c r="E8" s="590"/>
      <c r="F8" s="160" t="s">
        <v>305</v>
      </c>
    </row>
    <row r="9" spans="3:6" ht="15.75" thickBot="1" x14ac:dyDescent="0.3">
      <c r="C9" s="172" t="s">
        <v>306</v>
      </c>
      <c r="E9" s="588" t="s">
        <v>307</v>
      </c>
      <c r="F9" s="160" t="s">
        <v>308</v>
      </c>
    </row>
    <row r="10" spans="3:6" ht="15.75" thickBot="1" x14ac:dyDescent="0.3">
      <c r="C10" s="172" t="s">
        <v>309</v>
      </c>
      <c r="E10" s="589"/>
      <c r="F10" s="160" t="s">
        <v>310</v>
      </c>
    </row>
    <row r="11" spans="3:6" ht="15.75" thickBot="1" x14ac:dyDescent="0.3">
      <c r="E11" s="589"/>
      <c r="F11" s="160" t="s">
        <v>311</v>
      </c>
    </row>
    <row r="12" spans="3:6" ht="15.75" thickBot="1" x14ac:dyDescent="0.3">
      <c r="E12" s="589"/>
      <c r="F12" s="160" t="s">
        <v>312</v>
      </c>
    </row>
    <row r="13" spans="3:6" ht="15.75" thickBot="1" x14ac:dyDescent="0.3">
      <c r="E13" s="590"/>
      <c r="F13" s="160" t="s">
        <v>313</v>
      </c>
    </row>
    <row r="14" spans="3:6" ht="24.75" thickBot="1" x14ac:dyDescent="0.3">
      <c r="E14" s="588" t="s">
        <v>314</v>
      </c>
      <c r="F14" s="160" t="s">
        <v>315</v>
      </c>
    </row>
    <row r="15" spans="3:6" ht="15.75" thickBot="1" x14ac:dyDescent="0.3">
      <c r="E15" s="589"/>
      <c r="F15" s="160" t="s">
        <v>316</v>
      </c>
    </row>
    <row r="16" spans="3:6" ht="15.75" thickBot="1" x14ac:dyDescent="0.3">
      <c r="E16" s="590"/>
      <c r="F16" s="160" t="s">
        <v>317</v>
      </c>
    </row>
    <row r="17" spans="5:6" ht="15.75" thickBot="1" x14ac:dyDescent="0.3">
      <c r="E17" s="588" t="s">
        <v>318</v>
      </c>
      <c r="F17" s="160" t="s">
        <v>319</v>
      </c>
    </row>
    <row r="18" spans="5:6" ht="15.75" thickBot="1" x14ac:dyDescent="0.3">
      <c r="E18" s="589"/>
      <c r="F18" s="160" t="s">
        <v>320</v>
      </c>
    </row>
    <row r="19" spans="5:6" ht="15.75" thickBot="1" x14ac:dyDescent="0.3">
      <c r="E19" s="590"/>
      <c r="F19" s="160" t="s">
        <v>321</v>
      </c>
    </row>
    <row r="20" spans="5:6" ht="24.75" thickBot="1" x14ac:dyDescent="0.3">
      <c r="E20" s="588" t="s">
        <v>322</v>
      </c>
      <c r="F20" s="160" t="s">
        <v>323</v>
      </c>
    </row>
    <row r="21" spans="5:6" ht="15.75" thickBot="1" x14ac:dyDescent="0.3">
      <c r="E21" s="589"/>
      <c r="F21" s="160" t="s">
        <v>324</v>
      </c>
    </row>
    <row r="22" spans="5:6" ht="15.75" thickBot="1" x14ac:dyDescent="0.3">
      <c r="E22" s="589"/>
      <c r="F22" s="160" t="s">
        <v>325</v>
      </c>
    </row>
    <row r="23" spans="5:6" ht="15.75" thickBot="1" x14ac:dyDescent="0.3">
      <c r="E23" s="589"/>
      <c r="F23" s="160" t="s">
        <v>326</v>
      </c>
    </row>
    <row r="24" spans="5:6" ht="15.75" thickBot="1" x14ac:dyDescent="0.3">
      <c r="E24" s="589"/>
      <c r="F24" s="160" t="s">
        <v>327</v>
      </c>
    </row>
    <row r="25" spans="5:6" ht="24.75" thickBot="1" x14ac:dyDescent="0.3">
      <c r="E25" s="589"/>
      <c r="F25" s="160" t="s">
        <v>328</v>
      </c>
    </row>
    <row r="26" spans="5:6" ht="15.75" thickBot="1" x14ac:dyDescent="0.3">
      <c r="E26" s="589"/>
      <c r="F26" s="160" t="s">
        <v>329</v>
      </c>
    </row>
    <row r="27" spans="5:6" ht="24.75" thickBot="1" x14ac:dyDescent="0.3">
      <c r="E27" s="589"/>
      <c r="F27" s="160" t="s">
        <v>330</v>
      </c>
    </row>
    <row r="28" spans="5:6" ht="15.75" thickBot="1" x14ac:dyDescent="0.3">
      <c r="E28" s="589"/>
      <c r="F28" s="160" t="s">
        <v>331</v>
      </c>
    </row>
    <row r="29" spans="5:6" ht="15.75" thickBot="1" x14ac:dyDescent="0.3">
      <c r="E29" s="589"/>
      <c r="F29" s="160" t="s">
        <v>332</v>
      </c>
    </row>
    <row r="30" spans="5:6" ht="15.75" thickBot="1" x14ac:dyDescent="0.3">
      <c r="E30" s="590"/>
      <c r="F30" s="160" t="s">
        <v>333</v>
      </c>
    </row>
    <row r="31" spans="5:6" ht="15.75" thickBot="1" x14ac:dyDescent="0.3">
      <c r="E31" s="588" t="s">
        <v>172</v>
      </c>
      <c r="F31" s="160" t="s">
        <v>334</v>
      </c>
    </row>
    <row r="32" spans="5:6" ht="15.75" thickBot="1" x14ac:dyDescent="0.3">
      <c r="E32" s="589"/>
      <c r="F32" s="160" t="s">
        <v>335</v>
      </c>
    </row>
    <row r="33" spans="5:6" ht="15.75" thickBot="1" x14ac:dyDescent="0.3">
      <c r="E33" s="589"/>
      <c r="F33" s="160" t="s">
        <v>336</v>
      </c>
    </row>
    <row r="34" spans="5:6" ht="15.75" thickBot="1" x14ac:dyDescent="0.3">
      <c r="E34" s="589"/>
      <c r="F34" s="160" t="s">
        <v>337</v>
      </c>
    </row>
    <row r="35" spans="5:6" ht="24.75" thickBot="1" x14ac:dyDescent="0.3">
      <c r="E35" s="590"/>
      <c r="F35" s="160" t="s">
        <v>338</v>
      </c>
    </row>
    <row r="36" spans="5:6" ht="15.75" thickBot="1" x14ac:dyDescent="0.3">
      <c r="E36" s="588" t="s">
        <v>169</v>
      </c>
      <c r="F36" s="160" t="s">
        <v>170</v>
      </c>
    </row>
    <row r="37" spans="5:6" ht="15.75" thickBot="1" x14ac:dyDescent="0.3">
      <c r="E37" s="589"/>
      <c r="F37" s="160" t="s">
        <v>339</v>
      </c>
    </row>
    <row r="38" spans="5:6" ht="15.75" thickBot="1" x14ac:dyDescent="0.3">
      <c r="E38" s="589"/>
      <c r="F38" s="160" t="s">
        <v>340</v>
      </c>
    </row>
    <row r="39" spans="5:6" ht="15.75" thickBot="1" x14ac:dyDescent="0.3">
      <c r="E39" s="589"/>
      <c r="F39" s="160" t="s">
        <v>341</v>
      </c>
    </row>
    <row r="40" spans="5:6" ht="15.75" thickBot="1" x14ac:dyDescent="0.3">
      <c r="E40" s="590"/>
      <c r="F40" s="160" t="s">
        <v>342</v>
      </c>
    </row>
    <row r="41" spans="5:6" ht="15.75" thickBot="1" x14ac:dyDescent="0.3">
      <c r="E41" s="588" t="s">
        <v>343</v>
      </c>
      <c r="F41" s="160" t="s">
        <v>344</v>
      </c>
    </row>
    <row r="42" spans="5:6" ht="15.75" thickBot="1" x14ac:dyDescent="0.3">
      <c r="E42" s="589"/>
      <c r="F42" s="160" t="s">
        <v>345</v>
      </c>
    </row>
    <row r="43" spans="5:6" ht="15.75" thickBot="1" x14ac:dyDescent="0.3">
      <c r="E43" s="589"/>
      <c r="F43" s="160" t="s">
        <v>346</v>
      </c>
    </row>
    <row r="44" spans="5:6" ht="15.75" thickBot="1" x14ac:dyDescent="0.3">
      <c r="E44" s="589"/>
      <c r="F44" s="160" t="s">
        <v>347</v>
      </c>
    </row>
    <row r="45" spans="5:6" ht="24.75" thickBot="1" x14ac:dyDescent="0.3">
      <c r="E45" s="590"/>
      <c r="F45" s="160" t="s">
        <v>348</v>
      </c>
    </row>
    <row r="48" spans="5:6" ht="15" customHeight="1" x14ac:dyDescent="0.25"/>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2" workbookViewId="0">
      <selection activeCell="AA44" sqref="AA44"/>
    </sheetView>
  </sheetViews>
  <sheetFormatPr baseColWidth="10" defaultColWidth="11.42578125" defaultRowHeight="15" x14ac:dyDescent="0.25"/>
  <cols>
    <col min="27" max="27" width="36" customWidth="1"/>
  </cols>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592" t="s">
        <v>349</v>
      </c>
      <c r="C1" s="593"/>
      <c r="D1" s="593"/>
      <c r="E1" s="593"/>
      <c r="F1" s="594"/>
    </row>
    <row r="2" spans="2:6" ht="16.5" thickBot="1" x14ac:dyDescent="0.3">
      <c r="B2" s="72"/>
      <c r="C2" s="72"/>
      <c r="D2" s="72"/>
      <c r="E2" s="72"/>
      <c r="F2" s="72"/>
    </row>
    <row r="3" spans="2:6" ht="16.5" thickBot="1" x14ac:dyDescent="0.25">
      <c r="B3" s="596" t="s">
        <v>350</v>
      </c>
      <c r="C3" s="597"/>
      <c r="D3" s="597"/>
      <c r="E3" s="84" t="s">
        <v>351</v>
      </c>
      <c r="F3" s="85" t="s">
        <v>352</v>
      </c>
    </row>
    <row r="4" spans="2:6" ht="31.5" x14ac:dyDescent="0.2">
      <c r="B4" s="598" t="s">
        <v>353</v>
      </c>
      <c r="C4" s="600" t="s">
        <v>146</v>
      </c>
      <c r="D4" s="73" t="s">
        <v>156</v>
      </c>
      <c r="E4" s="74" t="s">
        <v>354</v>
      </c>
      <c r="F4" s="75">
        <v>0.25</v>
      </c>
    </row>
    <row r="5" spans="2:6" ht="47.25" x14ac:dyDescent="0.2">
      <c r="B5" s="599"/>
      <c r="C5" s="601"/>
      <c r="D5" s="76" t="s">
        <v>158</v>
      </c>
      <c r="E5" s="77" t="s">
        <v>355</v>
      </c>
      <c r="F5" s="78">
        <v>0.15</v>
      </c>
    </row>
    <row r="6" spans="2:6" ht="47.25" x14ac:dyDescent="0.2">
      <c r="B6" s="599"/>
      <c r="C6" s="601"/>
      <c r="D6" s="76" t="s">
        <v>356</v>
      </c>
      <c r="E6" s="77" t="s">
        <v>357</v>
      </c>
      <c r="F6" s="78">
        <v>0.1</v>
      </c>
    </row>
    <row r="7" spans="2:6" ht="63" x14ac:dyDescent="0.2">
      <c r="B7" s="599"/>
      <c r="C7" s="601" t="s">
        <v>147</v>
      </c>
      <c r="D7" s="76" t="s">
        <v>358</v>
      </c>
      <c r="E7" s="77" t="s">
        <v>359</v>
      </c>
      <c r="F7" s="78">
        <v>0.25</v>
      </c>
    </row>
    <row r="8" spans="2:6" ht="31.5" x14ac:dyDescent="0.2">
      <c r="B8" s="599"/>
      <c r="C8" s="601"/>
      <c r="D8" s="76" t="s">
        <v>157</v>
      </c>
      <c r="E8" s="77" t="s">
        <v>360</v>
      </c>
      <c r="F8" s="78">
        <v>0.15</v>
      </c>
    </row>
    <row r="9" spans="2:6" ht="47.25" x14ac:dyDescent="0.2">
      <c r="B9" s="599" t="s">
        <v>361</v>
      </c>
      <c r="C9" s="601" t="s">
        <v>149</v>
      </c>
      <c r="D9" s="76" t="s">
        <v>160</v>
      </c>
      <c r="E9" s="77" t="s">
        <v>362</v>
      </c>
      <c r="F9" s="79" t="s">
        <v>363</v>
      </c>
    </row>
    <row r="10" spans="2:6" ht="63" x14ac:dyDescent="0.2">
      <c r="B10" s="599"/>
      <c r="C10" s="601"/>
      <c r="D10" s="76" t="s">
        <v>364</v>
      </c>
      <c r="E10" s="77" t="s">
        <v>365</v>
      </c>
      <c r="F10" s="79" t="s">
        <v>363</v>
      </c>
    </row>
    <row r="11" spans="2:6" ht="47.25" x14ac:dyDescent="0.2">
      <c r="B11" s="599"/>
      <c r="C11" s="601" t="s">
        <v>150</v>
      </c>
      <c r="D11" s="76" t="s">
        <v>161</v>
      </c>
      <c r="E11" s="77" t="s">
        <v>366</v>
      </c>
      <c r="F11" s="79" t="s">
        <v>363</v>
      </c>
    </row>
    <row r="12" spans="2:6" ht="47.25" x14ac:dyDescent="0.2">
      <c r="B12" s="599"/>
      <c r="C12" s="601"/>
      <c r="D12" s="76" t="s">
        <v>367</v>
      </c>
      <c r="E12" s="77" t="s">
        <v>368</v>
      </c>
      <c r="F12" s="79" t="s">
        <v>363</v>
      </c>
    </row>
    <row r="13" spans="2:6" ht="31.5" x14ac:dyDescent="0.2">
      <c r="B13" s="599"/>
      <c r="C13" s="601" t="s">
        <v>151</v>
      </c>
      <c r="D13" s="76" t="s">
        <v>162</v>
      </c>
      <c r="E13" s="77" t="s">
        <v>369</v>
      </c>
      <c r="F13" s="79" t="s">
        <v>363</v>
      </c>
    </row>
    <row r="14" spans="2:6" ht="32.25" thickBot="1" x14ac:dyDescent="0.25">
      <c r="B14" s="602"/>
      <c r="C14" s="603"/>
      <c r="D14" s="80" t="s">
        <v>370</v>
      </c>
      <c r="E14" s="81" t="s">
        <v>371</v>
      </c>
      <c r="F14" s="82" t="s">
        <v>363</v>
      </c>
    </row>
    <row r="15" spans="2:6" ht="49.5" customHeight="1" x14ac:dyDescent="0.2">
      <c r="B15" s="595" t="s">
        <v>372</v>
      </c>
      <c r="C15" s="595"/>
      <c r="D15" s="595"/>
      <c r="E15" s="595"/>
      <c r="F15" s="595"/>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71"/>
  <sheetViews>
    <sheetView topLeftCell="A61" workbookViewId="0">
      <selection activeCell="F28" sqref="F28:G71"/>
    </sheetView>
  </sheetViews>
  <sheetFormatPr baseColWidth="10" defaultColWidth="11.42578125" defaultRowHeight="15" x14ac:dyDescent="0.25"/>
  <cols>
    <col min="6" max="6" width="17.140625" customWidth="1"/>
    <col min="7" max="7" width="29.28515625" customWidth="1"/>
  </cols>
  <sheetData>
    <row r="2" spans="2:5" x14ac:dyDescent="0.25">
      <c r="B2" t="s">
        <v>373</v>
      </c>
      <c r="E2" t="s">
        <v>173</v>
      </c>
    </row>
    <row r="3" spans="2:5" x14ac:dyDescent="0.25">
      <c r="B3" t="s">
        <v>374</v>
      </c>
      <c r="E3" t="s">
        <v>163</v>
      </c>
    </row>
    <row r="4" spans="2:5" x14ac:dyDescent="0.25">
      <c r="B4" t="s">
        <v>375</v>
      </c>
      <c r="E4" t="s">
        <v>152</v>
      </c>
    </row>
    <row r="5" spans="2:5" x14ac:dyDescent="0.25">
      <c r="B5" t="s">
        <v>159</v>
      </c>
    </row>
    <row r="8" spans="2:5" x14ac:dyDescent="0.25">
      <c r="B8" t="s">
        <v>376</v>
      </c>
    </row>
    <row r="9" spans="2:5" x14ac:dyDescent="0.25">
      <c r="B9" t="s">
        <v>377</v>
      </c>
    </row>
    <row r="10" spans="2:5" x14ac:dyDescent="0.25">
      <c r="B10" t="s">
        <v>378</v>
      </c>
    </row>
    <row r="13" spans="2:5" x14ac:dyDescent="0.25">
      <c r="B13" t="s">
        <v>379</v>
      </c>
    </row>
    <row r="14" spans="2:5" x14ac:dyDescent="0.25">
      <c r="B14" t="s">
        <v>154</v>
      </c>
    </row>
    <row r="15" spans="2:5" x14ac:dyDescent="0.25">
      <c r="B15" t="s">
        <v>380</v>
      </c>
    </row>
    <row r="16" spans="2:5" x14ac:dyDescent="0.25">
      <c r="B16" t="s">
        <v>381</v>
      </c>
    </row>
    <row r="17" spans="2:7" x14ac:dyDescent="0.25">
      <c r="B17" t="s">
        <v>165</v>
      </c>
    </row>
    <row r="18" spans="2:7" x14ac:dyDescent="0.25">
      <c r="B18" t="s">
        <v>284</v>
      </c>
    </row>
    <row r="19" spans="2:7" x14ac:dyDescent="0.25">
      <c r="B19" t="s">
        <v>382</v>
      </c>
    </row>
    <row r="20" spans="2:7" x14ac:dyDescent="0.25">
      <c r="B20" t="s">
        <v>383</v>
      </c>
    </row>
    <row r="21" spans="2:7" x14ac:dyDescent="0.25">
      <c r="B21" t="s">
        <v>288</v>
      </c>
    </row>
    <row r="22" spans="2:7" x14ac:dyDescent="0.25">
      <c r="B22" t="s">
        <v>167</v>
      </c>
    </row>
    <row r="23" spans="2:7" x14ac:dyDescent="0.25">
      <c r="B23" t="s">
        <v>171</v>
      </c>
    </row>
    <row r="27" spans="2:7" ht="15.75" thickBot="1" x14ac:dyDescent="0.3"/>
    <row r="28" spans="2:7" ht="15.75" thickBot="1" x14ac:dyDescent="0.3">
      <c r="B28" t="s">
        <v>295</v>
      </c>
      <c r="F28" s="158" t="s">
        <v>292</v>
      </c>
      <c r="G28" s="159" t="s">
        <v>293</v>
      </c>
    </row>
    <row r="29" spans="2:7" ht="15.75" thickBot="1" x14ac:dyDescent="0.3">
      <c r="B29" t="s">
        <v>307</v>
      </c>
      <c r="F29" s="591" t="s">
        <v>295</v>
      </c>
      <c r="G29" s="160" t="s">
        <v>296</v>
      </c>
    </row>
    <row r="30" spans="2:7" ht="15.75" thickBot="1" x14ac:dyDescent="0.3">
      <c r="B30" t="s">
        <v>314</v>
      </c>
      <c r="F30" s="589"/>
      <c r="G30" s="160" t="s">
        <v>297</v>
      </c>
    </row>
    <row r="31" spans="2:7" ht="15.75" thickBot="1" x14ac:dyDescent="0.3">
      <c r="B31" t="s">
        <v>318</v>
      </c>
      <c r="F31" s="589"/>
      <c r="G31" s="160" t="s">
        <v>299</v>
      </c>
    </row>
    <row r="32" spans="2:7" ht="15.75" thickBot="1" x14ac:dyDescent="0.3">
      <c r="B32" t="s">
        <v>322</v>
      </c>
      <c r="F32" s="589"/>
      <c r="G32" s="160" t="s">
        <v>301</v>
      </c>
    </row>
    <row r="33" spans="2:7" ht="15.75" thickBot="1" x14ac:dyDescent="0.3">
      <c r="B33" t="s">
        <v>172</v>
      </c>
      <c r="F33" s="589"/>
      <c r="G33" s="160" t="s">
        <v>303</v>
      </c>
    </row>
    <row r="34" spans="2:7" ht="15.75" thickBot="1" x14ac:dyDescent="0.3">
      <c r="B34" t="s">
        <v>169</v>
      </c>
      <c r="F34" s="590"/>
      <c r="G34" s="160" t="s">
        <v>305</v>
      </c>
    </row>
    <row r="35" spans="2:7" ht="15.75" thickBot="1" x14ac:dyDescent="0.3">
      <c r="B35" t="s">
        <v>343</v>
      </c>
      <c r="F35" s="588" t="s">
        <v>307</v>
      </c>
      <c r="G35" s="160" t="s">
        <v>308</v>
      </c>
    </row>
    <row r="36" spans="2:7" ht="15.75" thickBot="1" x14ac:dyDescent="0.3">
      <c r="F36" s="589"/>
      <c r="G36" s="160" t="s">
        <v>310</v>
      </c>
    </row>
    <row r="37" spans="2:7" ht="15.75" thickBot="1" x14ac:dyDescent="0.3">
      <c r="F37" s="589"/>
      <c r="G37" s="160" t="s">
        <v>311</v>
      </c>
    </row>
    <row r="38" spans="2:7" ht="21.75" customHeight="1" thickBot="1" x14ac:dyDescent="0.3">
      <c r="F38" s="589"/>
      <c r="G38" s="160" t="s">
        <v>312</v>
      </c>
    </row>
    <row r="39" spans="2:7" ht="15.75" thickBot="1" x14ac:dyDescent="0.3">
      <c r="F39" s="590"/>
      <c r="G39" s="160" t="s">
        <v>313</v>
      </c>
    </row>
    <row r="40" spans="2:7" ht="45.75" customHeight="1" thickBot="1" x14ac:dyDescent="0.3">
      <c r="F40" s="588" t="s">
        <v>314</v>
      </c>
      <c r="G40" s="160" t="s">
        <v>315</v>
      </c>
    </row>
    <row r="41" spans="2:7" ht="15.75" thickBot="1" x14ac:dyDescent="0.3">
      <c r="F41" s="589"/>
      <c r="G41" s="160" t="s">
        <v>316</v>
      </c>
    </row>
    <row r="42" spans="2:7" ht="30" customHeight="1" thickBot="1" x14ac:dyDescent="0.3">
      <c r="F42" s="590"/>
      <c r="G42" s="160" t="s">
        <v>317</v>
      </c>
    </row>
    <row r="43" spans="2:7" ht="15.75" thickBot="1" x14ac:dyDescent="0.3">
      <c r="F43" s="588" t="s">
        <v>318</v>
      </c>
      <c r="G43" s="160" t="s">
        <v>319</v>
      </c>
    </row>
    <row r="44" spans="2:7" ht="15.75" thickBot="1" x14ac:dyDescent="0.3">
      <c r="F44" s="589"/>
      <c r="G44" s="160" t="s">
        <v>320</v>
      </c>
    </row>
    <row r="45" spans="2:7" ht="15.75" thickBot="1" x14ac:dyDescent="0.3">
      <c r="F45" s="590"/>
      <c r="G45" s="160" t="s">
        <v>321</v>
      </c>
    </row>
    <row r="46" spans="2:7" ht="24.75" thickBot="1" x14ac:dyDescent="0.3">
      <c r="F46" s="588" t="s">
        <v>322</v>
      </c>
      <c r="G46" s="160" t="s">
        <v>323</v>
      </c>
    </row>
    <row r="47" spans="2:7" ht="15.75" thickBot="1" x14ac:dyDescent="0.3">
      <c r="F47" s="589"/>
      <c r="G47" s="160" t="s">
        <v>324</v>
      </c>
    </row>
    <row r="48" spans="2:7" ht="15.75" thickBot="1" x14ac:dyDescent="0.3">
      <c r="F48" s="589"/>
      <c r="G48" s="160" t="s">
        <v>325</v>
      </c>
    </row>
    <row r="49" spans="6:7" ht="15.75" thickBot="1" x14ac:dyDescent="0.3">
      <c r="F49" s="589"/>
      <c r="G49" s="160" t="s">
        <v>326</v>
      </c>
    </row>
    <row r="50" spans="6:7" ht="15.75" thickBot="1" x14ac:dyDescent="0.3">
      <c r="F50" s="589"/>
      <c r="G50" s="160" t="s">
        <v>327</v>
      </c>
    </row>
    <row r="51" spans="6:7" ht="24.75" thickBot="1" x14ac:dyDescent="0.3">
      <c r="F51" s="589"/>
      <c r="G51" s="160" t="s">
        <v>328</v>
      </c>
    </row>
    <row r="52" spans="6:7" ht="15.75" thickBot="1" x14ac:dyDescent="0.3">
      <c r="F52" s="589"/>
      <c r="G52" s="160" t="s">
        <v>329</v>
      </c>
    </row>
    <row r="53" spans="6:7" ht="24.75" thickBot="1" x14ac:dyDescent="0.3">
      <c r="F53" s="589"/>
      <c r="G53" s="160" t="s">
        <v>330</v>
      </c>
    </row>
    <row r="54" spans="6:7" ht="15.75" thickBot="1" x14ac:dyDescent="0.3">
      <c r="F54" s="589"/>
      <c r="G54" s="160" t="s">
        <v>331</v>
      </c>
    </row>
    <row r="55" spans="6:7" ht="15.75" thickBot="1" x14ac:dyDescent="0.3">
      <c r="F55" s="589"/>
      <c r="G55" s="160" t="s">
        <v>332</v>
      </c>
    </row>
    <row r="56" spans="6:7" ht="15.75" thickBot="1" x14ac:dyDescent="0.3">
      <c r="F56" s="590"/>
      <c r="G56" s="160" t="s">
        <v>333</v>
      </c>
    </row>
    <row r="57" spans="6:7" ht="15.75" thickBot="1" x14ac:dyDescent="0.3">
      <c r="F57" s="588" t="s">
        <v>172</v>
      </c>
      <c r="G57" s="160" t="s">
        <v>334</v>
      </c>
    </row>
    <row r="58" spans="6:7" ht="15.75" thickBot="1" x14ac:dyDescent="0.3">
      <c r="F58" s="589"/>
      <c r="G58" s="160" t="s">
        <v>335</v>
      </c>
    </row>
    <row r="59" spans="6:7" ht="24.75" thickBot="1" x14ac:dyDescent="0.3">
      <c r="F59" s="589"/>
      <c r="G59" s="160" t="s">
        <v>336</v>
      </c>
    </row>
    <row r="60" spans="6:7" ht="15.75" thickBot="1" x14ac:dyDescent="0.3">
      <c r="F60" s="589"/>
      <c r="G60" s="160" t="s">
        <v>337</v>
      </c>
    </row>
    <row r="61" spans="6:7" ht="36.75" thickBot="1" x14ac:dyDescent="0.3">
      <c r="F61" s="590"/>
      <c r="G61" s="160" t="s">
        <v>338</v>
      </c>
    </row>
    <row r="62" spans="6:7" ht="15.75" thickBot="1" x14ac:dyDescent="0.3">
      <c r="F62" s="588" t="s">
        <v>169</v>
      </c>
      <c r="G62" s="160" t="s">
        <v>170</v>
      </c>
    </row>
    <row r="63" spans="6:7" ht="15.75" thickBot="1" x14ac:dyDescent="0.3">
      <c r="F63" s="589"/>
      <c r="G63" s="160" t="s">
        <v>339</v>
      </c>
    </row>
    <row r="64" spans="6:7" ht="15.75" thickBot="1" x14ac:dyDescent="0.3">
      <c r="F64" s="589"/>
      <c r="G64" s="160" t="s">
        <v>340</v>
      </c>
    </row>
    <row r="65" spans="6:7" ht="15.75" thickBot="1" x14ac:dyDescent="0.3">
      <c r="F65" s="589"/>
      <c r="G65" s="160" t="s">
        <v>341</v>
      </c>
    </row>
    <row r="66" spans="6:7" ht="15.75" thickBot="1" x14ac:dyDescent="0.3">
      <c r="F66" s="590"/>
      <c r="G66" s="160" t="s">
        <v>342</v>
      </c>
    </row>
    <row r="67" spans="6:7" ht="15.75" thickBot="1" x14ac:dyDescent="0.3">
      <c r="F67" s="588" t="s">
        <v>343</v>
      </c>
      <c r="G67" s="160" t="s">
        <v>344</v>
      </c>
    </row>
    <row r="68" spans="6:7" ht="15.75" thickBot="1" x14ac:dyDescent="0.3">
      <c r="F68" s="589"/>
      <c r="G68" s="160" t="s">
        <v>345</v>
      </c>
    </row>
    <row r="69" spans="6:7" ht="15.75" thickBot="1" x14ac:dyDescent="0.3">
      <c r="F69" s="589"/>
      <c r="G69" s="160" t="s">
        <v>346</v>
      </c>
    </row>
    <row r="70" spans="6:7" ht="15.75" thickBot="1" x14ac:dyDescent="0.3">
      <c r="F70" s="589"/>
      <c r="G70" s="160" t="s">
        <v>347</v>
      </c>
    </row>
    <row r="71" spans="6:7" ht="24.75" thickBot="1" x14ac:dyDescent="0.3">
      <c r="F71" s="590"/>
      <c r="G71" s="160" t="s">
        <v>348</v>
      </c>
    </row>
  </sheetData>
  <sortState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156</v>
      </c>
    </row>
    <row r="4" spans="1:1" x14ac:dyDescent="0.2">
      <c r="A4" s="2" t="s">
        <v>158</v>
      </c>
    </row>
    <row r="5" spans="1:1" x14ac:dyDescent="0.2">
      <c r="A5" s="2" t="s">
        <v>356</v>
      </c>
    </row>
    <row r="6" spans="1:1" x14ac:dyDescent="0.2">
      <c r="A6" s="2" t="s">
        <v>358</v>
      </c>
    </row>
    <row r="7" spans="1:1" x14ac:dyDescent="0.2">
      <c r="A7" s="2" t="s">
        <v>157</v>
      </c>
    </row>
    <row r="8" spans="1:1" x14ac:dyDescent="0.2">
      <c r="A8" s="2" t="s">
        <v>160</v>
      </c>
    </row>
    <row r="9" spans="1:1" x14ac:dyDescent="0.2">
      <c r="A9" s="2" t="s">
        <v>364</v>
      </c>
    </row>
    <row r="10" spans="1:1" x14ac:dyDescent="0.2">
      <c r="A10" s="2" t="s">
        <v>161</v>
      </c>
    </row>
    <row r="11" spans="1:1" x14ac:dyDescent="0.2">
      <c r="A11" s="2" t="s">
        <v>367</v>
      </c>
    </row>
    <row r="12" spans="1:1" x14ac:dyDescent="0.2">
      <c r="A12" s="2" t="s">
        <v>384</v>
      </c>
    </row>
    <row r="13" spans="1:1" x14ac:dyDescent="0.2">
      <c r="A13" s="2" t="s">
        <v>385</v>
      </c>
    </row>
    <row r="14" spans="1:1" x14ac:dyDescent="0.2">
      <c r="A14" s="2" t="s">
        <v>386</v>
      </c>
    </row>
    <row r="16" spans="1:1" x14ac:dyDescent="0.2">
      <c r="A16" s="2" t="s">
        <v>387</v>
      </c>
    </row>
    <row r="17" spans="1:1" x14ac:dyDescent="0.2">
      <c r="A17" s="2" t="s">
        <v>373</v>
      </c>
    </row>
    <row r="18" spans="1:1" x14ac:dyDescent="0.2">
      <c r="A18" s="2" t="s">
        <v>374</v>
      </c>
    </row>
    <row r="20" spans="1:1" x14ac:dyDescent="0.2">
      <c r="A20" s="2" t="s">
        <v>377</v>
      </c>
    </row>
    <row r="21" spans="1:1" x14ac:dyDescent="0.2">
      <c r="A21" s="2" t="s">
        <v>378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opLeftCell="A2" zoomScale="70" zoomScaleNormal="70" zoomScaleSheetLayoutView="30" zoomScalePageLayoutView="60" workbookViewId="0">
      <selection activeCell="D11" sqref="D11"/>
    </sheetView>
  </sheetViews>
  <sheetFormatPr baseColWidth="10" defaultColWidth="11.42578125" defaultRowHeight="26.25" x14ac:dyDescent="0.35"/>
  <cols>
    <col min="1" max="1" width="5.28515625" style="119" customWidth="1"/>
    <col min="2" max="2" width="7.42578125" style="120" customWidth="1"/>
    <col min="3" max="3" width="25.7109375" style="121" customWidth="1"/>
    <col min="4" max="4" width="104.42578125" style="147" customWidth="1"/>
    <col min="5" max="5" width="129.7109375" style="121" customWidth="1"/>
    <col min="6" max="6" width="66.28515625" style="255" customWidth="1"/>
    <col min="7" max="16384" width="11.42578125" style="119"/>
  </cols>
  <sheetData>
    <row r="1" spans="1:13" ht="20.25" customHeight="1" x14ac:dyDescent="0.35"/>
    <row r="2" spans="1:13" ht="63.75" customHeight="1" x14ac:dyDescent="0.35">
      <c r="B2" s="327"/>
      <c r="C2" s="327"/>
      <c r="D2" s="328" t="s">
        <v>76</v>
      </c>
      <c r="E2" s="328"/>
      <c r="F2" s="328"/>
      <c r="G2" s="129"/>
      <c r="H2" s="129"/>
      <c r="I2" s="129"/>
      <c r="J2" s="129"/>
      <c r="K2" s="129"/>
      <c r="L2" s="129"/>
      <c r="M2" s="129"/>
    </row>
    <row r="3" spans="1:13" ht="30.75" customHeight="1" x14ac:dyDescent="0.35">
      <c r="B3" s="327"/>
      <c r="C3" s="327"/>
      <c r="D3" s="170" t="s">
        <v>77</v>
      </c>
      <c r="E3" s="330" t="s">
        <v>391</v>
      </c>
      <c r="F3" s="330"/>
      <c r="G3" s="129"/>
      <c r="H3" s="129"/>
      <c r="I3" s="129"/>
      <c r="J3" s="129"/>
      <c r="K3" s="129"/>
      <c r="L3" s="129"/>
    </row>
    <row r="4" spans="1:13" ht="30.75" customHeight="1" x14ac:dyDescent="0.35">
      <c r="B4" s="327"/>
      <c r="C4" s="327"/>
      <c r="D4" s="329" t="s">
        <v>392</v>
      </c>
      <c r="E4" s="329"/>
      <c r="F4" s="329"/>
      <c r="G4" s="129"/>
      <c r="H4" s="129"/>
      <c r="I4" s="129"/>
      <c r="J4" s="129"/>
      <c r="K4" s="129"/>
      <c r="L4" s="129"/>
    </row>
    <row r="5" spans="1:13" ht="10.5" customHeight="1" x14ac:dyDescent="0.35">
      <c r="B5" s="129"/>
      <c r="C5" s="129"/>
      <c r="D5" s="129"/>
      <c r="E5" s="129"/>
      <c r="F5" s="256"/>
      <c r="G5" s="129"/>
      <c r="H5" s="129"/>
      <c r="I5" s="129"/>
      <c r="J5" s="129"/>
      <c r="K5" s="129"/>
      <c r="L5" s="129"/>
    </row>
    <row r="6" spans="1:13" ht="24" customHeight="1" x14ac:dyDescent="0.35">
      <c r="B6" s="326" t="s">
        <v>78</v>
      </c>
      <c r="C6" s="326"/>
      <c r="D6" s="331" t="s">
        <v>67</v>
      </c>
      <c r="E6" s="332"/>
      <c r="F6" s="332"/>
      <c r="G6" s="129"/>
      <c r="H6" s="129"/>
      <c r="I6" s="129"/>
      <c r="J6" s="129"/>
      <c r="K6" s="129"/>
      <c r="L6" s="129"/>
    </row>
    <row r="7" spans="1:13" ht="24" customHeight="1" x14ac:dyDescent="0.35">
      <c r="B7" s="326" t="s">
        <v>79</v>
      </c>
      <c r="C7" s="326"/>
      <c r="D7" s="331" t="s">
        <v>444</v>
      </c>
      <c r="E7" s="332"/>
      <c r="F7" s="332"/>
      <c r="G7" s="129"/>
      <c r="H7" s="129"/>
      <c r="I7" s="129"/>
      <c r="J7" s="129"/>
      <c r="K7" s="129"/>
      <c r="L7" s="129"/>
    </row>
    <row r="8" spans="1:13" ht="10.5" customHeight="1" thickBot="1" x14ac:dyDescent="0.4">
      <c r="D8" s="122"/>
      <c r="E8" s="123"/>
      <c r="F8" s="256"/>
      <c r="G8" s="129"/>
      <c r="H8" s="129"/>
      <c r="I8" s="129"/>
      <c r="J8" s="129"/>
      <c r="K8" s="129"/>
      <c r="L8" s="129"/>
    </row>
    <row r="9" spans="1:13" ht="69.75" customHeight="1" thickBot="1" x14ac:dyDescent="0.4">
      <c r="A9" s="266"/>
      <c r="B9" s="321" t="s">
        <v>389</v>
      </c>
      <c r="C9" s="322"/>
      <c r="D9" s="322"/>
      <c r="E9" s="322"/>
      <c r="F9" s="319" t="s">
        <v>388</v>
      </c>
      <c r="G9" s="129"/>
      <c r="H9" s="129"/>
      <c r="I9" s="129"/>
      <c r="J9" s="129"/>
      <c r="K9" s="129"/>
      <c r="L9" s="129"/>
    </row>
    <row r="10" spans="1:13" s="129" customFormat="1" ht="50.25" customHeight="1" x14ac:dyDescent="0.35">
      <c r="A10" s="267"/>
      <c r="B10" s="323" t="s">
        <v>81</v>
      </c>
      <c r="C10" s="257" t="s">
        <v>82</v>
      </c>
      <c r="D10" s="258" t="s">
        <v>83</v>
      </c>
      <c r="E10" s="263" t="s">
        <v>84</v>
      </c>
      <c r="F10" s="320"/>
    </row>
    <row r="11" spans="1:13" s="129" customFormat="1" ht="243.6" customHeight="1" x14ac:dyDescent="0.35">
      <c r="A11" s="267"/>
      <c r="B11" s="324"/>
      <c r="C11" s="259" t="s">
        <v>85</v>
      </c>
      <c r="D11" s="260" t="s">
        <v>422</v>
      </c>
      <c r="E11" s="264" t="s">
        <v>423</v>
      </c>
      <c r="F11" s="269" t="s">
        <v>445</v>
      </c>
    </row>
    <row r="12" spans="1:13" s="129" customFormat="1" ht="234.75" customHeight="1" x14ac:dyDescent="0.35">
      <c r="A12" s="267"/>
      <c r="B12" s="324"/>
      <c r="C12" s="259" t="s">
        <v>86</v>
      </c>
      <c r="D12" s="261" t="s">
        <v>446</v>
      </c>
      <c r="E12" s="265" t="s">
        <v>424</v>
      </c>
      <c r="F12" s="269" t="s">
        <v>447</v>
      </c>
    </row>
    <row r="13" spans="1:13" s="129" customFormat="1" ht="408.6" customHeight="1" x14ac:dyDescent="0.35">
      <c r="A13" s="267"/>
      <c r="B13" s="324"/>
      <c r="C13" s="259" t="s">
        <v>87</v>
      </c>
      <c r="D13" s="261" t="s">
        <v>452</v>
      </c>
      <c r="E13" s="265" t="s">
        <v>438</v>
      </c>
      <c r="F13" s="277" t="s">
        <v>451</v>
      </c>
    </row>
    <row r="14" spans="1:13" s="129" customFormat="1" ht="381" customHeight="1" x14ac:dyDescent="0.35">
      <c r="A14" s="267"/>
      <c r="B14" s="324"/>
      <c r="C14" s="259" t="s">
        <v>88</v>
      </c>
      <c r="D14" s="261" t="s">
        <v>439</v>
      </c>
      <c r="E14" s="265" t="s">
        <v>425</v>
      </c>
      <c r="F14" s="269" t="s">
        <v>453</v>
      </c>
    </row>
    <row r="15" spans="1:13" s="129" customFormat="1" ht="242.25" customHeight="1" x14ac:dyDescent="0.35">
      <c r="A15" s="267"/>
      <c r="B15" s="324"/>
      <c r="C15" s="259" t="s">
        <v>89</v>
      </c>
      <c r="D15" s="274" t="s">
        <v>450</v>
      </c>
      <c r="E15" s="264" t="s">
        <v>440</v>
      </c>
      <c r="F15" s="269" t="s">
        <v>445</v>
      </c>
    </row>
    <row r="16" spans="1:13" s="129" customFormat="1" ht="311.25" x14ac:dyDescent="0.35">
      <c r="A16" s="267"/>
      <c r="B16" s="324"/>
      <c r="C16" s="259" t="s">
        <v>90</v>
      </c>
      <c r="D16" s="261" t="s">
        <v>441</v>
      </c>
      <c r="E16" s="275" t="s">
        <v>442</v>
      </c>
      <c r="F16" s="276" t="s">
        <v>420</v>
      </c>
    </row>
    <row r="17" spans="1:6" s="141" customFormat="1" ht="409.15" customHeight="1" x14ac:dyDescent="0.35">
      <c r="A17" s="268"/>
      <c r="B17" s="324"/>
      <c r="C17" s="262" t="s">
        <v>91</v>
      </c>
      <c r="D17" s="261" t="s">
        <v>448</v>
      </c>
      <c r="E17" s="265" t="s">
        <v>449</v>
      </c>
      <c r="F17" s="269" t="s">
        <v>421</v>
      </c>
    </row>
    <row r="18" spans="1:6" ht="363.6" customHeight="1" thickBot="1" x14ac:dyDescent="0.3">
      <c r="B18" s="325"/>
      <c r="C18" s="270" t="s">
        <v>390</v>
      </c>
      <c r="D18" s="273" t="s">
        <v>443</v>
      </c>
      <c r="E18" s="271"/>
      <c r="F18" s="272"/>
    </row>
    <row r="19" spans="1:6" x14ac:dyDescent="0.35">
      <c r="B19" s="181"/>
      <c r="C19" s="182"/>
      <c r="D19" s="183"/>
      <c r="E19" s="182"/>
    </row>
    <row r="20" spans="1:6" x14ac:dyDescent="0.25">
      <c r="B20" s="317"/>
      <c r="C20" s="317"/>
      <c r="D20" s="317"/>
      <c r="E20" s="317"/>
    </row>
    <row r="21" spans="1:6" ht="27" x14ac:dyDescent="0.25">
      <c r="B21" s="318"/>
      <c r="C21" s="184"/>
      <c r="D21" s="184"/>
      <c r="E21" s="184"/>
    </row>
    <row r="22" spans="1:6" x14ac:dyDescent="0.25">
      <c r="B22" s="318"/>
      <c r="C22" s="185"/>
      <c r="D22" s="186"/>
      <c r="E22" s="186"/>
    </row>
    <row r="23" spans="1:6" x14ac:dyDescent="0.25">
      <c r="B23" s="318"/>
      <c r="C23" s="185"/>
      <c r="D23" s="187"/>
      <c r="E23" s="187"/>
    </row>
    <row r="24" spans="1:6" x14ac:dyDescent="0.25">
      <c r="B24" s="318"/>
      <c r="C24" s="185"/>
      <c r="D24" s="187"/>
      <c r="E24" s="187"/>
    </row>
    <row r="25" spans="1:6" x14ac:dyDescent="0.25">
      <c r="B25" s="318"/>
      <c r="C25" s="185"/>
      <c r="D25" s="187"/>
      <c r="E25" s="187"/>
    </row>
    <row r="26" spans="1:6" x14ac:dyDescent="0.25">
      <c r="B26" s="318"/>
      <c r="C26" s="185"/>
      <c r="D26" s="187"/>
      <c r="E26" s="186"/>
    </row>
    <row r="27" spans="1:6" x14ac:dyDescent="0.25">
      <c r="B27" s="318"/>
      <c r="C27" s="185"/>
      <c r="D27" s="187"/>
      <c r="E27" s="186"/>
    </row>
    <row r="28" spans="1:6" x14ac:dyDescent="0.25">
      <c r="B28" s="318"/>
      <c r="C28" s="188"/>
      <c r="D28" s="187"/>
      <c r="E28" s="187"/>
    </row>
    <row r="29" spans="1:6" ht="27.75" x14ac:dyDescent="0.35">
      <c r="B29" s="318"/>
      <c r="C29" s="189"/>
      <c r="D29" s="190"/>
      <c r="E29" s="190"/>
    </row>
    <row r="30" spans="1:6" x14ac:dyDescent="0.35">
      <c r="B30" s="181"/>
      <c r="C30" s="182"/>
      <c r="D30" s="183"/>
      <c r="E30" s="182"/>
    </row>
    <row r="31" spans="1:6" x14ac:dyDescent="0.35">
      <c r="B31" s="181"/>
      <c r="C31" s="182"/>
      <c r="D31" s="183"/>
      <c r="E31" s="182"/>
    </row>
  </sheetData>
  <mergeCells count="13">
    <mergeCell ref="B7:C7"/>
    <mergeCell ref="B2:C4"/>
    <mergeCell ref="B6:C6"/>
    <mergeCell ref="D2:F2"/>
    <mergeCell ref="D4:F4"/>
    <mergeCell ref="E3:F3"/>
    <mergeCell ref="D6:F6"/>
    <mergeCell ref="D7:F7"/>
    <mergeCell ref="B20:E20"/>
    <mergeCell ref="B21:B29"/>
    <mergeCell ref="F9:F10"/>
    <mergeCell ref="B9:E9"/>
    <mergeCell ref="B10:B18"/>
  </mergeCells>
  <pageMargins left="0.70866141732283472" right="0.70866141732283472" top="0.74803149606299213" bottom="0.74803149606299213" header="0.31496062992125984" footer="0.31496062992125984"/>
  <pageSetup scale="32" orientation="landscape" r:id="rId1"/>
  <headerFooter>
    <oddFooter>&amp;LAvenida Calle 26 No. 57-83 Torre 8, Piso 8 CEMSA - C.P. 111321 
PBX:(+57) 601-3779555 - Información: Línea 195 
Sede Operativa - Atención al Ciudadano: Calle 22D No. 120-40 
www.umv.gov.co&amp;CDESI-FM-029
Página &amp;P de &amp;N</oddFooter>
  </headerFooter>
  <rowBreaks count="1" manualBreakCount="1">
    <brk id="9" min="1" max="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Intructivo!$C$300:$C$316</xm:f>
          </x14:formula1>
          <xm:sqref>D6:F6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B1" zoomScale="50" zoomScaleNormal="50" workbookViewId="0">
      <selection activeCell="I4" sqref="I4"/>
    </sheetView>
  </sheetViews>
  <sheetFormatPr baseColWidth="10" defaultColWidth="11.42578125" defaultRowHeight="26.25" x14ac:dyDescent="0.35"/>
  <cols>
    <col min="1" max="1" width="11.85546875" style="119" customWidth="1"/>
    <col min="2" max="2" width="7.42578125" style="120" customWidth="1"/>
    <col min="3" max="3" width="36.85546875" style="121" customWidth="1"/>
    <col min="4" max="4" width="150" style="147" customWidth="1"/>
    <col min="5" max="5" width="168" style="121" customWidth="1"/>
    <col min="6" max="6" width="51.7109375" style="119" customWidth="1"/>
    <col min="7" max="16384" width="11.42578125" style="119"/>
  </cols>
  <sheetData>
    <row r="1" spans="1:6" x14ac:dyDescent="0.35">
      <c r="D1" s="122"/>
      <c r="E1" s="123"/>
    </row>
    <row r="2" spans="1:6" ht="40.5" customHeight="1" thickBot="1" x14ac:dyDescent="0.3">
      <c r="A2" s="124"/>
      <c r="B2" s="333" t="s">
        <v>80</v>
      </c>
      <c r="C2" s="333"/>
      <c r="D2" s="333"/>
      <c r="E2" s="334"/>
      <c r="F2" s="338" t="s">
        <v>92</v>
      </c>
    </row>
    <row r="3" spans="1:6" s="129" customFormat="1" ht="40.5" customHeight="1" thickBot="1" x14ac:dyDescent="0.4">
      <c r="A3" s="125"/>
      <c r="B3" s="335" t="s">
        <v>93</v>
      </c>
      <c r="C3" s="126" t="s">
        <v>82</v>
      </c>
      <c r="D3" s="127" t="s">
        <v>83</v>
      </c>
      <c r="E3" s="128" t="s">
        <v>84</v>
      </c>
      <c r="F3" s="339"/>
    </row>
    <row r="4" spans="1:6" s="129" customFormat="1" ht="228.75" customHeight="1" thickBot="1" x14ac:dyDescent="0.4">
      <c r="A4" s="125"/>
      <c r="B4" s="336"/>
      <c r="C4" s="130" t="s">
        <v>85</v>
      </c>
      <c r="D4" s="131" t="s">
        <v>94</v>
      </c>
      <c r="E4" s="161" t="s">
        <v>95</v>
      </c>
      <c r="F4" s="166" t="s">
        <v>96</v>
      </c>
    </row>
    <row r="5" spans="1:6" s="129" customFormat="1" ht="289.5" thickBot="1" x14ac:dyDescent="0.4">
      <c r="A5" s="125"/>
      <c r="B5" s="336"/>
      <c r="C5" s="132" t="s">
        <v>86</v>
      </c>
      <c r="D5" s="133" t="s">
        <v>97</v>
      </c>
      <c r="E5" s="162" t="s">
        <v>98</v>
      </c>
      <c r="F5" s="165" t="s">
        <v>99</v>
      </c>
    </row>
    <row r="6" spans="1:6" s="129" customFormat="1" ht="237" thickBot="1" x14ac:dyDescent="0.4">
      <c r="A6" s="125"/>
      <c r="B6" s="336"/>
      <c r="C6" s="134" t="s">
        <v>87</v>
      </c>
      <c r="D6" s="135" t="s">
        <v>100</v>
      </c>
      <c r="E6" s="163" t="s">
        <v>101</v>
      </c>
      <c r="F6" s="165"/>
    </row>
    <row r="7" spans="1:6" s="129" customFormat="1" ht="154.5" customHeight="1" thickBot="1" x14ac:dyDescent="0.4">
      <c r="A7" s="125"/>
      <c r="B7" s="336"/>
      <c r="C7" s="136" t="s">
        <v>88</v>
      </c>
      <c r="D7" s="137"/>
      <c r="E7" s="162"/>
      <c r="F7" s="165"/>
    </row>
    <row r="8" spans="1:6" s="129" customFormat="1" ht="178.5" thickBot="1" x14ac:dyDescent="0.4">
      <c r="A8" s="125"/>
      <c r="B8" s="336"/>
      <c r="C8" s="138" t="s">
        <v>89</v>
      </c>
      <c r="D8" s="135" t="s">
        <v>102</v>
      </c>
      <c r="E8" s="164" t="s">
        <v>103</v>
      </c>
      <c r="F8" s="165"/>
    </row>
    <row r="9" spans="1:6" s="129" customFormat="1" ht="169.5" thickBot="1" x14ac:dyDescent="0.4">
      <c r="A9" s="125"/>
      <c r="B9" s="336"/>
      <c r="C9" s="136" t="s">
        <v>90</v>
      </c>
      <c r="D9" s="133" t="s">
        <v>104</v>
      </c>
      <c r="E9" s="164" t="s">
        <v>105</v>
      </c>
      <c r="F9" s="165"/>
    </row>
    <row r="10" spans="1:6" s="141" customFormat="1" ht="263.25" thickBot="1" x14ac:dyDescent="0.4">
      <c r="A10" s="139"/>
      <c r="B10" s="336"/>
      <c r="C10" s="140" t="s">
        <v>91</v>
      </c>
      <c r="D10" s="133" t="s">
        <v>106</v>
      </c>
      <c r="E10" s="163" t="s">
        <v>107</v>
      </c>
      <c r="F10" s="167"/>
    </row>
    <row r="11" spans="1:6" s="141" customFormat="1" ht="28.5" thickBot="1" x14ac:dyDescent="0.4">
      <c r="A11" s="139"/>
      <c r="B11" s="337"/>
      <c r="C11" s="142"/>
      <c r="D11" s="143"/>
      <c r="E11" s="144"/>
    </row>
    <row r="12" spans="1:6" ht="27" x14ac:dyDescent="0.35">
      <c r="D12" s="145"/>
      <c r="E12" s="146"/>
    </row>
    <row r="17" spans="4:4" x14ac:dyDescent="0.35">
      <c r="D17" s="122"/>
    </row>
    <row r="18" spans="4:4" x14ac:dyDescent="0.35">
      <c r="D18" s="122"/>
    </row>
    <row r="19" spans="4:4" x14ac:dyDescent="0.35">
      <c r="D19" s="122"/>
    </row>
  </sheetData>
  <mergeCells count="3">
    <mergeCell ref="B2:E2"/>
    <mergeCell ref="B3:B11"/>
    <mergeCell ref="F2:F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M75"/>
  <sheetViews>
    <sheetView tabSelected="1" zoomScale="40" zoomScaleNormal="40" zoomScaleSheetLayoutView="30" zoomScalePageLayoutView="60" workbookViewId="0">
      <pane xSplit="4" ySplit="12" topLeftCell="F13" activePane="bottomRight" state="frozen"/>
      <selection pane="topRight" activeCell="E1" sqref="E1"/>
      <selection pane="bottomLeft" activeCell="A13" sqref="A13"/>
      <selection pane="bottomRight" activeCell="J13" sqref="J13:J18"/>
    </sheetView>
  </sheetViews>
  <sheetFormatPr baseColWidth="10" defaultColWidth="11.42578125" defaultRowHeight="15" x14ac:dyDescent="0.2"/>
  <cols>
    <col min="1" max="1" width="6.5703125" style="234" customWidth="1"/>
    <col min="2" max="2" width="16" style="234" customWidth="1"/>
    <col min="3" max="3" width="19.140625" style="234" customWidth="1"/>
    <col min="4" max="4" width="54.7109375" style="234" customWidth="1"/>
    <col min="5" max="5" width="70.85546875" style="215" customWidth="1"/>
    <col min="6" max="6" width="15.140625" style="215" customWidth="1"/>
    <col min="7" max="8" width="16.7109375" style="235" customWidth="1"/>
    <col min="9" max="9" width="19.28515625" style="235" customWidth="1"/>
    <col min="10" max="11" width="16.7109375" style="235" customWidth="1"/>
    <col min="12" max="12" width="16.7109375" style="215" customWidth="1"/>
    <col min="13" max="13" width="20.42578125" style="215" customWidth="1"/>
    <col min="14" max="14" width="10" style="215" customWidth="1"/>
    <col min="15" max="15" width="35.85546875" style="215" customWidth="1"/>
    <col min="16" max="16" width="30.5703125" style="215" hidden="1" customWidth="1"/>
    <col min="17" max="17" width="17.5703125" style="215" customWidth="1"/>
    <col min="18" max="18" width="8.42578125" style="215" customWidth="1"/>
    <col min="19" max="19" width="16" style="215" customWidth="1"/>
    <col min="20" max="20" width="11.28515625" style="215" customWidth="1"/>
    <col min="21" max="21" width="60.5703125" style="215" customWidth="1"/>
    <col min="22" max="22" width="19" style="215" hidden="1" customWidth="1"/>
    <col min="23" max="23" width="6.85546875" style="215" customWidth="1"/>
    <col min="24" max="24" width="5" style="215" customWidth="1"/>
    <col min="25" max="25" width="5.5703125" style="215" hidden="1" customWidth="1"/>
    <col min="26" max="26" width="7.140625" style="215" customWidth="1"/>
    <col min="27" max="27" width="6.7109375" style="215" customWidth="1"/>
    <col min="28" max="28" width="7.5703125" style="215" customWidth="1"/>
    <col min="29" max="29" width="38.28515625" style="215" hidden="1" customWidth="1"/>
    <col min="30" max="34" width="10.85546875" style="215" customWidth="1"/>
    <col min="35" max="35" width="10.85546875" style="233" customWidth="1"/>
    <col min="36" max="36" width="23" style="215" customWidth="1"/>
    <col min="37" max="38" width="18.85546875" style="215" customWidth="1"/>
    <col min="39" max="39" width="22.42578125" style="215" customWidth="1"/>
    <col min="40" max="41" width="16.42578125" style="215" customWidth="1"/>
    <col min="42" max="42" width="26.140625" style="215" customWidth="1"/>
    <col min="43" max="16384" width="11.42578125" style="215"/>
  </cols>
  <sheetData>
    <row r="1" spans="1:273" s="207" customFormat="1" ht="24" customHeight="1" x14ac:dyDescent="0.3">
      <c r="A1" s="342"/>
      <c r="B1" s="343"/>
      <c r="C1" s="344"/>
      <c r="D1" s="351" t="s">
        <v>108</v>
      </c>
      <c r="E1" s="352"/>
      <c r="F1" s="352"/>
      <c r="G1" s="352"/>
      <c r="H1" s="352"/>
      <c r="I1" s="352"/>
      <c r="J1" s="352"/>
      <c r="K1" s="352"/>
      <c r="L1" s="352"/>
      <c r="M1" s="352"/>
      <c r="N1" s="352"/>
      <c r="O1" s="352"/>
      <c r="P1" s="352"/>
      <c r="Q1" s="352"/>
      <c r="R1" s="352"/>
      <c r="S1" s="353"/>
      <c r="T1" s="205"/>
      <c r="U1" s="372" t="s">
        <v>108</v>
      </c>
      <c r="V1" s="352"/>
      <c r="W1" s="352"/>
      <c r="X1" s="352"/>
      <c r="Y1" s="352"/>
      <c r="Z1" s="352"/>
      <c r="AA1" s="352"/>
      <c r="AB1" s="352"/>
      <c r="AC1" s="352"/>
      <c r="AD1" s="352"/>
      <c r="AE1" s="352"/>
      <c r="AF1" s="352"/>
      <c r="AG1" s="352"/>
      <c r="AH1" s="352"/>
      <c r="AI1" s="352"/>
      <c r="AJ1" s="352"/>
      <c r="AK1" s="352"/>
      <c r="AL1" s="352"/>
      <c r="AM1" s="352"/>
      <c r="AN1" s="352"/>
      <c r="AO1" s="352"/>
      <c r="AP1" s="353"/>
      <c r="AQ1" s="206"/>
      <c r="AR1" s="206"/>
      <c r="AS1" s="206"/>
      <c r="AT1" s="206"/>
      <c r="AU1" s="206"/>
      <c r="AV1" s="206"/>
      <c r="AW1" s="206"/>
      <c r="AX1" s="206"/>
      <c r="AY1" s="206"/>
      <c r="AZ1" s="206"/>
      <c r="BA1" s="206"/>
      <c r="BB1" s="206"/>
      <c r="BC1" s="206"/>
      <c r="BD1" s="206"/>
      <c r="BE1" s="206"/>
      <c r="BF1" s="206"/>
      <c r="BG1" s="206"/>
      <c r="BH1" s="206"/>
      <c r="BI1" s="206"/>
      <c r="BJ1" s="206"/>
      <c r="BK1" s="206"/>
      <c r="BL1" s="206"/>
      <c r="BM1" s="206"/>
      <c r="BN1" s="206"/>
      <c r="BO1" s="206"/>
      <c r="BP1" s="206"/>
    </row>
    <row r="2" spans="1:273" s="207" customFormat="1" ht="24" customHeight="1" thickBot="1" x14ac:dyDescent="0.35">
      <c r="A2" s="345"/>
      <c r="B2" s="346"/>
      <c r="C2" s="347"/>
      <c r="D2" s="354"/>
      <c r="E2" s="355"/>
      <c r="F2" s="355"/>
      <c r="G2" s="355"/>
      <c r="H2" s="355"/>
      <c r="I2" s="355"/>
      <c r="J2" s="355"/>
      <c r="K2" s="355"/>
      <c r="L2" s="355"/>
      <c r="M2" s="355"/>
      <c r="N2" s="355"/>
      <c r="O2" s="355"/>
      <c r="P2" s="355"/>
      <c r="Q2" s="355"/>
      <c r="R2" s="355"/>
      <c r="S2" s="356"/>
      <c r="T2" s="205"/>
      <c r="U2" s="373"/>
      <c r="V2" s="355"/>
      <c r="W2" s="355"/>
      <c r="X2" s="355"/>
      <c r="Y2" s="355"/>
      <c r="Z2" s="355"/>
      <c r="AA2" s="355"/>
      <c r="AB2" s="355"/>
      <c r="AC2" s="355"/>
      <c r="AD2" s="355"/>
      <c r="AE2" s="355"/>
      <c r="AF2" s="355"/>
      <c r="AG2" s="355"/>
      <c r="AH2" s="355"/>
      <c r="AI2" s="355"/>
      <c r="AJ2" s="355"/>
      <c r="AK2" s="355"/>
      <c r="AL2" s="355"/>
      <c r="AM2" s="355"/>
      <c r="AN2" s="355"/>
      <c r="AO2" s="355"/>
      <c r="AP2" s="35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row>
    <row r="3" spans="1:273" s="207" customFormat="1" ht="24" customHeight="1" x14ac:dyDescent="0.3">
      <c r="A3" s="345"/>
      <c r="B3" s="346"/>
      <c r="C3" s="347"/>
      <c r="D3" s="357" t="s">
        <v>109</v>
      </c>
      <c r="E3" s="358"/>
      <c r="F3" s="358"/>
      <c r="G3" s="358"/>
      <c r="H3" s="358"/>
      <c r="I3" s="358"/>
      <c r="J3" s="358"/>
      <c r="K3" s="358"/>
      <c r="L3" s="358" t="s">
        <v>110</v>
      </c>
      <c r="M3" s="358"/>
      <c r="N3" s="358"/>
      <c r="O3" s="358"/>
      <c r="P3" s="358"/>
      <c r="Q3" s="358"/>
      <c r="R3" s="358"/>
      <c r="S3" s="359"/>
      <c r="T3" s="205"/>
      <c r="U3" s="374" t="s">
        <v>111</v>
      </c>
      <c r="V3" s="375"/>
      <c r="W3" s="375"/>
      <c r="X3" s="375"/>
      <c r="Y3" s="375"/>
      <c r="Z3" s="375"/>
      <c r="AA3" s="375"/>
      <c r="AB3" s="375"/>
      <c r="AC3" s="375"/>
      <c r="AD3" s="375"/>
      <c r="AE3" s="375"/>
      <c r="AF3" s="375"/>
      <c r="AG3" s="375"/>
      <c r="AH3" s="375"/>
      <c r="AI3" s="375"/>
      <c r="AJ3" s="375" t="s">
        <v>110</v>
      </c>
      <c r="AK3" s="375"/>
      <c r="AL3" s="375"/>
      <c r="AM3" s="375"/>
      <c r="AN3" s="375"/>
      <c r="AO3" s="375"/>
      <c r="AP3" s="377"/>
      <c r="AQ3" s="208"/>
      <c r="AR3" s="209"/>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row>
    <row r="4" spans="1:273" s="207" customFormat="1" ht="24" customHeight="1" thickBot="1" x14ac:dyDescent="0.35">
      <c r="A4" s="348"/>
      <c r="B4" s="349"/>
      <c r="C4" s="350"/>
      <c r="D4" s="360" t="s">
        <v>392</v>
      </c>
      <c r="E4" s="361"/>
      <c r="F4" s="361"/>
      <c r="G4" s="361"/>
      <c r="H4" s="361"/>
      <c r="I4" s="361"/>
      <c r="J4" s="361"/>
      <c r="K4" s="361"/>
      <c r="L4" s="361"/>
      <c r="M4" s="361"/>
      <c r="N4" s="361"/>
      <c r="O4" s="361"/>
      <c r="P4" s="361"/>
      <c r="Q4" s="361"/>
      <c r="R4" s="361"/>
      <c r="S4" s="362"/>
      <c r="T4" s="205"/>
      <c r="U4" s="376" t="s">
        <v>395</v>
      </c>
      <c r="V4" s="361"/>
      <c r="W4" s="361"/>
      <c r="X4" s="361"/>
      <c r="Y4" s="361"/>
      <c r="Z4" s="361"/>
      <c r="AA4" s="361"/>
      <c r="AB4" s="361"/>
      <c r="AC4" s="361"/>
      <c r="AD4" s="361"/>
      <c r="AE4" s="361"/>
      <c r="AF4" s="361"/>
      <c r="AG4" s="361"/>
      <c r="AH4" s="361"/>
      <c r="AI4" s="361"/>
      <c r="AJ4" s="361"/>
      <c r="AK4" s="361"/>
      <c r="AL4" s="361"/>
      <c r="AM4" s="361"/>
      <c r="AN4" s="361"/>
      <c r="AO4" s="361"/>
      <c r="AP4" s="362"/>
      <c r="AQ4" s="206"/>
      <c r="AR4" s="206"/>
      <c r="AS4" s="206"/>
      <c r="AT4" s="206"/>
      <c r="AU4" s="206"/>
      <c r="AV4" s="206"/>
      <c r="AW4" s="206"/>
      <c r="AX4" s="206"/>
      <c r="AY4" s="206"/>
      <c r="AZ4" s="206"/>
      <c r="BA4" s="206"/>
      <c r="BB4" s="206"/>
      <c r="BC4" s="206"/>
      <c r="BD4" s="206"/>
      <c r="BE4" s="206"/>
      <c r="BF4" s="206"/>
      <c r="BG4" s="206"/>
      <c r="BH4" s="206"/>
      <c r="BI4" s="206"/>
      <c r="BJ4" s="206"/>
      <c r="BK4" s="206"/>
      <c r="BL4" s="206"/>
      <c r="BM4" s="206"/>
      <c r="BN4" s="206"/>
      <c r="BO4" s="206"/>
      <c r="BP4" s="206"/>
    </row>
    <row r="5" spans="1:273" ht="15.75" thickBot="1" x14ac:dyDescent="0.25">
      <c r="A5" s="210"/>
      <c r="B5" s="211"/>
      <c r="C5" s="210"/>
      <c r="D5" s="210"/>
      <c r="E5" s="212"/>
      <c r="F5" s="212"/>
      <c r="G5" s="213"/>
      <c r="H5" s="213"/>
      <c r="I5" s="213"/>
      <c r="J5" s="213"/>
      <c r="K5" s="213"/>
      <c r="L5" s="212"/>
      <c r="M5" s="212"/>
      <c r="N5" s="212"/>
      <c r="O5" s="212"/>
      <c r="P5" s="212"/>
      <c r="Q5" s="212"/>
      <c r="R5" s="212"/>
      <c r="S5" s="212"/>
      <c r="T5" s="212"/>
      <c r="U5" s="212"/>
      <c r="V5" s="212"/>
      <c r="W5" s="212"/>
      <c r="X5" s="212"/>
      <c r="Y5" s="212"/>
      <c r="Z5" s="212"/>
      <c r="AA5" s="212"/>
      <c r="AB5" s="212"/>
      <c r="AC5" s="212"/>
      <c r="AD5" s="212"/>
      <c r="AE5" s="212"/>
      <c r="AF5" s="212"/>
      <c r="AG5" s="212"/>
      <c r="AH5" s="212"/>
      <c r="AI5" s="214"/>
      <c r="AJ5" s="212"/>
      <c r="AK5" s="212"/>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2"/>
      <c r="BJ5" s="212"/>
      <c r="BK5" s="212"/>
      <c r="BL5" s="212"/>
      <c r="BM5" s="212"/>
      <c r="BN5" s="212"/>
      <c r="BO5" s="212"/>
      <c r="BP5" s="212"/>
    </row>
    <row r="6" spans="1:273" ht="27.75" customHeight="1" x14ac:dyDescent="0.2">
      <c r="A6" s="378" t="s">
        <v>112</v>
      </c>
      <c r="B6" s="379"/>
      <c r="C6" s="392" t="s">
        <v>67</v>
      </c>
      <c r="D6" s="393"/>
      <c r="E6" s="393"/>
      <c r="F6" s="393"/>
      <c r="G6" s="393"/>
      <c r="H6" s="393"/>
      <c r="I6" s="393"/>
      <c r="J6" s="393"/>
      <c r="K6" s="393"/>
      <c r="L6" s="393"/>
      <c r="M6" s="393"/>
      <c r="N6" s="393"/>
      <c r="O6" s="393"/>
      <c r="P6" s="393"/>
      <c r="Q6" s="393"/>
      <c r="R6" s="393"/>
      <c r="S6" s="394"/>
      <c r="T6" s="395" t="s">
        <v>112</v>
      </c>
      <c r="U6" s="396"/>
      <c r="V6" s="397"/>
      <c r="W6" s="363" t="str">
        <f>C6</f>
        <v>9. Gestión contractual</v>
      </c>
      <c r="X6" s="364"/>
      <c r="Y6" s="364"/>
      <c r="Z6" s="364"/>
      <c r="AA6" s="364"/>
      <c r="AB6" s="364"/>
      <c r="AC6" s="364"/>
      <c r="AD6" s="364"/>
      <c r="AE6" s="364"/>
      <c r="AF6" s="364"/>
      <c r="AG6" s="364"/>
      <c r="AH6" s="364"/>
      <c r="AI6" s="364"/>
      <c r="AJ6" s="364"/>
      <c r="AK6" s="364"/>
      <c r="AL6" s="364"/>
      <c r="AM6" s="364"/>
      <c r="AN6" s="364"/>
      <c r="AO6" s="364"/>
      <c r="AP6" s="365"/>
      <c r="AQ6" s="212"/>
      <c r="AR6" s="212"/>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row>
    <row r="7" spans="1:273" ht="36.75" customHeight="1" x14ac:dyDescent="0.25">
      <c r="A7" s="380" t="s">
        <v>113</v>
      </c>
      <c r="B7" s="381"/>
      <c r="C7" s="406" t="s">
        <v>435</v>
      </c>
      <c r="D7" s="407"/>
      <c r="E7" s="407"/>
      <c r="F7" s="407"/>
      <c r="G7" s="407"/>
      <c r="H7" s="407"/>
      <c r="I7" s="407"/>
      <c r="J7" s="407"/>
      <c r="K7" s="407"/>
      <c r="L7" s="407"/>
      <c r="M7" s="407"/>
      <c r="N7" s="407"/>
      <c r="O7" s="407"/>
      <c r="P7" s="407"/>
      <c r="Q7" s="407"/>
      <c r="R7" s="407"/>
      <c r="S7" s="408"/>
      <c r="T7" s="216" t="s">
        <v>113</v>
      </c>
      <c r="U7" s="217"/>
      <c r="V7" s="218"/>
      <c r="W7" s="366" t="str">
        <f>C7</f>
        <v>Coordinar los diferentes procesos de contratación requeridos por la entidad, en las etapas precontractual, contractual y pos contractual, mediante la sujeción de la normatividad legal vigente, con el fin de garantizar la adquisición de bienes, servicios y obra pública para suplir las necesidades de la entidad, y el cumplimiento de las metas y los objetivos institucionales de la entidad, bajo parámetros de efectividad, calidad y transparencia.</v>
      </c>
      <c r="X7" s="367"/>
      <c r="Y7" s="367"/>
      <c r="Z7" s="367"/>
      <c r="AA7" s="367"/>
      <c r="AB7" s="367"/>
      <c r="AC7" s="367"/>
      <c r="AD7" s="367"/>
      <c r="AE7" s="367"/>
      <c r="AF7" s="367"/>
      <c r="AG7" s="367"/>
      <c r="AH7" s="367"/>
      <c r="AI7" s="367"/>
      <c r="AJ7" s="367"/>
      <c r="AK7" s="367"/>
      <c r="AL7" s="367"/>
      <c r="AM7" s="367"/>
      <c r="AN7" s="367"/>
      <c r="AO7" s="367"/>
      <c r="AP7" s="368"/>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row>
    <row r="8" spans="1:273" ht="30" customHeight="1" thickBot="1" x14ac:dyDescent="0.3">
      <c r="A8" s="382" t="s">
        <v>114</v>
      </c>
      <c r="B8" s="383"/>
      <c r="C8" s="409" t="s">
        <v>419</v>
      </c>
      <c r="D8" s="410"/>
      <c r="E8" s="410"/>
      <c r="F8" s="410"/>
      <c r="G8" s="410"/>
      <c r="H8" s="410"/>
      <c r="I8" s="410"/>
      <c r="J8" s="410"/>
      <c r="K8" s="410"/>
      <c r="L8" s="410"/>
      <c r="M8" s="410"/>
      <c r="N8" s="410"/>
      <c r="O8" s="410"/>
      <c r="P8" s="410"/>
      <c r="Q8" s="410"/>
      <c r="R8" s="410"/>
      <c r="S8" s="411"/>
      <c r="T8" s="219" t="s">
        <v>114</v>
      </c>
      <c r="U8" s="220"/>
      <c r="V8" s="221"/>
      <c r="W8" s="369" t="str">
        <f>C8</f>
        <v>Inicia con la identificación y programación de las necesidades de adquisición de bienes, servicios y obras públicas de la entidad y finaliza con la liquidación de los contratos, si a ello hay lugar y el archivo final de todos los documentos del proceso contractual.</v>
      </c>
      <c r="X8" s="370"/>
      <c r="Y8" s="370"/>
      <c r="Z8" s="370"/>
      <c r="AA8" s="370"/>
      <c r="AB8" s="370"/>
      <c r="AC8" s="370"/>
      <c r="AD8" s="370"/>
      <c r="AE8" s="370"/>
      <c r="AF8" s="370"/>
      <c r="AG8" s="370"/>
      <c r="AH8" s="370"/>
      <c r="AI8" s="370"/>
      <c r="AJ8" s="370"/>
      <c r="AK8" s="370"/>
      <c r="AL8" s="370"/>
      <c r="AM8" s="370"/>
      <c r="AN8" s="370"/>
      <c r="AO8" s="370"/>
      <c r="AP8" s="371"/>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row>
    <row r="9" spans="1:273" ht="12" customHeight="1" x14ac:dyDescent="0.25">
      <c r="A9" s="222"/>
      <c r="B9" s="222"/>
      <c r="C9" s="223"/>
      <c r="D9" s="223"/>
      <c r="E9" s="223"/>
      <c r="F9" s="223"/>
      <c r="G9" s="223"/>
      <c r="H9" s="223"/>
      <c r="I9" s="223"/>
      <c r="J9" s="223"/>
      <c r="K9" s="223"/>
      <c r="L9" s="223"/>
      <c r="M9" s="223"/>
      <c r="N9" s="223"/>
      <c r="O9" s="223"/>
      <c r="P9" s="223"/>
      <c r="Q9" s="223"/>
      <c r="R9" s="223"/>
      <c r="S9" s="223"/>
      <c r="T9" s="224"/>
      <c r="U9" s="224"/>
      <c r="V9" s="224"/>
      <c r="W9" s="225"/>
      <c r="X9" s="225"/>
      <c r="Y9" s="225"/>
      <c r="Z9" s="225"/>
      <c r="AA9" s="225"/>
      <c r="AB9" s="225"/>
      <c r="AC9" s="225"/>
      <c r="AD9" s="225"/>
      <c r="AE9" s="225"/>
      <c r="AF9" s="225"/>
      <c r="AG9" s="225"/>
      <c r="AH9" s="225"/>
      <c r="AI9" s="225"/>
      <c r="AJ9" s="225"/>
      <c r="AK9" s="225"/>
      <c r="AL9" s="225"/>
      <c r="AM9" s="225"/>
      <c r="AN9" s="225"/>
      <c r="AO9" s="225"/>
      <c r="AP9" s="225"/>
    </row>
    <row r="10" spans="1:273" ht="39" customHeight="1" x14ac:dyDescent="0.2">
      <c r="A10" s="398" t="s">
        <v>115</v>
      </c>
      <c r="B10" s="398"/>
      <c r="C10" s="398"/>
      <c r="D10" s="398"/>
      <c r="E10" s="398"/>
      <c r="F10" s="398"/>
      <c r="G10" s="398"/>
      <c r="H10" s="398"/>
      <c r="I10" s="398"/>
      <c r="J10" s="398"/>
      <c r="K10" s="398"/>
      <c r="L10" s="398"/>
      <c r="M10" s="398" t="s">
        <v>116</v>
      </c>
      <c r="N10" s="398"/>
      <c r="O10" s="398"/>
      <c r="P10" s="398"/>
      <c r="Q10" s="398"/>
      <c r="R10" s="398"/>
      <c r="S10" s="398"/>
      <c r="T10" s="398" t="s">
        <v>117</v>
      </c>
      <c r="U10" s="398"/>
      <c r="V10" s="398"/>
      <c r="W10" s="398"/>
      <c r="X10" s="398"/>
      <c r="Y10" s="398"/>
      <c r="Z10" s="398"/>
      <c r="AA10" s="398"/>
      <c r="AB10" s="398"/>
      <c r="AC10" s="398" t="s">
        <v>118</v>
      </c>
      <c r="AD10" s="398"/>
      <c r="AE10" s="398"/>
      <c r="AF10" s="398"/>
      <c r="AG10" s="398"/>
      <c r="AH10" s="398"/>
      <c r="AI10" s="398"/>
      <c r="AJ10" s="398" t="s">
        <v>119</v>
      </c>
      <c r="AK10" s="398"/>
      <c r="AL10" s="398"/>
      <c r="AM10" s="398"/>
      <c r="AN10" s="398" t="s">
        <v>120</v>
      </c>
      <c r="AO10" s="398"/>
      <c r="AP10" s="398"/>
      <c r="AQ10" s="212"/>
      <c r="AR10" s="212"/>
      <c r="AS10" s="212"/>
      <c r="AT10" s="212"/>
      <c r="AU10" s="212"/>
      <c r="AV10" s="212"/>
      <c r="AW10" s="212"/>
      <c r="AX10" s="212"/>
      <c r="AY10" s="212"/>
      <c r="AZ10" s="212"/>
      <c r="BA10" s="212"/>
      <c r="BB10" s="212"/>
      <c r="BC10" s="212"/>
      <c r="BD10" s="212"/>
      <c r="BE10" s="212"/>
      <c r="BF10" s="212"/>
      <c r="BG10" s="212"/>
      <c r="BH10" s="212"/>
      <c r="BI10" s="212"/>
      <c r="BJ10" s="212"/>
      <c r="BK10" s="212"/>
      <c r="BL10" s="212"/>
      <c r="BM10" s="212"/>
      <c r="BN10" s="212"/>
      <c r="BO10" s="212"/>
      <c r="BP10" s="212"/>
    </row>
    <row r="11" spans="1:273" ht="26.25" customHeight="1" x14ac:dyDescent="0.2">
      <c r="A11" s="419" t="s">
        <v>121</v>
      </c>
      <c r="B11" s="421" t="s">
        <v>15</v>
      </c>
      <c r="C11" s="412" t="s">
        <v>17</v>
      </c>
      <c r="D11" s="412" t="s">
        <v>19</v>
      </c>
      <c r="E11" s="421" t="s">
        <v>21</v>
      </c>
      <c r="F11" s="412" t="s">
        <v>122</v>
      </c>
      <c r="G11" s="420" t="s">
        <v>23</v>
      </c>
      <c r="H11" s="427" t="s">
        <v>123</v>
      </c>
      <c r="I11" s="420" t="s">
        <v>124</v>
      </c>
      <c r="J11" s="420" t="s">
        <v>125</v>
      </c>
      <c r="K11" s="420" t="s">
        <v>126</v>
      </c>
      <c r="L11" s="412" t="s">
        <v>127</v>
      </c>
      <c r="M11" s="412" t="s">
        <v>128</v>
      </c>
      <c r="N11" s="421" t="s">
        <v>129</v>
      </c>
      <c r="O11" s="412" t="s">
        <v>130</v>
      </c>
      <c r="P11" s="412" t="s">
        <v>131</v>
      </c>
      <c r="Q11" s="412" t="s">
        <v>132</v>
      </c>
      <c r="R11" s="421" t="s">
        <v>129</v>
      </c>
      <c r="S11" s="412" t="s">
        <v>29</v>
      </c>
      <c r="T11" s="426" t="s">
        <v>133</v>
      </c>
      <c r="U11" s="412" t="s">
        <v>31</v>
      </c>
      <c r="V11" s="412" t="s">
        <v>33</v>
      </c>
      <c r="W11" s="412" t="s">
        <v>134</v>
      </c>
      <c r="X11" s="412"/>
      <c r="Y11" s="412"/>
      <c r="Z11" s="412"/>
      <c r="AA11" s="412"/>
      <c r="AB11" s="412"/>
      <c r="AC11" s="426" t="s">
        <v>135</v>
      </c>
      <c r="AD11" s="426" t="s">
        <v>136</v>
      </c>
      <c r="AE11" s="426" t="s">
        <v>129</v>
      </c>
      <c r="AF11" s="426" t="s">
        <v>137</v>
      </c>
      <c r="AG11" s="426" t="s">
        <v>129</v>
      </c>
      <c r="AH11" s="426" t="s">
        <v>138</v>
      </c>
      <c r="AI11" s="426" t="s">
        <v>49</v>
      </c>
      <c r="AJ11" s="412" t="s">
        <v>139</v>
      </c>
      <c r="AK11" s="412" t="s">
        <v>140</v>
      </c>
      <c r="AL11" s="412" t="s">
        <v>141</v>
      </c>
      <c r="AM11" s="412" t="s">
        <v>142</v>
      </c>
      <c r="AN11" s="412" t="s">
        <v>143</v>
      </c>
      <c r="AO11" s="412" t="s">
        <v>144</v>
      </c>
      <c r="AP11" s="412" t="s">
        <v>145</v>
      </c>
      <c r="AQ11" s="212"/>
      <c r="AR11" s="212"/>
      <c r="AS11" s="212"/>
      <c r="AT11" s="212"/>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row>
    <row r="12" spans="1:273" s="229" customFormat="1" ht="102" customHeight="1" thickBot="1" x14ac:dyDescent="0.3">
      <c r="A12" s="419"/>
      <c r="B12" s="421"/>
      <c r="C12" s="412"/>
      <c r="D12" s="412"/>
      <c r="E12" s="421"/>
      <c r="F12" s="412"/>
      <c r="G12" s="420"/>
      <c r="H12" s="428"/>
      <c r="I12" s="420"/>
      <c r="J12" s="420"/>
      <c r="K12" s="420"/>
      <c r="L12" s="412"/>
      <c r="M12" s="412"/>
      <c r="N12" s="421"/>
      <c r="O12" s="412"/>
      <c r="P12" s="412"/>
      <c r="Q12" s="421"/>
      <c r="R12" s="421"/>
      <c r="S12" s="412"/>
      <c r="T12" s="426"/>
      <c r="U12" s="412"/>
      <c r="V12" s="412"/>
      <c r="W12" s="226" t="s">
        <v>146</v>
      </c>
      <c r="X12" s="226" t="s">
        <v>147</v>
      </c>
      <c r="Y12" s="226" t="s">
        <v>148</v>
      </c>
      <c r="Z12" s="226" t="s">
        <v>149</v>
      </c>
      <c r="AA12" s="226" t="s">
        <v>150</v>
      </c>
      <c r="AB12" s="226" t="s">
        <v>151</v>
      </c>
      <c r="AC12" s="426"/>
      <c r="AD12" s="426"/>
      <c r="AE12" s="426"/>
      <c r="AF12" s="426"/>
      <c r="AG12" s="426"/>
      <c r="AH12" s="426"/>
      <c r="AI12" s="426"/>
      <c r="AJ12" s="412"/>
      <c r="AK12" s="412"/>
      <c r="AL12" s="412"/>
      <c r="AM12" s="412"/>
      <c r="AN12" s="412"/>
      <c r="AO12" s="412"/>
      <c r="AP12" s="412"/>
      <c r="AQ12" s="227"/>
      <c r="AR12" s="227"/>
      <c r="AS12" s="227"/>
      <c r="AT12" s="227"/>
      <c r="AU12" s="227"/>
      <c r="AV12" s="227"/>
      <c r="AW12" s="227"/>
      <c r="AX12" s="227"/>
      <c r="AY12" s="227"/>
      <c r="AZ12" s="227"/>
      <c r="BA12" s="227"/>
      <c r="BB12" s="227"/>
      <c r="BC12" s="227"/>
      <c r="BD12" s="227"/>
      <c r="BE12" s="227"/>
      <c r="BF12" s="227"/>
      <c r="BG12" s="227"/>
      <c r="BH12" s="227"/>
      <c r="BI12" s="227"/>
      <c r="BJ12" s="227"/>
      <c r="BK12" s="227"/>
      <c r="BL12" s="227"/>
      <c r="BM12" s="227"/>
      <c r="BN12" s="227"/>
      <c r="BO12" s="227"/>
      <c r="BP12" s="227"/>
      <c r="BQ12" s="228"/>
      <c r="BR12" s="228"/>
      <c r="BS12" s="228"/>
      <c r="BT12" s="228"/>
      <c r="BU12" s="228"/>
      <c r="BV12" s="228"/>
      <c r="BW12" s="228"/>
      <c r="BX12" s="228"/>
      <c r="BY12" s="228"/>
      <c r="BZ12" s="228"/>
      <c r="CA12" s="228"/>
      <c r="CB12" s="228"/>
      <c r="CC12" s="228"/>
      <c r="CD12" s="228"/>
      <c r="CE12" s="228"/>
      <c r="CF12" s="228"/>
      <c r="CG12" s="228"/>
      <c r="CH12" s="228"/>
      <c r="CI12" s="228"/>
      <c r="CJ12" s="228"/>
      <c r="CK12" s="228"/>
      <c r="CL12" s="228"/>
      <c r="CM12" s="228"/>
      <c r="CN12" s="228"/>
      <c r="CO12" s="228"/>
      <c r="CP12" s="228"/>
      <c r="CQ12" s="228"/>
      <c r="CR12" s="228"/>
      <c r="CS12" s="228"/>
      <c r="CT12" s="228"/>
      <c r="CU12" s="228"/>
      <c r="CV12" s="228"/>
      <c r="CW12" s="228"/>
      <c r="CX12" s="228"/>
      <c r="CY12" s="228"/>
      <c r="CZ12" s="228"/>
      <c r="DA12" s="228"/>
      <c r="DB12" s="228"/>
      <c r="DC12" s="228"/>
      <c r="DD12" s="228"/>
      <c r="DE12" s="228"/>
      <c r="DF12" s="228"/>
      <c r="DG12" s="228"/>
      <c r="DH12" s="228"/>
      <c r="DI12" s="228"/>
      <c r="DJ12" s="228"/>
      <c r="DK12" s="228"/>
      <c r="DL12" s="228"/>
      <c r="DM12" s="228"/>
      <c r="DN12" s="228"/>
      <c r="DO12" s="228"/>
      <c r="DP12" s="228"/>
      <c r="DQ12" s="228"/>
      <c r="DR12" s="228"/>
      <c r="DS12" s="228"/>
      <c r="DT12" s="228"/>
      <c r="DU12" s="228"/>
      <c r="DV12" s="228"/>
      <c r="DW12" s="228"/>
      <c r="DX12" s="228"/>
      <c r="DY12" s="228"/>
      <c r="DZ12" s="228"/>
      <c r="EA12" s="228"/>
      <c r="EB12" s="228"/>
      <c r="EC12" s="228"/>
      <c r="ED12" s="228"/>
      <c r="EE12" s="228"/>
      <c r="EF12" s="228"/>
      <c r="EG12" s="228"/>
      <c r="EH12" s="228"/>
      <c r="EI12" s="228"/>
      <c r="EJ12" s="228"/>
      <c r="EK12" s="228"/>
      <c r="EL12" s="228"/>
      <c r="EM12" s="228"/>
      <c r="EN12" s="228"/>
      <c r="EO12" s="228"/>
      <c r="EP12" s="228"/>
      <c r="EQ12" s="228"/>
      <c r="ER12" s="228"/>
      <c r="ES12" s="228"/>
      <c r="ET12" s="228"/>
      <c r="EU12" s="228"/>
      <c r="EV12" s="228"/>
      <c r="EW12" s="228"/>
      <c r="EX12" s="228"/>
      <c r="EY12" s="228"/>
      <c r="EZ12" s="228"/>
      <c r="FA12" s="228"/>
      <c r="FB12" s="228"/>
      <c r="FC12" s="228"/>
      <c r="FD12" s="228"/>
      <c r="FE12" s="228"/>
      <c r="FF12" s="228"/>
      <c r="FG12" s="228"/>
      <c r="FH12" s="228"/>
      <c r="FI12" s="228"/>
      <c r="FJ12" s="228"/>
      <c r="FK12" s="228"/>
      <c r="FL12" s="228"/>
      <c r="FM12" s="228"/>
      <c r="FN12" s="228"/>
      <c r="FO12" s="228"/>
      <c r="FP12" s="228"/>
      <c r="FQ12" s="228"/>
      <c r="FR12" s="228"/>
      <c r="FS12" s="228"/>
      <c r="FT12" s="228"/>
      <c r="FU12" s="228"/>
      <c r="FV12" s="228"/>
      <c r="FW12" s="228"/>
      <c r="FX12" s="228"/>
      <c r="FY12" s="228"/>
      <c r="FZ12" s="228"/>
      <c r="GA12" s="228"/>
      <c r="GB12" s="228"/>
      <c r="GC12" s="228"/>
      <c r="GD12" s="228"/>
      <c r="GE12" s="228"/>
      <c r="GF12" s="228"/>
      <c r="GG12" s="228"/>
      <c r="GH12" s="228"/>
      <c r="GI12" s="228"/>
      <c r="GJ12" s="228"/>
      <c r="GK12" s="228"/>
      <c r="GL12" s="228"/>
      <c r="GM12" s="228"/>
      <c r="GN12" s="228"/>
      <c r="GO12" s="228"/>
      <c r="GP12" s="228"/>
      <c r="GQ12" s="228"/>
      <c r="GR12" s="228"/>
      <c r="GS12" s="228"/>
      <c r="GT12" s="228"/>
      <c r="GU12" s="228"/>
      <c r="GV12" s="228"/>
      <c r="GW12" s="228"/>
      <c r="GX12" s="228"/>
      <c r="GY12" s="228"/>
      <c r="GZ12" s="228"/>
      <c r="HA12" s="228"/>
      <c r="HB12" s="228"/>
      <c r="HC12" s="228"/>
      <c r="HD12" s="228"/>
      <c r="HE12" s="228"/>
      <c r="HF12" s="228"/>
      <c r="HG12" s="228"/>
      <c r="HH12" s="228"/>
      <c r="HI12" s="228"/>
      <c r="HJ12" s="228"/>
      <c r="HK12" s="228"/>
      <c r="HL12" s="228"/>
      <c r="HM12" s="228"/>
      <c r="HN12" s="228"/>
      <c r="HO12" s="228"/>
      <c r="HP12" s="228"/>
      <c r="HQ12" s="228"/>
      <c r="HR12" s="228"/>
      <c r="HS12" s="228"/>
      <c r="HT12" s="228"/>
      <c r="HU12" s="228"/>
      <c r="HV12" s="228"/>
      <c r="HW12" s="228"/>
      <c r="HX12" s="228"/>
      <c r="HY12" s="228"/>
      <c r="HZ12" s="228"/>
      <c r="IA12" s="228"/>
      <c r="IB12" s="228"/>
      <c r="IC12" s="228"/>
      <c r="ID12" s="228"/>
      <c r="IE12" s="228"/>
      <c r="IF12" s="228"/>
      <c r="IG12" s="228"/>
      <c r="IH12" s="228"/>
      <c r="II12" s="228"/>
      <c r="IJ12" s="228"/>
      <c r="IK12" s="228"/>
      <c r="IL12" s="228"/>
      <c r="IM12" s="228"/>
      <c r="IN12" s="228"/>
      <c r="IO12" s="228"/>
      <c r="IP12" s="228"/>
      <c r="IQ12" s="228"/>
      <c r="IR12" s="228"/>
      <c r="IS12" s="228"/>
      <c r="IT12" s="228"/>
      <c r="IU12" s="228"/>
      <c r="IV12" s="228"/>
      <c r="IW12" s="228"/>
      <c r="IX12" s="228"/>
      <c r="IY12" s="228"/>
      <c r="IZ12" s="228"/>
      <c r="JA12" s="228"/>
      <c r="JB12" s="228"/>
      <c r="JC12" s="228"/>
      <c r="JD12" s="228"/>
      <c r="JE12" s="228"/>
      <c r="JF12" s="228"/>
      <c r="JG12" s="228"/>
      <c r="JH12" s="228"/>
      <c r="JI12" s="228"/>
      <c r="JJ12" s="228"/>
      <c r="JK12" s="228"/>
      <c r="JL12" s="228"/>
      <c r="JM12" s="228"/>
    </row>
    <row r="13" spans="1:273" s="231" customFormat="1" ht="285" customHeight="1" x14ac:dyDescent="0.25">
      <c r="A13" s="386">
        <v>1</v>
      </c>
      <c r="B13" s="387" t="s">
        <v>163</v>
      </c>
      <c r="C13" s="387" t="s">
        <v>399</v>
      </c>
      <c r="D13" s="387" t="s">
        <v>398</v>
      </c>
      <c r="E13" s="387" t="s">
        <v>397</v>
      </c>
      <c r="F13" s="387" t="s">
        <v>164</v>
      </c>
      <c r="G13" s="387" t="s">
        <v>284</v>
      </c>
      <c r="H13" s="387"/>
      <c r="I13" s="387"/>
      <c r="J13" s="387"/>
      <c r="K13" s="387"/>
      <c r="L13" s="413">
        <v>630</v>
      </c>
      <c r="M13" s="416" t="str">
        <f>IF(L13&lt;=0,"",IF(L13&lt;=2,"Muy Baja",IF(L13&lt;=24,"Baja",IF(L13&lt;=500,"Media",IF(L13&lt;=5000,"Alta","Muy Alta")))))</f>
        <v>Alta</v>
      </c>
      <c r="N13" s="422">
        <f>IF(M13="","",IF(M13="Muy Baja",0.2,IF(M13="Baja",0.4,IF(M13="Media",0.6,IF(M13="Alta",0.8,IF(M13="Muy Alta",1,))))))</f>
        <v>0.8</v>
      </c>
      <c r="O13" s="384" t="s">
        <v>155</v>
      </c>
      <c r="P13" s="340" t="str">
        <f>IF(NOT(ISERROR(MATCH(O13,'Tabla Impacto'!$B$222:$B$224,0))),'Tabla Impacto'!$F$224&amp;"Por favor no seleccionar los criterios de impacto(Afectación Económica o presupuestal y Pérdida Reputacional)",O13)</f>
        <v xml:space="preserve">     El riesgo afecta la imagen de la entidad con algunos usuarios de relevancia frente al logro de los objetivos</v>
      </c>
      <c r="Q13" s="385" t="str">
        <f>IF(OR(P13='Tabla Impacto'!$C$12,P13='Tabla Impacto'!$D$12),"Leve",IF(OR(P13='Tabla Impacto'!$C$13,P13='Tabla Impacto'!$D$13),"Menor",IF(OR(P13='Tabla Impacto'!$C$14,P13='Tabla Impacto'!$D$14),"Moderado",IF(OR(P13='Tabla Impacto'!$C$15,P13='Tabla Impacto'!$D$15),"Mayor",IF(OR(P13='Tabla Impacto'!$C$16,P13='Tabla Impacto'!$D$16),"Catastrófico","")))))</f>
        <v>Moderado</v>
      </c>
      <c r="R13" s="340">
        <f>IF(Q13="","",IF(Q13="Leve",0.2,IF(Q13="Menor",0.4,IF(Q13="Moderado",0.6,IF(Q13="Mayor",0.8,IF(Q13="Catastrófico",1,))))))</f>
        <v>0.6</v>
      </c>
      <c r="S13" s="341" t="str">
        <f>IF(OR(AND(M13="Muy Baja",Q13="Leve"),AND(M13="Muy Baja",Q13="Menor"),AND(M13="Baja",Q13="Leve")),"Bajo",IF(OR(AND(M13="Muy baja",Q13="Moderado"),AND(M13="Baja",Q13="Menor"),AND(M13="Baja",Q13="Moderado"),AND(M13="Media",Q13="Leve"),AND(M13="Media",Q13="Menor"),AND(M13="Media",Q13="Moderado"),AND(M13="Alta",Q13="Leve"),AND(M13="Alta",Q13="Menor")),"Moderado",IF(OR(AND(M13="Muy Baja",Q13="Mayor"),AND(M13="Baja",Q13="Mayor"),AND(M13="Media",Q13="Mayor"),AND(M13="Alta",Q13="Moderado"),AND(M13="Alta",Q13="Mayor"),AND(M13="Muy Alta",Q13="Leve"),AND(M13="Muy Alta",Q13="Menor"),AND(M13="Muy Alta",Q13="Moderado"),AND(M13="Muy Alta",Q13="Mayor")),"Alto",IF(OR(AND(M13="Muy Baja",Q13="Catastrófico"),AND(M13="Baja",Q13="Catastrófico"),AND(M13="Media",Q13="Catastrófico"),AND(M13="Alta",Q13="Catastrófico"),AND(M13="Muy Alta",Q13="Catastrófico")),"Extremo",""))))</f>
        <v>Alto</v>
      </c>
      <c r="T13" s="230">
        <v>1</v>
      </c>
      <c r="U13" s="242" t="s">
        <v>436</v>
      </c>
      <c r="V13" s="194" t="str">
        <f t="shared" ref="V13:V16" si="0">IF(OR(W13="Preventivo",W13="Detectivo"),"Probabilidad",IF(W13="Correctivo","Impacto",""))</f>
        <v>Probabilidad</v>
      </c>
      <c r="W13" s="195" t="s">
        <v>156</v>
      </c>
      <c r="X13" s="195" t="s">
        <v>157</v>
      </c>
      <c r="Y13" s="196" t="str">
        <f>IF(AND(W13="Preventivo",X13="Automático"),"50%",IF(AND(W13="Preventivo",X13="Manual"),"40%",IF(AND(W13="Detectivo",X13="Automático"),"40%",IF(AND(W13="Detectivo",X13="Manual"),"30%",IF(AND(W13="Correctivo",X13="Automático"),"35%",IF(AND(W13="Correctivo",X13="Manual"),"25%",""))))))</f>
        <v>40%</v>
      </c>
      <c r="Z13" s="195" t="s">
        <v>160</v>
      </c>
      <c r="AA13" s="195" t="s">
        <v>161</v>
      </c>
      <c r="AB13" s="195" t="s">
        <v>162</v>
      </c>
      <c r="AC13" s="197">
        <f>IFERROR(IF(V13="Probabilidad",(N13-(+N13*Y13)),IF(V13="Impacto",N13,"")),"")</f>
        <v>0.48</v>
      </c>
      <c r="AD13" s="198" t="str">
        <f>IFERROR(IF(AC13="","",IF(AC13&lt;=0.2,"Muy Baja",IF(AC13&lt;=0.4,"Baja",IF(AC13&lt;=0.6,"Media",IF(AC13&lt;=0.8,"Alta","Muy Alta"))))),"")</f>
        <v>Media</v>
      </c>
      <c r="AE13" s="196">
        <f>+AC13</f>
        <v>0.48</v>
      </c>
      <c r="AF13" s="198" t="str">
        <f>IFERROR(IF(AG13="","",IF(AG13&lt;=0.2,"Leve",IF(AG13&lt;=0.4,"Menor",IF(AG13&lt;=0.6,"Moderado",IF(AG13&lt;=0.8,"Mayor","Catastrófico"))))),"")</f>
        <v>Moderado</v>
      </c>
      <c r="AG13" s="196">
        <f>IFERROR(IF(V13="Impacto",(R13-(+R13*Y13)),IF(V13="Probabilidad",R13,"")),"")</f>
        <v>0.6</v>
      </c>
      <c r="AH13" s="199" t="str">
        <f>IFERROR(IF(OR(AND(AD13="Muy Baja",AF13="Leve"),AND(AD13="Muy Baja",AF13="Menor"),AND(AD13="Baja",AF13="Leve")),"Bajo",IF(OR(AND(AD13="Muy baja",AF13="Moderado"),AND(AD13="Baja",AF13="Menor"),AND(AD13="Baja",AF13="Moderado"),AND(AD13="Media",AF13="Leve"),AND(AD13="Media",AF13="Menor"),AND(AD13="Media",AF13="Moderado"),AND(AD13="Alta",AF13="Leve"),AND(AD13="Alta",AF13="Menor")),"Moderado",IF(OR(AND(AD13="Muy Baja",AF13="Mayor"),AND(AD13="Baja",AF13="Mayor"),AND(AD13="Media",AF13="Mayor"),AND(AD13="Alta",AF13="Moderado"),AND(AD13="Alta",AF13="Mayor"),AND(AD13="Muy Alta",AF13="Leve"),AND(AD13="Muy Alta",AF13="Menor"),AND(AD13="Muy Alta",AF13="Moderado"),AND(AD13="Muy Alta",AF13="Mayor")),"Alto",IF(OR(AND(AD13="Muy Baja",AF13="Catastrófico"),AND(AD13="Baja",AF13="Catastrófico"),AND(AD13="Media",AF13="Catastrófico"),AND(AD13="Alta",AF13="Catastrófico"),AND(AD13="Muy Alta",AF13="Catastrófico")),"Extremo","")))),"")</f>
        <v>Moderado</v>
      </c>
      <c r="AI13" s="200" t="s">
        <v>159</v>
      </c>
      <c r="AJ13" s="244" t="s">
        <v>401</v>
      </c>
      <c r="AK13" s="245" t="s">
        <v>402</v>
      </c>
      <c r="AL13" s="245" t="s">
        <v>403</v>
      </c>
      <c r="AM13" s="246">
        <v>44926</v>
      </c>
      <c r="AN13" s="425" t="s">
        <v>404</v>
      </c>
      <c r="AO13" s="425" t="s">
        <v>405</v>
      </c>
      <c r="AP13" s="425" t="s">
        <v>406</v>
      </c>
    </row>
    <row r="14" spans="1:273" s="203" customFormat="1" ht="285" customHeight="1" x14ac:dyDescent="0.2">
      <c r="A14" s="386"/>
      <c r="B14" s="387"/>
      <c r="C14" s="387"/>
      <c r="D14" s="387"/>
      <c r="E14" s="387"/>
      <c r="F14" s="387"/>
      <c r="G14" s="387"/>
      <c r="H14" s="387"/>
      <c r="I14" s="387"/>
      <c r="J14" s="387"/>
      <c r="K14" s="387"/>
      <c r="L14" s="414"/>
      <c r="M14" s="417"/>
      <c r="N14" s="423"/>
      <c r="O14" s="384"/>
      <c r="P14" s="340">
        <f>IF(NOT(ISERROR(MATCH(O14,_xlfn.ANCHORARRAY(E25),0))),N27&amp;"Por favor no seleccionar los criterios de impacto",O14)</f>
        <v>0</v>
      </c>
      <c r="Q14" s="385"/>
      <c r="R14" s="340"/>
      <c r="S14" s="341"/>
      <c r="T14" s="230">
        <v>2</v>
      </c>
      <c r="U14" s="243" t="s">
        <v>437</v>
      </c>
      <c r="V14" s="194" t="str">
        <f t="shared" si="0"/>
        <v>Probabilidad</v>
      </c>
      <c r="W14" s="195" t="s">
        <v>156</v>
      </c>
      <c r="X14" s="195" t="s">
        <v>157</v>
      </c>
      <c r="Y14" s="196" t="str">
        <f t="shared" ref="Y14:Y18" si="1">IF(AND(W14="Preventivo",X14="Automático"),"50%",IF(AND(W14="Preventivo",X14="Manual"),"40%",IF(AND(W14="Detectivo",X14="Automático"),"40%",IF(AND(W14="Detectivo",X14="Manual"),"30%",IF(AND(W14="Correctivo",X14="Automático"),"35%",IF(AND(W14="Correctivo",X14="Manual"),"25%",""))))))</f>
        <v>40%</v>
      </c>
      <c r="Z14" s="195" t="s">
        <v>160</v>
      </c>
      <c r="AA14" s="195" t="s">
        <v>367</v>
      </c>
      <c r="AB14" s="195" t="s">
        <v>162</v>
      </c>
      <c r="AC14" s="197">
        <f>IFERROR(IF(AND(V13="Probabilidad",V14="Probabilidad"),(AE13-(+AE13*Y14)),IF(V14="Probabilidad",(N13-(+N13*Y14)),IF(V14="Impacto",AE13,""))),"")</f>
        <v>0.28799999999999998</v>
      </c>
      <c r="AD14" s="198" t="str">
        <f t="shared" ref="AD14:AD72" si="2">IFERROR(IF(AC14="","",IF(AC14&lt;=0.2,"Muy Baja",IF(AC14&lt;=0.4,"Baja",IF(AC14&lt;=0.6,"Media",IF(AC14&lt;=0.8,"Alta","Muy Alta"))))),"")</f>
        <v>Baja</v>
      </c>
      <c r="AE14" s="196">
        <f t="shared" ref="AE14:AE18" si="3">+AC14</f>
        <v>0.28799999999999998</v>
      </c>
      <c r="AF14" s="198" t="str">
        <f t="shared" ref="AF14:AF72" si="4">IFERROR(IF(AG14="","",IF(AG14&lt;=0.2,"Leve",IF(AG14&lt;=0.4,"Menor",IF(AG14&lt;=0.6,"Moderado",IF(AG14&lt;=0.8,"Mayor","Catastrófico"))))),"")</f>
        <v>Moderado</v>
      </c>
      <c r="AG14" s="196">
        <f>IFERROR(IF(AND(V13="Impacto",V14="Impacto"),(AG13-(+AG13*Y14)),IF(V14="Impacto",($R$13-(+$R$13*Y14)),IF(V14="Probabilidad",AG13,""))),"")</f>
        <v>0.6</v>
      </c>
      <c r="AH14" s="199" t="str">
        <f t="shared" ref="AH14:AH18" si="5">IFERROR(IF(OR(AND(AD14="Muy Baja",AF14="Leve"),AND(AD14="Muy Baja",AF14="Menor"),AND(AD14="Baja",AF14="Leve")),"Bajo",IF(OR(AND(AD14="Muy baja",AF14="Moderado"),AND(AD14="Baja",AF14="Menor"),AND(AD14="Baja",AF14="Moderado"),AND(AD14="Media",AF14="Leve"),AND(AD14="Media",AF14="Menor"),AND(AD14="Media",AF14="Moderado"),AND(AD14="Alta",AF14="Leve"),AND(AD14="Alta",AF14="Menor")),"Moderado",IF(OR(AND(AD14="Muy Baja",AF14="Mayor"),AND(AD14="Baja",AF14="Mayor"),AND(AD14="Media",AF14="Mayor"),AND(AD14="Alta",AF14="Moderado"),AND(AD14="Alta",AF14="Mayor"),AND(AD14="Muy Alta",AF14="Leve"),AND(AD14="Muy Alta",AF14="Menor"),AND(AD14="Muy Alta",AF14="Moderado"),AND(AD14="Muy Alta",AF14="Mayor")),"Alto",IF(OR(AND(AD14="Muy Baja",AF14="Catastrófico"),AND(AD14="Baja",AF14="Catastrófico"),AND(AD14="Media",AF14="Catastrófico"),AND(AD14="Alta",AF14="Catastrófico"),AND(AD14="Muy Alta",AF14="Catastrófico")),"Extremo","")))),"")</f>
        <v>Moderado</v>
      </c>
      <c r="AI14" s="200" t="s">
        <v>159</v>
      </c>
      <c r="AJ14" s="191"/>
      <c r="AK14" s="201"/>
      <c r="AL14" s="191"/>
      <c r="AM14" s="202"/>
      <c r="AN14" s="389"/>
      <c r="AO14" s="389"/>
      <c r="AP14" s="389"/>
    </row>
    <row r="15" spans="1:273" s="203" customFormat="1" ht="16.149999999999999" customHeight="1" x14ac:dyDescent="0.2">
      <c r="A15" s="386"/>
      <c r="B15" s="387"/>
      <c r="C15" s="387"/>
      <c r="D15" s="387"/>
      <c r="E15" s="387"/>
      <c r="F15" s="387"/>
      <c r="G15" s="387"/>
      <c r="H15" s="387"/>
      <c r="I15" s="387"/>
      <c r="J15" s="387"/>
      <c r="K15" s="387"/>
      <c r="L15" s="414"/>
      <c r="M15" s="417"/>
      <c r="N15" s="423"/>
      <c r="O15" s="384"/>
      <c r="P15" s="340">
        <f>IF(NOT(ISERROR(MATCH(O15,_xlfn.ANCHORARRAY(E26),0))),N28&amp;"Por favor no seleccionar los criterios de impacto",O15)</f>
        <v>0</v>
      </c>
      <c r="Q15" s="385"/>
      <c r="R15" s="340"/>
      <c r="S15" s="341"/>
      <c r="T15" s="230">
        <v>3</v>
      </c>
      <c r="U15" s="193"/>
      <c r="V15" s="194" t="str">
        <f t="shared" si="0"/>
        <v/>
      </c>
      <c r="W15" s="195"/>
      <c r="X15" s="195"/>
      <c r="Y15" s="196" t="str">
        <f t="shared" si="1"/>
        <v/>
      </c>
      <c r="Z15" s="195"/>
      <c r="AA15" s="195"/>
      <c r="AB15" s="195"/>
      <c r="AC15" s="197" t="str">
        <f>IFERROR(IF(AND(V14="Probabilidad",V15="Probabilidad"),(AE14-(+AE14*Y15)),IF(AND(V14="Impacto",V15="Probabilidad"),(AE13-(+AE13*Y15)),IF(V15="Impacto",AE14,""))),"")</f>
        <v/>
      </c>
      <c r="AD15" s="198" t="str">
        <f t="shared" si="2"/>
        <v/>
      </c>
      <c r="AE15" s="196" t="str">
        <f t="shared" si="3"/>
        <v/>
      </c>
      <c r="AF15" s="198" t="str">
        <f t="shared" si="4"/>
        <v/>
      </c>
      <c r="AG15" s="196" t="str">
        <f>IFERROR(IF(AND(V14="Impacto",V15="Impacto"),(AG14-(+AG14*Y15)),IF(AND(V14="Probabilidad",V15="Impacto"),(AG13-(+AG13*Y15)),IF(V15="Probabilidad",AG14,""))),"")</f>
        <v/>
      </c>
      <c r="AH15" s="199" t="str">
        <f t="shared" si="5"/>
        <v/>
      </c>
      <c r="AI15" s="200"/>
      <c r="AJ15" s="191"/>
      <c r="AK15" s="201"/>
      <c r="AL15" s="201"/>
      <c r="AM15" s="202"/>
      <c r="AN15" s="389"/>
      <c r="AO15" s="389"/>
      <c r="AP15" s="389"/>
    </row>
    <row r="16" spans="1:273" s="203" customFormat="1" ht="16.149999999999999" customHeight="1" x14ac:dyDescent="0.2">
      <c r="A16" s="386"/>
      <c r="B16" s="387"/>
      <c r="C16" s="387"/>
      <c r="D16" s="387"/>
      <c r="E16" s="387"/>
      <c r="F16" s="387"/>
      <c r="G16" s="387"/>
      <c r="H16" s="387"/>
      <c r="I16" s="387"/>
      <c r="J16" s="387"/>
      <c r="K16" s="387"/>
      <c r="L16" s="414"/>
      <c r="M16" s="417"/>
      <c r="N16" s="423"/>
      <c r="O16" s="384"/>
      <c r="P16" s="340">
        <f>IF(NOT(ISERROR(MATCH(O16,_xlfn.ANCHORARRAY(E27),0))),N29&amp;"Por favor no seleccionar los criterios de impacto",O16)</f>
        <v>0</v>
      </c>
      <c r="Q16" s="385"/>
      <c r="R16" s="340"/>
      <c r="S16" s="341"/>
      <c r="T16" s="230">
        <v>4</v>
      </c>
      <c r="U16" s="192"/>
      <c r="V16" s="194" t="str">
        <f t="shared" si="0"/>
        <v/>
      </c>
      <c r="W16" s="195"/>
      <c r="X16" s="195"/>
      <c r="Y16" s="196" t="str">
        <f t="shared" si="1"/>
        <v/>
      </c>
      <c r="Z16" s="195"/>
      <c r="AA16" s="195"/>
      <c r="AB16" s="195"/>
      <c r="AC16" s="197" t="str">
        <f t="shared" ref="AC16:AC18" si="6">IFERROR(IF(AND(V15="Probabilidad",V16="Probabilidad"),(AE15-(+AE15*Y16)),IF(AND(V15="Impacto",V16="Probabilidad"),(AE14-(+AE14*Y16)),IF(V16="Impacto",AE15,""))),"")</f>
        <v/>
      </c>
      <c r="AD16" s="198" t="str">
        <f t="shared" si="2"/>
        <v/>
      </c>
      <c r="AE16" s="196" t="str">
        <f t="shared" si="3"/>
        <v/>
      </c>
      <c r="AF16" s="198" t="str">
        <f t="shared" si="4"/>
        <v/>
      </c>
      <c r="AG16" s="196" t="str">
        <f t="shared" ref="AG16:AG18" si="7">IFERROR(IF(AND(V15="Impacto",V16="Impacto"),(AG15-(+AG15*Y16)),IF(AND(V15="Probabilidad",V16="Impacto"),(AG14-(+AG14*Y16)),IF(V16="Probabilidad",AG15,""))),"")</f>
        <v/>
      </c>
      <c r="AH16" s="199" t="str">
        <f>IFERROR(IF(OR(AND(AD16="Muy Baja",AF16="Leve"),AND(AD16="Muy Baja",AF16="Menor"),AND(AD16="Baja",AF16="Leve")),"Bajo",IF(OR(AND(AD16="Muy baja",AF16="Moderado"),AND(AD16="Baja",AF16="Menor"),AND(AD16="Baja",AF16="Moderado"),AND(AD16="Media",AF16="Leve"),AND(AD16="Media",AF16="Menor"),AND(AD16="Media",AF16="Moderado"),AND(AD16="Alta",AF16="Leve"),AND(AD16="Alta",AF16="Menor")),"Moderado",IF(OR(AND(AD16="Muy Baja",AF16="Mayor"),AND(AD16="Baja",AF16="Mayor"),AND(AD16="Media",AF16="Mayor"),AND(AD16="Alta",AF16="Moderado"),AND(AD16="Alta",AF16="Mayor"),AND(AD16="Muy Alta",AF16="Leve"),AND(AD16="Muy Alta",AF16="Menor"),AND(AD16="Muy Alta",AF16="Moderado"),AND(AD16="Muy Alta",AF16="Mayor")),"Alto",IF(OR(AND(AD16="Muy Baja",AF16="Catastrófico"),AND(AD16="Baja",AF16="Catastrófico"),AND(AD16="Media",AF16="Catastrófico"),AND(AD16="Alta",AF16="Catastrófico"),AND(AD16="Muy Alta",AF16="Catastrófico")),"Extremo","")))),"")</f>
        <v/>
      </c>
      <c r="AI16" s="200"/>
      <c r="AJ16" s="191"/>
      <c r="AK16" s="201"/>
      <c r="AL16" s="201"/>
      <c r="AM16" s="202"/>
      <c r="AN16" s="389"/>
      <c r="AO16" s="389"/>
      <c r="AP16" s="389"/>
    </row>
    <row r="17" spans="1:42" s="203" customFormat="1" ht="16.149999999999999" customHeight="1" x14ac:dyDescent="0.2">
      <c r="A17" s="386"/>
      <c r="B17" s="387"/>
      <c r="C17" s="387"/>
      <c r="D17" s="387"/>
      <c r="E17" s="387"/>
      <c r="F17" s="387"/>
      <c r="G17" s="387"/>
      <c r="H17" s="387"/>
      <c r="I17" s="387"/>
      <c r="J17" s="387"/>
      <c r="K17" s="387"/>
      <c r="L17" s="414"/>
      <c r="M17" s="417"/>
      <c r="N17" s="423"/>
      <c r="O17" s="384"/>
      <c r="P17" s="340">
        <f>IF(NOT(ISERROR(MATCH(O17,_xlfn.ANCHORARRAY(E28),0))),N30&amp;"Por favor no seleccionar los criterios de impacto",O17)</f>
        <v>0</v>
      </c>
      <c r="Q17" s="385"/>
      <c r="R17" s="340"/>
      <c r="S17" s="341"/>
      <c r="T17" s="230">
        <v>5</v>
      </c>
      <c r="U17" s="192"/>
      <c r="V17" s="194" t="str">
        <f t="shared" ref="V17:V18" si="8">IF(OR(W17="Preventivo",W17="Detectivo"),"Probabilidad",IF(W17="Correctivo","Impacto",""))</f>
        <v/>
      </c>
      <c r="W17" s="195"/>
      <c r="X17" s="195"/>
      <c r="Y17" s="196" t="str">
        <f t="shared" si="1"/>
        <v/>
      </c>
      <c r="Z17" s="195"/>
      <c r="AA17" s="195"/>
      <c r="AB17" s="195"/>
      <c r="AC17" s="197" t="str">
        <f t="shared" si="6"/>
        <v/>
      </c>
      <c r="AD17" s="198" t="str">
        <f t="shared" si="2"/>
        <v/>
      </c>
      <c r="AE17" s="196" t="str">
        <f t="shared" si="3"/>
        <v/>
      </c>
      <c r="AF17" s="198" t="str">
        <f t="shared" si="4"/>
        <v/>
      </c>
      <c r="AG17" s="196" t="str">
        <f t="shared" si="7"/>
        <v/>
      </c>
      <c r="AH17" s="199" t="str">
        <f t="shared" si="5"/>
        <v/>
      </c>
      <c r="AI17" s="200"/>
      <c r="AJ17" s="191"/>
      <c r="AK17" s="201"/>
      <c r="AL17" s="201"/>
      <c r="AM17" s="202"/>
      <c r="AN17" s="389"/>
      <c r="AO17" s="389"/>
      <c r="AP17" s="389"/>
    </row>
    <row r="18" spans="1:42" s="203" customFormat="1" ht="16.149999999999999" customHeight="1" thickBot="1" x14ac:dyDescent="0.25">
      <c r="A18" s="386"/>
      <c r="B18" s="387"/>
      <c r="C18" s="387"/>
      <c r="D18" s="387"/>
      <c r="E18" s="387"/>
      <c r="F18" s="387"/>
      <c r="G18" s="387"/>
      <c r="H18" s="387"/>
      <c r="I18" s="387"/>
      <c r="J18" s="387"/>
      <c r="K18" s="387"/>
      <c r="L18" s="415"/>
      <c r="M18" s="418"/>
      <c r="N18" s="424"/>
      <c r="O18" s="384"/>
      <c r="P18" s="340">
        <f>IF(NOT(ISERROR(MATCH(O18,_xlfn.ANCHORARRAY(E29),0))),N31&amp;"Por favor no seleccionar los criterios de impacto",O18)</f>
        <v>0</v>
      </c>
      <c r="Q18" s="385"/>
      <c r="R18" s="340"/>
      <c r="S18" s="341"/>
      <c r="T18" s="230">
        <v>6</v>
      </c>
      <c r="U18" s="192"/>
      <c r="V18" s="194" t="str">
        <f t="shared" si="8"/>
        <v/>
      </c>
      <c r="W18" s="195"/>
      <c r="X18" s="195"/>
      <c r="Y18" s="196" t="str">
        <f t="shared" si="1"/>
        <v/>
      </c>
      <c r="Z18" s="195"/>
      <c r="AA18" s="195"/>
      <c r="AB18" s="195"/>
      <c r="AC18" s="197" t="str">
        <f t="shared" si="6"/>
        <v/>
      </c>
      <c r="AD18" s="198" t="str">
        <f t="shared" si="2"/>
        <v/>
      </c>
      <c r="AE18" s="196" t="str">
        <f t="shared" si="3"/>
        <v/>
      </c>
      <c r="AF18" s="198" t="str">
        <f t="shared" si="4"/>
        <v/>
      </c>
      <c r="AG18" s="196" t="str">
        <f t="shared" si="7"/>
        <v/>
      </c>
      <c r="AH18" s="199" t="str">
        <f t="shared" si="5"/>
        <v/>
      </c>
      <c r="AI18" s="200"/>
      <c r="AJ18" s="191"/>
      <c r="AK18" s="201"/>
      <c r="AL18" s="201"/>
      <c r="AM18" s="202"/>
      <c r="AN18" s="390"/>
      <c r="AO18" s="390"/>
      <c r="AP18" s="390"/>
    </row>
    <row r="19" spans="1:42" s="203" customFormat="1" ht="252.6" customHeight="1" x14ac:dyDescent="0.2">
      <c r="A19" s="386">
        <v>2</v>
      </c>
      <c r="B19" s="387" t="s">
        <v>163</v>
      </c>
      <c r="C19" s="388" t="s">
        <v>407</v>
      </c>
      <c r="D19" s="403" t="s">
        <v>408</v>
      </c>
      <c r="E19" s="403" t="s">
        <v>409</v>
      </c>
      <c r="F19" s="402" t="s">
        <v>153</v>
      </c>
      <c r="G19" s="402" t="s">
        <v>154</v>
      </c>
      <c r="H19" s="387"/>
      <c r="I19" s="387"/>
      <c r="J19" s="387"/>
      <c r="K19" s="387"/>
      <c r="L19" s="391">
        <v>83</v>
      </c>
      <c r="M19" s="385" t="str">
        <f>IF(L19&lt;=0,"",IF(L19&lt;=2,"Muy Baja",IF(L19&lt;=24,"Baja",IF(L19&lt;=500,"Media",IF(L19&lt;=5000,"Alta","Muy Alta")))))</f>
        <v>Media</v>
      </c>
      <c r="N19" s="340">
        <f>IF(M19="","",IF(M19="Muy Baja",0.2,IF(M19="Baja",0.4,IF(M19="Media",0.6,IF(M19="Alta",0.8,IF(M19="Muy Alta",1,))))))</f>
        <v>0.6</v>
      </c>
      <c r="O19" s="384" t="s">
        <v>155</v>
      </c>
      <c r="P19" s="340" t="str">
        <f>IF(NOT(ISERROR(MATCH(O19,'Tabla Impacto'!$B$222:$B$224,0))),'Tabla Impacto'!$F$224&amp;"Por favor no seleccionar los criterios de impacto(Afectación Económica o presupuestal y Pérdida Reputacional)",O19)</f>
        <v xml:space="preserve">     El riesgo afecta la imagen de la entidad con algunos usuarios de relevancia frente al logro de los objetivos</v>
      </c>
      <c r="Q19" s="385" t="str">
        <f>IF(OR(P19='Tabla Impacto'!$C$12,P19='Tabla Impacto'!$D$12),"Leve",IF(OR(P19='Tabla Impacto'!$C$13,P19='Tabla Impacto'!$D$13),"Menor",IF(OR(P19='Tabla Impacto'!$C$14,P19='Tabla Impacto'!$D$14),"Moderado",IF(OR(P19='Tabla Impacto'!$C$15,P19='Tabla Impacto'!$D$15),"Mayor",IF(OR(P19='Tabla Impacto'!$C$16,P19='Tabla Impacto'!$D$16),"Catastrófico","")))))</f>
        <v>Moderado</v>
      </c>
      <c r="R19" s="340">
        <f>IF(Q19="","",IF(Q19="Leve",0.2,IF(Q19="Menor",0.4,IF(Q19="Moderado",0.6,IF(Q19="Mayor",0.8,IF(Q19="Catastrófico",1,))))))</f>
        <v>0.6</v>
      </c>
      <c r="S19" s="341" t="str">
        <f>IF(OR(AND(M19="Muy Baja",Q19="Leve"),AND(M19="Muy Baja",Q19="Menor"),AND(M19="Baja",Q19="Leve")),"Bajo",IF(OR(AND(M19="Muy baja",Q19="Moderado"),AND(M19="Baja",Q19="Menor"),AND(M19="Baja",Q19="Moderado"),AND(M19="Media",Q19="Leve"),AND(M19="Media",Q19="Menor"),AND(M19="Media",Q19="Moderado"),AND(M19="Alta",Q19="Leve"),AND(M19="Alta",Q19="Menor")),"Moderado",IF(OR(AND(M19="Muy Baja",Q19="Mayor"),AND(M19="Baja",Q19="Mayor"),AND(M19="Media",Q19="Mayor"),AND(M19="Alta",Q19="Moderado"),AND(M19="Alta",Q19="Mayor"),AND(M19="Muy Alta",Q19="Leve"),AND(M19="Muy Alta",Q19="Menor"),AND(M19="Muy Alta",Q19="Moderado"),AND(M19="Muy Alta",Q19="Mayor")),"Alto",IF(OR(AND(M19="Muy Baja",Q19="Catastrófico"),AND(M19="Baja",Q19="Catastrófico"),AND(M19="Media",Q19="Catastrófico"),AND(M19="Alta",Q19="Catastrófico"),AND(M19="Muy Alta",Q19="Catastrófico")),"Extremo",""))))</f>
        <v>Moderado</v>
      </c>
      <c r="T19" s="230">
        <v>1</v>
      </c>
      <c r="U19" s="247" t="s">
        <v>410</v>
      </c>
      <c r="V19" s="194" t="str">
        <f>IF(OR(W19="Preventivo",W19="Detectivo"),"Probabilidad",IF(W19="Correctivo","Impacto",""))</f>
        <v>Probabilidad</v>
      </c>
      <c r="W19" s="195" t="s">
        <v>158</v>
      </c>
      <c r="X19" s="195" t="s">
        <v>157</v>
      </c>
      <c r="Y19" s="196" t="str">
        <f>IF(AND(W19="Preventivo",X19="Automático"),"50%",IF(AND(W19="Preventivo",X19="Manual"),"40%",IF(AND(W19="Detectivo",X19="Automático"),"40%",IF(AND(W19="Detectivo",X19="Manual"),"30%",IF(AND(W19="Correctivo",X19="Automático"),"35%",IF(AND(W19="Correctivo",X19="Manual"),"25%",""))))))</f>
        <v>30%</v>
      </c>
      <c r="Z19" s="195" t="s">
        <v>160</v>
      </c>
      <c r="AA19" s="195" t="s">
        <v>161</v>
      </c>
      <c r="AB19" s="195" t="s">
        <v>162</v>
      </c>
      <c r="AC19" s="197">
        <f>IFERROR(IF(V19="Probabilidad",(N19-(+N19*Y19)),IF(V19="Impacto",N19,"")),"")</f>
        <v>0.42</v>
      </c>
      <c r="AD19" s="198" t="str">
        <f>IFERROR(IF(AC19="","",IF(AC19&lt;=0.2,"Muy Baja",IF(AC19&lt;=0.4,"Baja",IF(AC19&lt;=0.6,"Media",IF(AC19&lt;=0.8,"Alta","Muy Alta"))))),"")</f>
        <v>Media</v>
      </c>
      <c r="AE19" s="196">
        <f>+AC19</f>
        <v>0.42</v>
      </c>
      <c r="AF19" s="198" t="str">
        <f>IFERROR(IF(AG19="","",IF(AG19&lt;=0.2,"Leve",IF(AG19&lt;=0.4,"Menor",IF(AG19&lt;=0.6,"Moderado",IF(AG19&lt;=0.8,"Mayor","Catastrófico"))))),"")</f>
        <v>Moderado</v>
      </c>
      <c r="AG19" s="196">
        <f t="shared" ref="AG19" si="9">IFERROR(IF(V19="Impacto",(R19-(+R19*Y19)),IF(V19="Probabilidad",R19,"")),"")</f>
        <v>0.6</v>
      </c>
      <c r="AH19" s="199" t="str">
        <f>IFERROR(IF(OR(AND(AD19="Muy Baja",AF19="Leve"),AND(AD19="Muy Baja",AF19="Menor"),AND(AD19="Baja",AF19="Leve")),"Bajo",IF(OR(AND(AD19="Muy baja",AF19="Moderado"),AND(AD19="Baja",AF19="Menor"),AND(AD19="Baja",AF19="Moderado"),AND(AD19="Media",AF19="Leve"),AND(AD19="Media",AF19="Menor"),AND(AD19="Media",AF19="Moderado"),AND(AD19="Alta",AF19="Leve"),AND(AD19="Alta",AF19="Menor")),"Moderado",IF(OR(AND(AD19="Muy Baja",AF19="Mayor"),AND(AD19="Baja",AF19="Mayor"),AND(AD19="Media",AF19="Mayor"),AND(AD19="Alta",AF19="Moderado"),AND(AD19="Alta",AF19="Mayor"),AND(AD19="Muy Alta",AF19="Leve"),AND(AD19="Muy Alta",AF19="Menor"),AND(AD19="Muy Alta",AF19="Moderado"),AND(AD19="Muy Alta",AF19="Mayor")),"Alto",IF(OR(AND(AD19="Muy Baja",AF19="Catastrófico"),AND(AD19="Baja",AF19="Catastrófico"),AND(AD19="Media",AF19="Catastrófico"),AND(AD19="Alta",AF19="Catastrófico"),AND(AD19="Muy Alta",AF19="Catastrófico")),"Extremo","")))),"")</f>
        <v>Moderado</v>
      </c>
      <c r="AI19" s="200" t="s">
        <v>159</v>
      </c>
      <c r="AJ19" s="248" t="s">
        <v>412</v>
      </c>
      <c r="AK19" s="244" t="s">
        <v>402</v>
      </c>
      <c r="AL19" s="244" t="s">
        <v>413</v>
      </c>
      <c r="AM19" s="249">
        <v>44926</v>
      </c>
      <c r="AN19" s="425" t="s">
        <v>404</v>
      </c>
      <c r="AO19" s="425" t="s">
        <v>405</v>
      </c>
      <c r="AP19" s="425" t="s">
        <v>406</v>
      </c>
    </row>
    <row r="20" spans="1:42" s="203" customFormat="1" ht="252.6" customHeight="1" x14ac:dyDescent="0.2">
      <c r="A20" s="386"/>
      <c r="B20" s="387"/>
      <c r="C20" s="389"/>
      <c r="D20" s="404"/>
      <c r="E20" s="404"/>
      <c r="F20" s="402"/>
      <c r="G20" s="402"/>
      <c r="H20" s="387"/>
      <c r="I20" s="387"/>
      <c r="J20" s="387"/>
      <c r="K20" s="387"/>
      <c r="L20" s="391"/>
      <c r="M20" s="385"/>
      <c r="N20" s="340"/>
      <c r="O20" s="384"/>
      <c r="P20" s="340">
        <f>IF(NOT(ISERROR(MATCH(O20,_xlfn.ANCHORARRAY(E31),0))),N33&amp;"Por favor no seleccionar los criterios de impacto",O20)</f>
        <v>0</v>
      </c>
      <c r="Q20" s="385"/>
      <c r="R20" s="340"/>
      <c r="S20" s="341"/>
      <c r="T20" s="230">
        <v>2</v>
      </c>
      <c r="U20" s="243" t="s">
        <v>411</v>
      </c>
      <c r="V20" s="194" t="str">
        <f>IF(OR(W20="Preventivo",W20="Detectivo"),"Probabilidad",IF(W20="Correctivo","Impacto",""))</f>
        <v>Probabilidad</v>
      </c>
      <c r="W20" s="195" t="s">
        <v>158</v>
      </c>
      <c r="X20" s="195" t="s">
        <v>157</v>
      </c>
      <c r="Y20" s="196" t="str">
        <f t="shared" ref="Y20:Y24" si="10">IF(AND(W20="Preventivo",X20="Automático"),"50%",IF(AND(W20="Preventivo",X20="Manual"),"40%",IF(AND(W20="Detectivo",X20="Automático"),"40%",IF(AND(W20="Detectivo",X20="Manual"),"30%",IF(AND(W20="Correctivo",X20="Automático"),"35%",IF(AND(W20="Correctivo",X20="Manual"),"25%",""))))))</f>
        <v>30%</v>
      </c>
      <c r="Z20" s="195" t="s">
        <v>160</v>
      </c>
      <c r="AA20" s="195" t="s">
        <v>161</v>
      </c>
      <c r="AB20" s="195" t="s">
        <v>162</v>
      </c>
      <c r="AC20" s="197">
        <f>IFERROR(IF(AND(V19="Probabilidad",V20="Probabilidad"),(AE19-(+AE19*Y20)),IF(V20="Probabilidad",(N19-(+N19*Y20)),IF(V20="Impacto",AE19,""))),"")</f>
        <v>0.29399999999999998</v>
      </c>
      <c r="AD20" s="198" t="str">
        <f t="shared" si="2"/>
        <v>Baja</v>
      </c>
      <c r="AE20" s="196">
        <f t="shared" ref="AE20:AE24" si="11">+AC20</f>
        <v>0.29399999999999998</v>
      </c>
      <c r="AF20" s="198" t="str">
        <f t="shared" si="4"/>
        <v>Moderado</v>
      </c>
      <c r="AG20" s="196">
        <f t="shared" ref="AG20" si="12">IFERROR(IF(AND(V19="Impacto",V20="Impacto"),(AG19-(+AG19*Y20)),IF(V20="Impacto",($R$13-(+$R$13*Y20)),IF(V20="Probabilidad",AG19,""))),"")</f>
        <v>0.6</v>
      </c>
      <c r="AH20" s="199" t="str">
        <f t="shared" ref="AH20:AH21" si="13">IFERROR(IF(OR(AND(AD20="Muy Baja",AF20="Leve"),AND(AD20="Muy Baja",AF20="Menor"),AND(AD20="Baja",AF20="Leve")),"Bajo",IF(OR(AND(AD20="Muy baja",AF20="Moderado"),AND(AD20="Baja",AF20="Menor"),AND(AD20="Baja",AF20="Moderado"),AND(AD20="Media",AF20="Leve"),AND(AD20="Media",AF20="Menor"),AND(AD20="Media",AF20="Moderado"),AND(AD20="Alta",AF20="Leve"),AND(AD20="Alta",AF20="Menor")),"Moderado",IF(OR(AND(AD20="Muy Baja",AF20="Mayor"),AND(AD20="Baja",AF20="Mayor"),AND(AD20="Media",AF20="Mayor"),AND(AD20="Alta",AF20="Moderado"),AND(AD20="Alta",AF20="Mayor"),AND(AD20="Muy Alta",AF20="Leve"),AND(AD20="Muy Alta",AF20="Menor"),AND(AD20="Muy Alta",AF20="Moderado"),AND(AD20="Muy Alta",AF20="Mayor")),"Alto",IF(OR(AND(AD20="Muy Baja",AF20="Catastrófico"),AND(AD20="Baja",AF20="Catastrófico"),AND(AD20="Media",AF20="Catastrófico"),AND(AD20="Alta",AF20="Catastrófico"),AND(AD20="Muy Alta",AF20="Catastrófico")),"Extremo","")))),"")</f>
        <v>Moderado</v>
      </c>
      <c r="AI20" s="200" t="s">
        <v>159</v>
      </c>
      <c r="AJ20" s="191"/>
      <c r="AK20" s="201"/>
      <c r="AL20" s="191"/>
      <c r="AM20" s="202"/>
      <c r="AN20" s="389"/>
      <c r="AO20" s="389"/>
      <c r="AP20" s="389"/>
    </row>
    <row r="21" spans="1:42" s="203" customFormat="1" ht="17.45" customHeight="1" x14ac:dyDescent="0.2">
      <c r="A21" s="386"/>
      <c r="B21" s="387"/>
      <c r="C21" s="389"/>
      <c r="D21" s="404"/>
      <c r="E21" s="404"/>
      <c r="F21" s="402"/>
      <c r="G21" s="402"/>
      <c r="H21" s="387"/>
      <c r="I21" s="387"/>
      <c r="J21" s="387"/>
      <c r="K21" s="387"/>
      <c r="L21" s="391"/>
      <c r="M21" s="385"/>
      <c r="N21" s="340"/>
      <c r="O21" s="384"/>
      <c r="P21" s="340">
        <f>IF(NOT(ISERROR(MATCH(O21,_xlfn.ANCHORARRAY(E32),0))),N34&amp;"Por favor no seleccionar los criterios de impacto",O21)</f>
        <v>0</v>
      </c>
      <c r="Q21" s="385"/>
      <c r="R21" s="340"/>
      <c r="S21" s="341"/>
      <c r="T21" s="230">
        <v>3</v>
      </c>
      <c r="U21" s="193"/>
      <c r="V21" s="194" t="str">
        <f>IF(OR(W21="Preventivo",W21="Detectivo"),"Probabilidad",IF(W21="Correctivo","Impacto",""))</f>
        <v/>
      </c>
      <c r="W21" s="195"/>
      <c r="X21" s="195"/>
      <c r="Y21" s="196" t="str">
        <f t="shared" si="10"/>
        <v/>
      </c>
      <c r="Z21" s="195"/>
      <c r="AA21" s="195"/>
      <c r="AB21" s="195"/>
      <c r="AC21" s="197" t="str">
        <f>IFERROR(IF(AND(V20="Probabilidad",V21="Probabilidad"),(AE20-(+AE20*Y21)),IF(AND(V20="Impacto",V21="Probabilidad"),(AE19-(+AE19*Y21)),IF(V21="Impacto",AE20,""))),"")</f>
        <v/>
      </c>
      <c r="AD21" s="198" t="str">
        <f t="shared" si="2"/>
        <v/>
      </c>
      <c r="AE21" s="196" t="str">
        <f t="shared" si="11"/>
        <v/>
      </c>
      <c r="AF21" s="198" t="str">
        <f t="shared" si="4"/>
        <v/>
      </c>
      <c r="AG21" s="196" t="str">
        <f t="shared" ref="AG21:AG72" si="14">IFERROR(IF(AND(V20="Impacto",V21="Impacto"),(AG20-(+AG20*Y21)),IF(AND(V20="Probabilidad",V21="Impacto"),(AG19-(+AG19*Y21)),IF(V21="Probabilidad",AG20,""))),"")</f>
        <v/>
      </c>
      <c r="AH21" s="199" t="str">
        <f t="shared" si="13"/>
        <v/>
      </c>
      <c r="AI21" s="200"/>
      <c r="AJ21" s="191"/>
      <c r="AK21" s="201"/>
      <c r="AL21" s="201"/>
      <c r="AM21" s="202"/>
      <c r="AN21" s="389"/>
      <c r="AO21" s="389"/>
      <c r="AP21" s="389"/>
    </row>
    <row r="22" spans="1:42" s="203" customFormat="1" ht="17.45" customHeight="1" x14ac:dyDescent="0.2">
      <c r="A22" s="386"/>
      <c r="B22" s="387"/>
      <c r="C22" s="389"/>
      <c r="D22" s="404"/>
      <c r="E22" s="404"/>
      <c r="F22" s="402"/>
      <c r="G22" s="402"/>
      <c r="H22" s="387"/>
      <c r="I22" s="387"/>
      <c r="J22" s="387"/>
      <c r="K22" s="387"/>
      <c r="L22" s="391"/>
      <c r="M22" s="385"/>
      <c r="N22" s="340"/>
      <c r="O22" s="384"/>
      <c r="P22" s="340">
        <f>IF(NOT(ISERROR(MATCH(O22,_xlfn.ANCHORARRAY(E33),0))),N35&amp;"Por favor no seleccionar los criterios de impacto",O22)</f>
        <v>0</v>
      </c>
      <c r="Q22" s="385"/>
      <c r="R22" s="340"/>
      <c r="S22" s="341"/>
      <c r="T22" s="230">
        <v>4</v>
      </c>
      <c r="U22" s="192"/>
      <c r="V22" s="194" t="str">
        <f t="shared" ref="V22:V24" si="15">IF(OR(W22="Preventivo",W22="Detectivo"),"Probabilidad",IF(W22="Correctivo","Impacto",""))</f>
        <v/>
      </c>
      <c r="W22" s="195"/>
      <c r="X22" s="195"/>
      <c r="Y22" s="196" t="str">
        <f t="shared" si="10"/>
        <v/>
      </c>
      <c r="Z22" s="195"/>
      <c r="AA22" s="195"/>
      <c r="AB22" s="195"/>
      <c r="AC22" s="197" t="str">
        <f t="shared" ref="AC22:AC24" si="16">IFERROR(IF(AND(V21="Probabilidad",V22="Probabilidad"),(AE21-(+AE21*Y22)),IF(AND(V21="Impacto",V22="Probabilidad"),(AE20-(+AE20*Y22)),IF(V22="Impacto",AE21,""))),"")</f>
        <v/>
      </c>
      <c r="AD22" s="198" t="str">
        <f t="shared" si="2"/>
        <v/>
      </c>
      <c r="AE22" s="196" t="str">
        <f t="shared" si="11"/>
        <v/>
      </c>
      <c r="AF22" s="198" t="str">
        <f t="shared" si="4"/>
        <v/>
      </c>
      <c r="AG22" s="196" t="str">
        <f t="shared" si="14"/>
        <v/>
      </c>
      <c r="AH22" s="199" t="str">
        <f>IFERROR(IF(OR(AND(AD22="Muy Baja",AF22="Leve"),AND(AD22="Muy Baja",AF22="Menor"),AND(AD22="Baja",AF22="Leve")),"Bajo",IF(OR(AND(AD22="Muy baja",AF22="Moderado"),AND(AD22="Baja",AF22="Menor"),AND(AD22="Baja",AF22="Moderado"),AND(AD22="Media",AF22="Leve"),AND(AD22="Media",AF22="Menor"),AND(AD22="Media",AF22="Moderado"),AND(AD22="Alta",AF22="Leve"),AND(AD22="Alta",AF22="Menor")),"Moderado",IF(OR(AND(AD22="Muy Baja",AF22="Mayor"),AND(AD22="Baja",AF22="Mayor"),AND(AD22="Media",AF22="Mayor"),AND(AD22="Alta",AF22="Moderado"),AND(AD22="Alta",AF22="Mayor"),AND(AD22="Muy Alta",AF22="Leve"),AND(AD22="Muy Alta",AF22="Menor"),AND(AD22="Muy Alta",AF22="Moderado"),AND(AD22="Muy Alta",AF22="Mayor")),"Alto",IF(OR(AND(AD22="Muy Baja",AF22="Catastrófico"),AND(AD22="Baja",AF22="Catastrófico"),AND(AD22="Media",AF22="Catastrófico"),AND(AD22="Alta",AF22="Catastrófico"),AND(AD22="Muy Alta",AF22="Catastrófico")),"Extremo","")))),"")</f>
        <v/>
      </c>
      <c r="AI22" s="200"/>
      <c r="AJ22" s="191"/>
      <c r="AK22" s="201"/>
      <c r="AL22" s="201"/>
      <c r="AM22" s="202"/>
      <c r="AN22" s="389"/>
      <c r="AO22" s="389"/>
      <c r="AP22" s="389"/>
    </row>
    <row r="23" spans="1:42" s="203" customFormat="1" ht="17.45" customHeight="1" x14ac:dyDescent="0.2">
      <c r="A23" s="386"/>
      <c r="B23" s="387"/>
      <c r="C23" s="389"/>
      <c r="D23" s="404"/>
      <c r="E23" s="404"/>
      <c r="F23" s="402"/>
      <c r="G23" s="402"/>
      <c r="H23" s="387"/>
      <c r="I23" s="387"/>
      <c r="J23" s="387"/>
      <c r="K23" s="387"/>
      <c r="L23" s="391"/>
      <c r="M23" s="385"/>
      <c r="N23" s="340"/>
      <c r="O23" s="384"/>
      <c r="P23" s="340">
        <f>IF(NOT(ISERROR(MATCH(O23,_xlfn.ANCHORARRAY(E34),0))),N36&amp;"Por favor no seleccionar los criterios de impacto",O23)</f>
        <v>0</v>
      </c>
      <c r="Q23" s="385"/>
      <c r="R23" s="340"/>
      <c r="S23" s="341"/>
      <c r="T23" s="230">
        <v>5</v>
      </c>
      <c r="U23" s="192"/>
      <c r="V23" s="194" t="str">
        <f t="shared" si="15"/>
        <v/>
      </c>
      <c r="W23" s="195"/>
      <c r="X23" s="195"/>
      <c r="Y23" s="196" t="str">
        <f t="shared" si="10"/>
        <v/>
      </c>
      <c r="Z23" s="195"/>
      <c r="AA23" s="195"/>
      <c r="AB23" s="195"/>
      <c r="AC23" s="197" t="str">
        <f t="shared" si="16"/>
        <v/>
      </c>
      <c r="AD23" s="198" t="str">
        <f t="shared" si="2"/>
        <v/>
      </c>
      <c r="AE23" s="196" t="str">
        <f t="shared" si="11"/>
        <v/>
      </c>
      <c r="AF23" s="198" t="str">
        <f t="shared" si="4"/>
        <v/>
      </c>
      <c r="AG23" s="196" t="str">
        <f t="shared" si="14"/>
        <v/>
      </c>
      <c r="AH23" s="199" t="str">
        <f t="shared" ref="AH23:AH24" si="17">IFERROR(IF(OR(AND(AD23="Muy Baja",AF23="Leve"),AND(AD23="Muy Baja",AF23="Menor"),AND(AD23="Baja",AF23="Leve")),"Bajo",IF(OR(AND(AD23="Muy baja",AF23="Moderado"),AND(AD23="Baja",AF23="Menor"),AND(AD23="Baja",AF23="Moderado"),AND(AD23="Media",AF23="Leve"),AND(AD23="Media",AF23="Menor"),AND(AD23="Media",AF23="Moderado"),AND(AD23="Alta",AF23="Leve"),AND(AD23="Alta",AF23="Menor")),"Moderado",IF(OR(AND(AD23="Muy Baja",AF23="Mayor"),AND(AD23="Baja",AF23="Mayor"),AND(AD23="Media",AF23="Mayor"),AND(AD23="Alta",AF23="Moderado"),AND(AD23="Alta",AF23="Mayor"),AND(AD23="Muy Alta",AF23="Leve"),AND(AD23="Muy Alta",AF23="Menor"),AND(AD23="Muy Alta",AF23="Moderado"),AND(AD23="Muy Alta",AF23="Mayor")),"Alto",IF(OR(AND(AD23="Muy Baja",AF23="Catastrófico"),AND(AD23="Baja",AF23="Catastrófico"),AND(AD23="Media",AF23="Catastrófico"),AND(AD23="Alta",AF23="Catastrófico"),AND(AD23="Muy Alta",AF23="Catastrófico")),"Extremo","")))),"")</f>
        <v/>
      </c>
      <c r="AI23" s="200"/>
      <c r="AJ23" s="191"/>
      <c r="AK23" s="201"/>
      <c r="AL23" s="201"/>
      <c r="AM23" s="202"/>
      <c r="AN23" s="389"/>
      <c r="AO23" s="389"/>
      <c r="AP23" s="389"/>
    </row>
    <row r="24" spans="1:42" s="203" customFormat="1" ht="17.45" customHeight="1" thickBot="1" x14ac:dyDescent="0.25">
      <c r="A24" s="386"/>
      <c r="B24" s="387"/>
      <c r="C24" s="390"/>
      <c r="D24" s="405"/>
      <c r="E24" s="405"/>
      <c r="F24" s="402"/>
      <c r="G24" s="402"/>
      <c r="H24" s="387"/>
      <c r="I24" s="387"/>
      <c r="J24" s="387"/>
      <c r="K24" s="387"/>
      <c r="L24" s="391"/>
      <c r="M24" s="385"/>
      <c r="N24" s="340"/>
      <c r="O24" s="384"/>
      <c r="P24" s="340">
        <f>IF(NOT(ISERROR(MATCH(O24,_xlfn.ANCHORARRAY(E35),0))),N37&amp;"Por favor no seleccionar los criterios de impacto",O24)</f>
        <v>0</v>
      </c>
      <c r="Q24" s="385"/>
      <c r="R24" s="340"/>
      <c r="S24" s="341"/>
      <c r="T24" s="230">
        <v>6</v>
      </c>
      <c r="U24" s="192"/>
      <c r="V24" s="194" t="str">
        <f t="shared" si="15"/>
        <v/>
      </c>
      <c r="W24" s="195"/>
      <c r="X24" s="195"/>
      <c r="Y24" s="196" t="str">
        <f t="shared" si="10"/>
        <v/>
      </c>
      <c r="Z24" s="195"/>
      <c r="AA24" s="195"/>
      <c r="AB24" s="195"/>
      <c r="AC24" s="197" t="str">
        <f t="shared" si="16"/>
        <v/>
      </c>
      <c r="AD24" s="198" t="str">
        <f t="shared" si="2"/>
        <v/>
      </c>
      <c r="AE24" s="196" t="str">
        <f t="shared" si="11"/>
        <v/>
      </c>
      <c r="AF24" s="198" t="str">
        <f t="shared" si="4"/>
        <v/>
      </c>
      <c r="AG24" s="196" t="str">
        <f t="shared" si="14"/>
        <v/>
      </c>
      <c r="AH24" s="199" t="str">
        <f t="shared" si="17"/>
        <v/>
      </c>
      <c r="AI24" s="200"/>
      <c r="AJ24" s="191"/>
      <c r="AK24" s="201"/>
      <c r="AL24" s="201"/>
      <c r="AM24" s="202"/>
      <c r="AN24" s="390"/>
      <c r="AO24" s="390"/>
      <c r="AP24" s="390"/>
    </row>
    <row r="25" spans="1:42" s="203" customFormat="1" ht="222" customHeight="1" x14ac:dyDescent="0.2">
      <c r="A25" s="386">
        <v>3</v>
      </c>
      <c r="B25" s="387" t="s">
        <v>163</v>
      </c>
      <c r="C25" s="388" t="s">
        <v>407</v>
      </c>
      <c r="D25" s="388" t="s">
        <v>415</v>
      </c>
      <c r="E25" s="388" t="s">
        <v>414</v>
      </c>
      <c r="F25" s="387" t="s">
        <v>153</v>
      </c>
      <c r="G25" s="387" t="s">
        <v>432</v>
      </c>
      <c r="H25" s="387"/>
      <c r="I25" s="387"/>
      <c r="J25" s="387"/>
      <c r="K25" s="387"/>
      <c r="L25" s="391">
        <v>83</v>
      </c>
      <c r="M25" s="385" t="str">
        <f>IF(L25&lt;=0,"",IF(L25&lt;=2,"Muy Baja",IF(L25&lt;=24,"Baja",IF(L25&lt;=500,"Media",IF(L25&lt;=5000,"Alta","Muy Alta")))))</f>
        <v>Media</v>
      </c>
      <c r="N25" s="340">
        <f>IF(M25="","",IF(M25="Muy Baja",0.2,IF(M25="Baja",0.4,IF(M25="Media",0.6,IF(M25="Alta",0.8,IF(M25="Muy Alta",1,))))))</f>
        <v>0.6</v>
      </c>
      <c r="O25" s="384" t="s">
        <v>155</v>
      </c>
      <c r="P25" s="340" t="str">
        <f>IF(NOT(ISERROR(MATCH(O25,'Tabla Impacto'!$B$222:$B$224,0))),'Tabla Impacto'!$F$224&amp;"Por favor no seleccionar los criterios de impacto(Afectación Económica o presupuestal y Pérdida Reputacional)",O25)</f>
        <v xml:space="preserve">     El riesgo afecta la imagen de la entidad con algunos usuarios de relevancia frente al logro de los objetivos</v>
      </c>
      <c r="Q25" s="385" t="str">
        <f>IF(OR(P25='Tabla Impacto'!$C$12,P25='Tabla Impacto'!$D$12),"Leve",IF(OR(P25='Tabla Impacto'!$C$13,P25='Tabla Impacto'!$D$13),"Menor",IF(OR(P25='Tabla Impacto'!$C$14,P25='Tabla Impacto'!$D$14),"Moderado",IF(OR(P25='Tabla Impacto'!$C$15,P25='Tabla Impacto'!$D$15),"Mayor",IF(OR(P25='Tabla Impacto'!$C$16,P25='Tabla Impacto'!$D$16),"Catastrófico","")))))</f>
        <v>Moderado</v>
      </c>
      <c r="R25" s="340">
        <f>IF(Q25="","",IF(Q25="Leve",0.2,IF(Q25="Menor",0.4,IF(Q25="Moderado",0.6,IF(Q25="Mayor",0.8,IF(Q25="Catastrófico",1,))))))</f>
        <v>0.6</v>
      </c>
      <c r="S25" s="341" t="str">
        <f>IF(OR(AND(M25="Muy Baja",Q25="Leve"),AND(M25="Muy Baja",Q25="Menor"),AND(M25="Baja",Q25="Leve")),"Bajo",IF(OR(AND(M25="Muy baja",Q25="Moderado"),AND(M25="Baja",Q25="Menor"),AND(M25="Baja",Q25="Moderado"),AND(M25="Media",Q25="Leve"),AND(M25="Media",Q25="Menor"),AND(M25="Media",Q25="Moderado"),AND(M25="Alta",Q25="Leve"),AND(M25="Alta",Q25="Menor")),"Moderado",IF(OR(AND(M25="Muy Baja",Q25="Mayor"),AND(M25="Baja",Q25="Mayor"),AND(M25="Media",Q25="Mayor"),AND(M25="Alta",Q25="Moderado"),AND(M25="Alta",Q25="Mayor"),AND(M25="Muy Alta",Q25="Leve"),AND(M25="Muy Alta",Q25="Menor"),AND(M25="Muy Alta",Q25="Moderado"),AND(M25="Muy Alta",Q25="Mayor")),"Alto",IF(OR(AND(M25="Muy Baja",Q25="Catastrófico"),AND(M25="Baja",Q25="Catastrófico"),AND(M25="Media",Q25="Catastrófico"),AND(M25="Alta",Q25="Catastrófico"),AND(M25="Muy Alta",Q25="Catastrófico")),"Extremo",""))))</f>
        <v>Moderado</v>
      </c>
      <c r="T25" s="230">
        <v>1</v>
      </c>
      <c r="U25" s="247" t="s">
        <v>433</v>
      </c>
      <c r="V25" s="194" t="str">
        <f>IF(OR(W25="Preventivo",W25="Detectivo"),"Probabilidad",IF(W25="Correctivo","Impacto",""))</f>
        <v>Probabilidad</v>
      </c>
      <c r="W25" s="195" t="s">
        <v>158</v>
      </c>
      <c r="X25" s="195" t="s">
        <v>157</v>
      </c>
      <c r="Y25" s="196" t="str">
        <f>IF(AND(W25="Preventivo",X25="Automático"),"50%",IF(AND(W25="Preventivo",X25="Manual"),"40%",IF(AND(W25="Detectivo",X25="Automático"),"40%",IF(AND(W25="Detectivo",X25="Manual"),"30%",IF(AND(W25="Correctivo",X25="Automático"),"35%",IF(AND(W25="Correctivo",X25="Manual"),"25%",""))))))</f>
        <v>30%</v>
      </c>
      <c r="Z25" s="195" t="s">
        <v>160</v>
      </c>
      <c r="AA25" s="195" t="s">
        <v>161</v>
      </c>
      <c r="AB25" s="195" t="s">
        <v>162</v>
      </c>
      <c r="AC25" s="197">
        <f>IFERROR(IF(V25="Probabilidad",(N25-(+N25*Y25)),IF(V25="Impacto",N25,"")),"")</f>
        <v>0.42</v>
      </c>
      <c r="AD25" s="198" t="str">
        <f>IFERROR(IF(AC25="","",IF(AC25&lt;=0.2,"Muy Baja",IF(AC25&lt;=0.4,"Baja",IF(AC25&lt;=0.6,"Media",IF(AC25&lt;=0.8,"Alta","Muy Alta"))))),"")</f>
        <v>Media</v>
      </c>
      <c r="AE25" s="196">
        <f>+AC25</f>
        <v>0.42</v>
      </c>
      <c r="AF25" s="198" t="str">
        <f>IFERROR(IF(AG25="","",IF(AG25&lt;=0.2,"Leve",IF(AG25&lt;=0.4,"Menor",IF(AG25&lt;=0.6,"Moderado",IF(AG25&lt;=0.8,"Mayor","Catastrófico"))))),"")</f>
        <v>Moderado</v>
      </c>
      <c r="AG25" s="196">
        <f t="shared" ref="AG25" si="18">IFERROR(IF(V25="Impacto",(R25-(+R25*Y25)),IF(V25="Probabilidad",R25,"")),"")</f>
        <v>0.6</v>
      </c>
      <c r="AH25" s="199" t="str">
        <f>IFERROR(IF(OR(AND(AD25="Muy Baja",AF25="Leve"),AND(AD25="Muy Baja",AF25="Menor"),AND(AD25="Baja",AF25="Leve")),"Bajo",IF(OR(AND(AD25="Muy baja",AF25="Moderado"),AND(AD25="Baja",AF25="Menor"),AND(AD25="Baja",AF25="Moderado"),AND(AD25="Media",AF25="Leve"),AND(AD25="Media",AF25="Menor"),AND(AD25="Media",AF25="Moderado"),AND(AD25="Alta",AF25="Leve"),AND(AD25="Alta",AF25="Menor")),"Moderado",IF(OR(AND(AD25="Muy Baja",AF25="Mayor"),AND(AD25="Baja",AF25="Mayor"),AND(AD25="Media",AF25="Mayor"),AND(AD25="Alta",AF25="Moderado"),AND(AD25="Alta",AF25="Mayor"),AND(AD25="Muy Alta",AF25="Leve"),AND(AD25="Muy Alta",AF25="Menor"),AND(AD25="Muy Alta",AF25="Moderado"),AND(AD25="Muy Alta",AF25="Mayor")),"Alto",IF(OR(AND(AD25="Muy Baja",AF25="Catastrófico"),AND(AD25="Baja",AF25="Catastrófico"),AND(AD25="Media",AF25="Catastrófico"),AND(AD25="Alta",AF25="Catastrófico"),AND(AD25="Muy Alta",AF25="Catastrófico")),"Extremo","")))),"")</f>
        <v>Moderado</v>
      </c>
      <c r="AI25" s="200" t="s">
        <v>159</v>
      </c>
      <c r="AJ25" s="237" t="s">
        <v>416</v>
      </c>
      <c r="AK25" s="237" t="s">
        <v>402</v>
      </c>
      <c r="AL25" s="237" t="s">
        <v>413</v>
      </c>
      <c r="AM25" s="250">
        <v>44926</v>
      </c>
      <c r="AN25" s="253" t="s">
        <v>417</v>
      </c>
      <c r="AO25" s="253" t="s">
        <v>418</v>
      </c>
      <c r="AP25" s="253" t="s">
        <v>406</v>
      </c>
    </row>
    <row r="26" spans="1:42" s="203" customFormat="1" ht="20.45" customHeight="1" x14ac:dyDescent="0.2">
      <c r="A26" s="386"/>
      <c r="B26" s="387"/>
      <c r="C26" s="389"/>
      <c r="D26" s="389"/>
      <c r="E26" s="389"/>
      <c r="F26" s="387"/>
      <c r="G26" s="387"/>
      <c r="H26" s="387"/>
      <c r="I26" s="387"/>
      <c r="J26" s="387"/>
      <c r="K26" s="387"/>
      <c r="L26" s="391"/>
      <c r="M26" s="385"/>
      <c r="N26" s="340"/>
      <c r="O26" s="384"/>
      <c r="P26" s="340">
        <f t="shared" ref="P26:P30" si="19">IF(NOT(ISERROR(MATCH(O26,_xlfn.ANCHORARRAY(E37),0))),N39&amp;"Por favor no seleccionar los criterios de impacto",O26)</f>
        <v>0</v>
      </c>
      <c r="Q26" s="385"/>
      <c r="R26" s="340"/>
      <c r="S26" s="341"/>
      <c r="T26" s="230">
        <v>2</v>
      </c>
      <c r="U26" s="192"/>
      <c r="V26" s="194" t="str">
        <f>IF(OR(W26="Preventivo",W26="Detectivo"),"Probabilidad",IF(W26="Correctivo","Impacto",""))</f>
        <v/>
      </c>
      <c r="W26" s="195"/>
      <c r="X26" s="195"/>
      <c r="Y26" s="196" t="str">
        <f t="shared" ref="Y26:Y30" si="20">IF(AND(W26="Preventivo",X26="Automático"),"50%",IF(AND(W26="Preventivo",X26="Manual"),"40%",IF(AND(W26="Detectivo",X26="Automático"),"40%",IF(AND(W26="Detectivo",X26="Manual"),"30%",IF(AND(W26="Correctivo",X26="Automático"),"35%",IF(AND(W26="Correctivo",X26="Manual"),"25%",""))))))</f>
        <v/>
      </c>
      <c r="Z26" s="195"/>
      <c r="AA26" s="195"/>
      <c r="AB26" s="195"/>
      <c r="AC26" s="197" t="str">
        <f>IFERROR(IF(AND(V25="Probabilidad",V26="Probabilidad"),(AE25-(+AE25*Y26)),IF(V26="Probabilidad",(N25-(+N25*Y26)),IF(V26="Impacto",AE25,""))),"")</f>
        <v/>
      </c>
      <c r="AD26" s="198" t="str">
        <f t="shared" si="2"/>
        <v/>
      </c>
      <c r="AE26" s="196" t="str">
        <f t="shared" ref="AE26:AE30" si="21">+AC26</f>
        <v/>
      </c>
      <c r="AF26" s="198" t="str">
        <f t="shared" si="4"/>
        <v/>
      </c>
      <c r="AG26" s="196" t="str">
        <f t="shared" ref="AG26" si="22">IFERROR(IF(AND(V25="Impacto",V26="Impacto"),(AG25-(+AG25*Y26)),IF(V26="Impacto",($R$13-(+$R$13*Y26)),IF(V26="Probabilidad",AG25,""))),"")</f>
        <v/>
      </c>
      <c r="AH26" s="199" t="str">
        <f t="shared" ref="AH26:AH27" si="23">IFERROR(IF(OR(AND(AD26="Muy Baja",AF26="Leve"),AND(AD26="Muy Baja",AF26="Menor"),AND(AD26="Baja",AF26="Leve")),"Bajo",IF(OR(AND(AD26="Muy baja",AF26="Moderado"),AND(AD26="Baja",AF26="Menor"),AND(AD26="Baja",AF26="Moderado"),AND(AD26="Media",AF26="Leve"),AND(AD26="Media",AF26="Menor"),AND(AD26="Media",AF26="Moderado"),AND(AD26="Alta",AF26="Leve"),AND(AD26="Alta",AF26="Menor")),"Moderado",IF(OR(AND(AD26="Muy Baja",AF26="Mayor"),AND(AD26="Baja",AF26="Mayor"),AND(AD26="Media",AF26="Mayor"),AND(AD26="Alta",AF26="Moderado"),AND(AD26="Alta",AF26="Mayor"),AND(AD26="Muy Alta",AF26="Leve"),AND(AD26="Muy Alta",AF26="Menor"),AND(AD26="Muy Alta",AF26="Moderado"),AND(AD26="Muy Alta",AF26="Mayor")),"Alto",IF(OR(AND(AD26="Muy Baja",AF26="Catastrófico"),AND(AD26="Baja",AF26="Catastrófico"),AND(AD26="Media",AF26="Catastrófico"),AND(AD26="Alta",AF26="Catastrófico"),AND(AD26="Muy Alta",AF26="Catastrófico")),"Extremo","")))),"")</f>
        <v/>
      </c>
      <c r="AI26" s="200"/>
      <c r="AJ26" s="191"/>
      <c r="AK26" s="201"/>
      <c r="AL26" s="201"/>
      <c r="AM26" s="202"/>
      <c r="AN26" s="251"/>
      <c r="AO26" s="251"/>
      <c r="AP26" s="251"/>
    </row>
    <row r="27" spans="1:42" s="203" customFormat="1" ht="20.45" customHeight="1" x14ac:dyDescent="0.2">
      <c r="A27" s="386"/>
      <c r="B27" s="387"/>
      <c r="C27" s="389"/>
      <c r="D27" s="389"/>
      <c r="E27" s="389"/>
      <c r="F27" s="387"/>
      <c r="G27" s="387"/>
      <c r="H27" s="387"/>
      <c r="I27" s="387"/>
      <c r="J27" s="387"/>
      <c r="K27" s="387"/>
      <c r="L27" s="391"/>
      <c r="M27" s="385"/>
      <c r="N27" s="340"/>
      <c r="O27" s="384"/>
      <c r="P27" s="340">
        <f t="shared" si="19"/>
        <v>0</v>
      </c>
      <c r="Q27" s="385"/>
      <c r="R27" s="340"/>
      <c r="S27" s="341"/>
      <c r="T27" s="230">
        <v>3</v>
      </c>
      <c r="U27" s="192"/>
      <c r="V27" s="194" t="str">
        <f>IF(OR(W27="Preventivo",W27="Detectivo"),"Probabilidad",IF(W27="Correctivo","Impacto",""))</f>
        <v/>
      </c>
      <c r="W27" s="195"/>
      <c r="X27" s="195"/>
      <c r="Y27" s="196" t="str">
        <f t="shared" si="20"/>
        <v/>
      </c>
      <c r="Z27" s="195"/>
      <c r="AA27" s="195"/>
      <c r="AB27" s="195"/>
      <c r="AC27" s="197" t="str">
        <f>IFERROR(IF(AND(V26="Probabilidad",V27="Probabilidad"),(AE26-(+AE26*Y27)),IF(AND(V26="Impacto",V27="Probabilidad"),(AE25-(+AE25*Y27)),IF(V27="Impacto",AE26,""))),"")</f>
        <v/>
      </c>
      <c r="AD27" s="198" t="str">
        <f t="shared" si="2"/>
        <v/>
      </c>
      <c r="AE27" s="196" t="str">
        <f t="shared" si="21"/>
        <v/>
      </c>
      <c r="AF27" s="198" t="str">
        <f t="shared" si="4"/>
        <v/>
      </c>
      <c r="AG27" s="196" t="str">
        <f t="shared" ref="AG27" si="24">IFERROR(IF(AND(V26="Impacto",V27="Impacto"),(AG26-(+AG26*Y27)),IF(AND(V26="Probabilidad",V27="Impacto"),(AG25-(+AG25*Y27)),IF(V27="Probabilidad",AG26,""))),"")</f>
        <v/>
      </c>
      <c r="AH27" s="199" t="str">
        <f t="shared" si="23"/>
        <v/>
      </c>
      <c r="AI27" s="200"/>
      <c r="AJ27" s="191"/>
      <c r="AK27" s="201"/>
      <c r="AL27" s="201"/>
      <c r="AM27" s="202"/>
      <c r="AN27" s="251"/>
      <c r="AO27" s="251"/>
      <c r="AP27" s="251"/>
    </row>
    <row r="28" spans="1:42" s="203" customFormat="1" ht="20.45" customHeight="1" x14ac:dyDescent="0.2">
      <c r="A28" s="386"/>
      <c r="B28" s="387"/>
      <c r="C28" s="389"/>
      <c r="D28" s="389"/>
      <c r="E28" s="389"/>
      <c r="F28" s="387"/>
      <c r="G28" s="387"/>
      <c r="H28" s="387"/>
      <c r="I28" s="387"/>
      <c r="J28" s="387"/>
      <c r="K28" s="387"/>
      <c r="L28" s="391"/>
      <c r="M28" s="385"/>
      <c r="N28" s="340"/>
      <c r="O28" s="384"/>
      <c r="P28" s="340">
        <f t="shared" si="19"/>
        <v>0</v>
      </c>
      <c r="Q28" s="385"/>
      <c r="R28" s="340"/>
      <c r="S28" s="341"/>
      <c r="T28" s="230">
        <v>4</v>
      </c>
      <c r="U28" s="192"/>
      <c r="V28" s="194" t="str">
        <f t="shared" ref="V28:V30" si="25">IF(OR(W28="Preventivo",W28="Detectivo"),"Probabilidad",IF(W28="Correctivo","Impacto",""))</f>
        <v/>
      </c>
      <c r="W28" s="195"/>
      <c r="X28" s="195"/>
      <c r="Y28" s="196" t="str">
        <f t="shared" si="20"/>
        <v/>
      </c>
      <c r="Z28" s="195"/>
      <c r="AA28" s="195"/>
      <c r="AB28" s="195"/>
      <c r="AC28" s="197" t="str">
        <f t="shared" ref="AC28:AC30" si="26">IFERROR(IF(AND(V27="Probabilidad",V28="Probabilidad"),(AE27-(+AE27*Y28)),IF(AND(V27="Impacto",V28="Probabilidad"),(AE26-(+AE26*Y28)),IF(V28="Impacto",AE27,""))),"")</f>
        <v/>
      </c>
      <c r="AD28" s="198" t="str">
        <f t="shared" si="2"/>
        <v/>
      </c>
      <c r="AE28" s="196" t="str">
        <f t="shared" si="21"/>
        <v/>
      </c>
      <c r="AF28" s="198" t="str">
        <f t="shared" si="4"/>
        <v/>
      </c>
      <c r="AG28" s="196" t="str">
        <f t="shared" si="14"/>
        <v/>
      </c>
      <c r="AH28" s="199" t="str">
        <f>IFERROR(IF(OR(AND(AD28="Muy Baja",AF28="Leve"),AND(AD28="Muy Baja",AF28="Menor"),AND(AD28="Baja",AF28="Leve")),"Bajo",IF(OR(AND(AD28="Muy baja",AF28="Moderado"),AND(AD28="Baja",AF28="Menor"),AND(AD28="Baja",AF28="Moderado"),AND(AD28="Media",AF28="Leve"),AND(AD28="Media",AF28="Menor"),AND(AD28="Media",AF28="Moderado"),AND(AD28="Alta",AF28="Leve"),AND(AD28="Alta",AF28="Menor")),"Moderado",IF(OR(AND(AD28="Muy Baja",AF28="Mayor"),AND(AD28="Baja",AF28="Mayor"),AND(AD28="Media",AF28="Mayor"),AND(AD28="Alta",AF28="Moderado"),AND(AD28="Alta",AF28="Mayor"),AND(AD28="Muy Alta",AF28="Leve"),AND(AD28="Muy Alta",AF28="Menor"),AND(AD28="Muy Alta",AF28="Moderado"),AND(AD28="Muy Alta",AF28="Mayor")),"Alto",IF(OR(AND(AD28="Muy Baja",AF28="Catastrófico"),AND(AD28="Baja",AF28="Catastrófico"),AND(AD28="Media",AF28="Catastrófico"),AND(AD28="Alta",AF28="Catastrófico"),AND(AD28="Muy Alta",AF28="Catastrófico")),"Extremo","")))),"")</f>
        <v/>
      </c>
      <c r="AI28" s="200"/>
      <c r="AJ28" s="191"/>
      <c r="AK28" s="201"/>
      <c r="AL28" s="201"/>
      <c r="AM28" s="202"/>
      <c r="AN28" s="251"/>
      <c r="AO28" s="251"/>
      <c r="AP28" s="251"/>
    </row>
    <row r="29" spans="1:42" s="203" customFormat="1" ht="20.45" customHeight="1" x14ac:dyDescent="0.2">
      <c r="A29" s="386"/>
      <c r="B29" s="387"/>
      <c r="C29" s="389"/>
      <c r="D29" s="389"/>
      <c r="E29" s="389"/>
      <c r="F29" s="387"/>
      <c r="G29" s="387"/>
      <c r="H29" s="387"/>
      <c r="I29" s="387"/>
      <c r="J29" s="387"/>
      <c r="K29" s="387"/>
      <c r="L29" s="391"/>
      <c r="M29" s="385"/>
      <c r="N29" s="340"/>
      <c r="O29" s="384"/>
      <c r="P29" s="340">
        <f t="shared" si="19"/>
        <v>0</v>
      </c>
      <c r="Q29" s="385"/>
      <c r="R29" s="340"/>
      <c r="S29" s="341"/>
      <c r="T29" s="230">
        <v>5</v>
      </c>
      <c r="U29" s="192"/>
      <c r="V29" s="194" t="str">
        <f t="shared" si="25"/>
        <v/>
      </c>
      <c r="W29" s="195"/>
      <c r="X29" s="195"/>
      <c r="Y29" s="196" t="str">
        <f t="shared" si="20"/>
        <v/>
      </c>
      <c r="Z29" s="195"/>
      <c r="AA29" s="195"/>
      <c r="AB29" s="195"/>
      <c r="AC29" s="197" t="str">
        <f t="shared" si="26"/>
        <v/>
      </c>
      <c r="AD29" s="198" t="str">
        <f t="shared" si="2"/>
        <v/>
      </c>
      <c r="AE29" s="196" t="str">
        <f t="shared" si="21"/>
        <v/>
      </c>
      <c r="AF29" s="198" t="str">
        <f t="shared" si="4"/>
        <v/>
      </c>
      <c r="AG29" s="196" t="str">
        <f t="shared" si="14"/>
        <v/>
      </c>
      <c r="AH29" s="199" t="str">
        <f t="shared" ref="AH29:AH30" si="27">IFERROR(IF(OR(AND(AD29="Muy Baja",AF29="Leve"),AND(AD29="Muy Baja",AF29="Menor"),AND(AD29="Baja",AF29="Leve")),"Bajo",IF(OR(AND(AD29="Muy baja",AF29="Moderado"),AND(AD29="Baja",AF29="Menor"),AND(AD29="Baja",AF29="Moderado"),AND(AD29="Media",AF29="Leve"),AND(AD29="Media",AF29="Menor"),AND(AD29="Media",AF29="Moderado"),AND(AD29="Alta",AF29="Leve"),AND(AD29="Alta",AF29="Menor")),"Moderado",IF(OR(AND(AD29="Muy Baja",AF29="Mayor"),AND(AD29="Baja",AF29="Mayor"),AND(AD29="Media",AF29="Mayor"),AND(AD29="Alta",AF29="Moderado"),AND(AD29="Alta",AF29="Mayor"),AND(AD29="Muy Alta",AF29="Leve"),AND(AD29="Muy Alta",AF29="Menor"),AND(AD29="Muy Alta",AF29="Moderado"),AND(AD29="Muy Alta",AF29="Mayor")),"Alto",IF(OR(AND(AD29="Muy Baja",AF29="Catastrófico"),AND(AD29="Baja",AF29="Catastrófico"),AND(AD29="Media",AF29="Catastrófico"),AND(AD29="Alta",AF29="Catastrófico"),AND(AD29="Muy Alta",AF29="Catastrófico")),"Extremo","")))),"")</f>
        <v/>
      </c>
      <c r="AI29" s="200"/>
      <c r="AJ29" s="191"/>
      <c r="AK29" s="201"/>
      <c r="AL29" s="201"/>
      <c r="AM29" s="202"/>
      <c r="AN29" s="251"/>
      <c r="AO29" s="251"/>
      <c r="AP29" s="251"/>
    </row>
    <row r="30" spans="1:42" s="203" customFormat="1" ht="20.45" customHeight="1" x14ac:dyDescent="0.2">
      <c r="A30" s="386"/>
      <c r="B30" s="387"/>
      <c r="C30" s="390"/>
      <c r="D30" s="390"/>
      <c r="E30" s="390"/>
      <c r="F30" s="387"/>
      <c r="G30" s="387"/>
      <c r="H30" s="387"/>
      <c r="I30" s="387"/>
      <c r="J30" s="387"/>
      <c r="K30" s="387"/>
      <c r="L30" s="391"/>
      <c r="M30" s="385"/>
      <c r="N30" s="340"/>
      <c r="O30" s="384"/>
      <c r="P30" s="340">
        <f t="shared" si="19"/>
        <v>0</v>
      </c>
      <c r="Q30" s="385"/>
      <c r="R30" s="340"/>
      <c r="S30" s="341"/>
      <c r="T30" s="230">
        <v>6</v>
      </c>
      <c r="U30" s="192"/>
      <c r="V30" s="194" t="str">
        <f t="shared" si="25"/>
        <v/>
      </c>
      <c r="W30" s="195"/>
      <c r="X30" s="195"/>
      <c r="Y30" s="196" t="str">
        <f t="shared" si="20"/>
        <v/>
      </c>
      <c r="Z30" s="195"/>
      <c r="AA30" s="195"/>
      <c r="AB30" s="195"/>
      <c r="AC30" s="197" t="str">
        <f t="shared" si="26"/>
        <v/>
      </c>
      <c r="AD30" s="198" t="str">
        <f t="shared" si="2"/>
        <v/>
      </c>
      <c r="AE30" s="196" t="str">
        <f t="shared" si="21"/>
        <v/>
      </c>
      <c r="AF30" s="198" t="str">
        <f t="shared" si="4"/>
        <v/>
      </c>
      <c r="AG30" s="196" t="str">
        <f t="shared" si="14"/>
        <v/>
      </c>
      <c r="AH30" s="199" t="str">
        <f t="shared" si="27"/>
        <v/>
      </c>
      <c r="AI30" s="200"/>
      <c r="AJ30" s="191"/>
      <c r="AK30" s="201"/>
      <c r="AL30" s="201"/>
      <c r="AM30" s="202"/>
      <c r="AN30" s="252"/>
      <c r="AO30" s="252"/>
      <c r="AP30" s="252"/>
    </row>
    <row r="31" spans="1:42" s="203" customFormat="1" ht="208.15" customHeight="1" x14ac:dyDescent="0.2">
      <c r="A31" s="386">
        <v>4</v>
      </c>
      <c r="B31" s="387" t="s">
        <v>163</v>
      </c>
      <c r="C31" s="387" t="s">
        <v>431</v>
      </c>
      <c r="D31" s="387" t="s">
        <v>454</v>
      </c>
      <c r="E31" s="387" t="s">
        <v>426</v>
      </c>
      <c r="F31" s="387" t="s">
        <v>153</v>
      </c>
      <c r="G31" s="387" t="s">
        <v>432</v>
      </c>
      <c r="H31" s="387"/>
      <c r="I31" s="387"/>
      <c r="J31" s="387"/>
      <c r="K31" s="387"/>
      <c r="L31" s="391">
        <v>465</v>
      </c>
      <c r="M31" s="385" t="str">
        <f>IF(L31&lt;=0,"",IF(L31&lt;=2,"Muy Baja",IF(L31&lt;=24,"Baja",IF(L31&lt;=500,"Media",IF(L31&lt;=5000,"Alta","Muy Alta")))))</f>
        <v>Media</v>
      </c>
      <c r="N31" s="340">
        <f>IF(M31="","",IF(M31="Muy Baja",0.2,IF(M31="Baja",0.4,IF(M31="Media",0.6,IF(M31="Alta",0.8,IF(M31="Muy Alta",1,))))))</f>
        <v>0.6</v>
      </c>
      <c r="O31" s="384" t="s">
        <v>155</v>
      </c>
      <c r="P31" s="340" t="str">
        <f>IF(NOT(ISERROR(MATCH(O31,'Tabla Impacto'!$B$222:$B$224,0))),'Tabla Impacto'!$F$224&amp;"Por favor no seleccionar los criterios de impacto(Afectación Económica o presupuestal y Pérdida Reputacional)",O31)</f>
        <v xml:space="preserve">     El riesgo afecta la imagen de la entidad con algunos usuarios de relevancia frente al logro de los objetivos</v>
      </c>
      <c r="Q31" s="385" t="str">
        <f>IF(OR(P31='Tabla Impacto'!$C$12,P31='Tabla Impacto'!$D$12),"Leve",IF(OR(P31='Tabla Impacto'!$C$13,P31='Tabla Impacto'!$D$13),"Menor",IF(OR(P31='Tabla Impacto'!$C$14,P31='Tabla Impacto'!$D$14),"Moderado",IF(OR(P31='Tabla Impacto'!$C$15,P31='Tabla Impacto'!$D$15),"Mayor",IF(OR(P31='Tabla Impacto'!$C$16,P31='Tabla Impacto'!$D$16),"Catastrófico","")))))</f>
        <v>Moderado</v>
      </c>
      <c r="R31" s="340">
        <f>IF(Q31="","",IF(Q31="Leve",0.2,IF(Q31="Menor",0.4,IF(Q31="Moderado",0.6,IF(Q31="Mayor",0.8,IF(Q31="Catastrófico",1,))))))</f>
        <v>0.6</v>
      </c>
      <c r="S31" s="341" t="str">
        <f>IF(OR(AND(M31="Muy Baja",Q31="Leve"),AND(M31="Muy Baja",Q31="Menor"),AND(M31="Baja",Q31="Leve")),"Bajo",IF(OR(AND(M31="Muy baja",Q31="Moderado"),AND(M31="Baja",Q31="Menor"),AND(M31="Baja",Q31="Moderado"),AND(M31="Media",Q31="Leve"),AND(M31="Media",Q31="Menor"),AND(M31="Media",Q31="Moderado"),AND(M31="Alta",Q31="Leve"),AND(M31="Alta",Q31="Menor")),"Moderado",IF(OR(AND(M31="Muy Baja",Q31="Mayor"),AND(M31="Baja",Q31="Mayor"),AND(M31="Media",Q31="Mayor"),AND(M31="Alta",Q31="Moderado"),AND(M31="Alta",Q31="Mayor"),AND(M31="Muy Alta",Q31="Leve"),AND(M31="Muy Alta",Q31="Menor"),AND(M31="Muy Alta",Q31="Moderado"),AND(M31="Muy Alta",Q31="Mayor")),"Alto",IF(OR(AND(M31="Muy Baja",Q31="Catastrófico"),AND(M31="Baja",Q31="Catastrófico"),AND(M31="Media",Q31="Catastrófico"),AND(M31="Alta",Q31="Catastrófico"),AND(M31="Muy Alta",Q31="Catastrófico")),"Extremo",""))))</f>
        <v>Moderado</v>
      </c>
      <c r="T31" s="230">
        <v>1</v>
      </c>
      <c r="U31" s="192" t="s">
        <v>434</v>
      </c>
      <c r="V31" s="194" t="str">
        <f>IF(OR(W31="Preventivo",W31="Detectivo"),"Probabilidad",IF(W31="Correctivo","Impacto",""))</f>
        <v>Probabilidad</v>
      </c>
      <c r="W31" s="195" t="s">
        <v>156</v>
      </c>
      <c r="X31" s="195" t="s">
        <v>157</v>
      </c>
      <c r="Y31" s="196" t="str">
        <f>IF(AND(W31="Preventivo",X31="Automático"),"50%",IF(AND(W31="Preventivo",X31="Manual"),"40%",IF(AND(W31="Detectivo",X31="Automático"),"40%",IF(AND(W31="Detectivo",X31="Manual"),"30%",IF(AND(W31="Correctivo",X31="Automático"),"35%",IF(AND(W31="Correctivo",X31="Manual"),"25%",""))))))</f>
        <v>40%</v>
      </c>
      <c r="Z31" s="195" t="s">
        <v>160</v>
      </c>
      <c r="AA31" s="195" t="s">
        <v>161</v>
      </c>
      <c r="AB31" s="195" t="s">
        <v>162</v>
      </c>
      <c r="AC31" s="197">
        <f>IFERROR(IF(V31="Probabilidad",(N31-(+N31*Y31)),IF(V31="Impacto",N31,"")),"")</f>
        <v>0.36</v>
      </c>
      <c r="AD31" s="198" t="str">
        <f>IFERROR(IF(AC31="","",IF(AC31&lt;=0.2,"Muy Baja",IF(AC31&lt;=0.4,"Baja",IF(AC31&lt;=0.6,"Media",IF(AC31&lt;=0.8,"Alta","Muy Alta"))))),"")</f>
        <v>Baja</v>
      </c>
      <c r="AE31" s="196">
        <f>+AC31</f>
        <v>0.36</v>
      </c>
      <c r="AF31" s="198" t="str">
        <f>IFERROR(IF(AG31="","",IF(AG31&lt;=0.2,"Leve",IF(AG31&lt;=0.4,"Menor",IF(AG31&lt;=0.6,"Moderado",IF(AG31&lt;=0.8,"Mayor","Catastrófico"))))),"")</f>
        <v>Moderado</v>
      </c>
      <c r="AG31" s="196">
        <f t="shared" ref="AG31" si="28">IFERROR(IF(V31="Impacto",(R31-(+R31*Y31)),IF(V31="Probabilidad",R31,"")),"")</f>
        <v>0.6</v>
      </c>
      <c r="AH31" s="199" t="str">
        <f>IFERROR(IF(OR(AND(AD31="Muy Baja",AF31="Leve"),AND(AD31="Muy Baja",AF31="Menor"),AND(AD31="Baja",AF31="Leve")),"Bajo",IF(OR(AND(AD31="Muy baja",AF31="Moderado"),AND(AD31="Baja",AF31="Menor"),AND(AD31="Baja",AF31="Moderado"),AND(AD31="Media",AF31="Leve"),AND(AD31="Media",AF31="Menor"),AND(AD31="Media",AF31="Moderado"),AND(AD31="Alta",AF31="Leve"),AND(AD31="Alta",AF31="Menor")),"Moderado",IF(OR(AND(AD31="Muy Baja",AF31="Mayor"),AND(AD31="Baja",AF31="Mayor"),AND(AD31="Media",AF31="Mayor"),AND(AD31="Alta",AF31="Moderado"),AND(AD31="Alta",AF31="Mayor"),AND(AD31="Muy Alta",AF31="Leve"),AND(AD31="Muy Alta",AF31="Menor"),AND(AD31="Muy Alta",AF31="Moderado"),AND(AD31="Muy Alta",AF31="Mayor")),"Alto",IF(OR(AND(AD31="Muy Baja",AF31="Catastrófico"),AND(AD31="Baja",AF31="Catastrófico"),AND(AD31="Media",AF31="Catastrófico"),AND(AD31="Alta",AF31="Catastrófico"),AND(AD31="Muy Alta",AF31="Catastrófico")),"Extremo","")))),"")</f>
        <v>Moderado</v>
      </c>
      <c r="AI31" s="200" t="s">
        <v>159</v>
      </c>
      <c r="AJ31" s="191" t="s">
        <v>427</v>
      </c>
      <c r="AK31" s="254" t="s">
        <v>402</v>
      </c>
      <c r="AL31" s="254" t="s">
        <v>413</v>
      </c>
      <c r="AM31" s="250">
        <v>44926</v>
      </c>
      <c r="AN31" s="387" t="s">
        <v>429</v>
      </c>
      <c r="AO31" s="387" t="s">
        <v>428</v>
      </c>
      <c r="AP31" s="387" t="s">
        <v>430</v>
      </c>
    </row>
    <row r="32" spans="1:42" s="203" customFormat="1" ht="37.5" customHeight="1" x14ac:dyDescent="0.2">
      <c r="A32" s="386"/>
      <c r="B32" s="387"/>
      <c r="C32" s="387"/>
      <c r="D32" s="387"/>
      <c r="E32" s="387"/>
      <c r="F32" s="387"/>
      <c r="G32" s="387"/>
      <c r="H32" s="387"/>
      <c r="I32" s="387"/>
      <c r="J32" s="387"/>
      <c r="K32" s="387"/>
      <c r="L32" s="391"/>
      <c r="M32" s="385"/>
      <c r="N32" s="340"/>
      <c r="O32" s="384"/>
      <c r="P32" s="340">
        <f t="shared" ref="P32:P36" si="29">IF(NOT(ISERROR(MATCH(O32,_xlfn.ANCHORARRAY(E43),0))),N45&amp;"Por favor no seleccionar los criterios de impacto",O32)</f>
        <v>0</v>
      </c>
      <c r="Q32" s="385"/>
      <c r="R32" s="340"/>
      <c r="S32" s="341"/>
      <c r="T32" s="230">
        <v>2</v>
      </c>
      <c r="U32" s="192"/>
      <c r="V32" s="194" t="str">
        <f>IF(OR(W32="Preventivo",W32="Detectivo"),"Probabilidad",IF(W32="Correctivo","Impacto",""))</f>
        <v/>
      </c>
      <c r="W32" s="195"/>
      <c r="X32" s="195"/>
      <c r="Y32" s="196" t="str">
        <f t="shared" ref="Y32:Y36" si="30">IF(AND(W32="Preventivo",X32="Automático"),"50%",IF(AND(W32="Preventivo",X32="Manual"),"40%",IF(AND(W32="Detectivo",X32="Automático"),"40%",IF(AND(W32="Detectivo",X32="Manual"),"30%",IF(AND(W32="Correctivo",X32="Automático"),"35%",IF(AND(W32="Correctivo",X32="Manual"),"25%",""))))))</f>
        <v/>
      </c>
      <c r="Z32" s="195"/>
      <c r="AA32" s="195"/>
      <c r="AB32" s="195"/>
      <c r="AC32" s="197" t="str">
        <f>IFERROR(IF(AND(V31="Probabilidad",V32="Probabilidad"),(AE31-(+AE31*Y32)),IF(V32="Probabilidad",(N31-(+N31*Y32)),IF(V32="Impacto",AE31,""))),"")</f>
        <v/>
      </c>
      <c r="AD32" s="198" t="str">
        <f t="shared" si="2"/>
        <v/>
      </c>
      <c r="AE32" s="196" t="str">
        <f t="shared" ref="AE32:AE36" si="31">+AC32</f>
        <v/>
      </c>
      <c r="AF32" s="198" t="str">
        <f t="shared" si="4"/>
        <v/>
      </c>
      <c r="AG32" s="196" t="str">
        <f t="shared" ref="AG32" si="32">IFERROR(IF(AND(V31="Impacto",V32="Impacto"),(AG31-(+AG31*Y32)),IF(V32="Impacto",($R$13-(+$R$13*Y32)),IF(V32="Probabilidad",AG31,""))),"")</f>
        <v/>
      </c>
      <c r="AH32" s="199" t="str">
        <f t="shared" ref="AH32:AH33" si="33">IFERROR(IF(OR(AND(AD32="Muy Baja",AF32="Leve"),AND(AD32="Muy Baja",AF32="Menor"),AND(AD32="Baja",AF32="Leve")),"Bajo",IF(OR(AND(AD32="Muy baja",AF32="Moderado"),AND(AD32="Baja",AF32="Menor"),AND(AD32="Baja",AF32="Moderado"),AND(AD32="Media",AF32="Leve"),AND(AD32="Media",AF32="Menor"),AND(AD32="Media",AF32="Moderado"),AND(AD32="Alta",AF32="Leve"),AND(AD32="Alta",AF32="Menor")),"Moderado",IF(OR(AND(AD32="Muy Baja",AF32="Mayor"),AND(AD32="Baja",AF32="Mayor"),AND(AD32="Media",AF32="Mayor"),AND(AD32="Alta",AF32="Moderado"),AND(AD32="Alta",AF32="Mayor"),AND(AD32="Muy Alta",AF32="Leve"),AND(AD32="Muy Alta",AF32="Menor"),AND(AD32="Muy Alta",AF32="Moderado"),AND(AD32="Muy Alta",AF32="Mayor")),"Alto",IF(OR(AND(AD32="Muy Baja",AF32="Catastrófico"),AND(AD32="Baja",AF32="Catastrófico"),AND(AD32="Media",AF32="Catastrófico"),AND(AD32="Alta",AF32="Catastrófico"),AND(AD32="Muy Alta",AF32="Catastrófico")),"Extremo","")))),"")</f>
        <v/>
      </c>
      <c r="AI32" s="200"/>
      <c r="AJ32" s="191"/>
      <c r="AK32" s="201"/>
      <c r="AL32" s="201"/>
      <c r="AM32" s="202"/>
      <c r="AN32" s="387"/>
      <c r="AO32" s="387"/>
      <c r="AP32" s="387"/>
    </row>
    <row r="33" spans="1:42" s="203" customFormat="1" ht="37.5" customHeight="1" x14ac:dyDescent="0.2">
      <c r="A33" s="386"/>
      <c r="B33" s="387"/>
      <c r="C33" s="387"/>
      <c r="D33" s="387"/>
      <c r="E33" s="387"/>
      <c r="F33" s="387"/>
      <c r="G33" s="387"/>
      <c r="H33" s="387"/>
      <c r="I33" s="387"/>
      <c r="J33" s="387"/>
      <c r="K33" s="387"/>
      <c r="L33" s="391"/>
      <c r="M33" s="385"/>
      <c r="N33" s="340"/>
      <c r="O33" s="384"/>
      <c r="P33" s="340">
        <f t="shared" si="29"/>
        <v>0</v>
      </c>
      <c r="Q33" s="385"/>
      <c r="R33" s="340"/>
      <c r="S33" s="341"/>
      <c r="T33" s="230">
        <v>3</v>
      </c>
      <c r="U33" s="193"/>
      <c r="V33" s="194" t="str">
        <f>IF(OR(W33="Preventivo",W33="Detectivo"),"Probabilidad",IF(W33="Correctivo","Impacto",""))</f>
        <v/>
      </c>
      <c r="W33" s="195"/>
      <c r="X33" s="195"/>
      <c r="Y33" s="196" t="str">
        <f t="shared" si="30"/>
        <v/>
      </c>
      <c r="Z33" s="195"/>
      <c r="AA33" s="195"/>
      <c r="AB33" s="195"/>
      <c r="AC33" s="197" t="str">
        <f>IFERROR(IF(AND(V32="Probabilidad",V33="Probabilidad"),(AE32-(+AE32*Y33)),IF(AND(V32="Impacto",V33="Probabilidad"),(AE31-(+AE31*Y33)),IF(V33="Impacto",AE32,""))),"")</f>
        <v/>
      </c>
      <c r="AD33" s="198" t="str">
        <f t="shared" si="2"/>
        <v/>
      </c>
      <c r="AE33" s="196" t="str">
        <f t="shared" si="31"/>
        <v/>
      </c>
      <c r="AF33" s="198" t="str">
        <f t="shared" si="4"/>
        <v/>
      </c>
      <c r="AG33" s="196" t="str">
        <f t="shared" ref="AG33" si="34">IFERROR(IF(AND(V32="Impacto",V33="Impacto"),(AG32-(+AG32*Y33)),IF(AND(V32="Probabilidad",V33="Impacto"),(AG31-(+AG31*Y33)),IF(V33="Probabilidad",AG32,""))),"")</f>
        <v/>
      </c>
      <c r="AH33" s="199" t="str">
        <f t="shared" si="33"/>
        <v/>
      </c>
      <c r="AI33" s="200"/>
      <c r="AJ33" s="191"/>
      <c r="AK33" s="201"/>
      <c r="AL33" s="201"/>
      <c r="AM33" s="202"/>
      <c r="AN33" s="387"/>
      <c r="AO33" s="387"/>
      <c r="AP33" s="387"/>
    </row>
    <row r="34" spans="1:42" s="203" customFormat="1" ht="37.5" customHeight="1" x14ac:dyDescent="0.2">
      <c r="A34" s="386"/>
      <c r="B34" s="387"/>
      <c r="C34" s="387"/>
      <c r="D34" s="387"/>
      <c r="E34" s="387"/>
      <c r="F34" s="387"/>
      <c r="G34" s="387"/>
      <c r="H34" s="387"/>
      <c r="I34" s="387"/>
      <c r="J34" s="387"/>
      <c r="K34" s="387"/>
      <c r="L34" s="391"/>
      <c r="M34" s="385"/>
      <c r="N34" s="340"/>
      <c r="O34" s="384"/>
      <c r="P34" s="340">
        <f t="shared" si="29"/>
        <v>0</v>
      </c>
      <c r="Q34" s="385"/>
      <c r="R34" s="340"/>
      <c r="S34" s="341"/>
      <c r="T34" s="230">
        <v>4</v>
      </c>
      <c r="U34" s="192"/>
      <c r="V34" s="194" t="str">
        <f t="shared" ref="V34:V36" si="35">IF(OR(W34="Preventivo",W34="Detectivo"),"Probabilidad",IF(W34="Correctivo","Impacto",""))</f>
        <v/>
      </c>
      <c r="W34" s="195"/>
      <c r="X34" s="195"/>
      <c r="Y34" s="196" t="str">
        <f t="shared" si="30"/>
        <v/>
      </c>
      <c r="Z34" s="195"/>
      <c r="AA34" s="195"/>
      <c r="AB34" s="195"/>
      <c r="AC34" s="197" t="str">
        <f t="shared" ref="AC34:AC36" si="36">IFERROR(IF(AND(V33="Probabilidad",V34="Probabilidad"),(AE33-(+AE33*Y34)),IF(AND(V33="Impacto",V34="Probabilidad"),(AE32-(+AE32*Y34)),IF(V34="Impacto",AE33,""))),"")</f>
        <v/>
      </c>
      <c r="AD34" s="198" t="str">
        <f t="shared" si="2"/>
        <v/>
      </c>
      <c r="AE34" s="196" t="str">
        <f t="shared" si="31"/>
        <v/>
      </c>
      <c r="AF34" s="198" t="str">
        <f t="shared" si="4"/>
        <v/>
      </c>
      <c r="AG34" s="196" t="str">
        <f t="shared" si="14"/>
        <v/>
      </c>
      <c r="AH34" s="199" t="str">
        <f>IFERROR(IF(OR(AND(AD34="Muy Baja",AF34="Leve"),AND(AD34="Muy Baja",AF34="Menor"),AND(AD34="Baja",AF34="Leve")),"Bajo",IF(OR(AND(AD34="Muy baja",AF34="Moderado"),AND(AD34="Baja",AF34="Menor"),AND(AD34="Baja",AF34="Moderado"),AND(AD34="Media",AF34="Leve"),AND(AD34="Media",AF34="Menor"),AND(AD34="Media",AF34="Moderado"),AND(AD34="Alta",AF34="Leve"),AND(AD34="Alta",AF34="Menor")),"Moderado",IF(OR(AND(AD34="Muy Baja",AF34="Mayor"),AND(AD34="Baja",AF34="Mayor"),AND(AD34="Media",AF34="Mayor"),AND(AD34="Alta",AF34="Moderado"),AND(AD34="Alta",AF34="Mayor"),AND(AD34="Muy Alta",AF34="Leve"),AND(AD34="Muy Alta",AF34="Menor"),AND(AD34="Muy Alta",AF34="Moderado"),AND(AD34="Muy Alta",AF34="Mayor")),"Alto",IF(OR(AND(AD34="Muy Baja",AF34="Catastrófico"),AND(AD34="Baja",AF34="Catastrófico"),AND(AD34="Media",AF34="Catastrófico"),AND(AD34="Alta",AF34="Catastrófico"),AND(AD34="Muy Alta",AF34="Catastrófico")),"Extremo","")))),"")</f>
        <v/>
      </c>
      <c r="AI34" s="200"/>
      <c r="AJ34" s="191"/>
      <c r="AK34" s="201"/>
      <c r="AL34" s="201"/>
      <c r="AM34" s="202"/>
      <c r="AN34" s="387"/>
      <c r="AO34" s="387"/>
      <c r="AP34" s="387"/>
    </row>
    <row r="35" spans="1:42" s="203" customFormat="1" ht="37.5" customHeight="1" x14ac:dyDescent="0.2">
      <c r="A35" s="386"/>
      <c r="B35" s="387"/>
      <c r="C35" s="387"/>
      <c r="D35" s="387"/>
      <c r="E35" s="387"/>
      <c r="F35" s="387"/>
      <c r="G35" s="387"/>
      <c r="H35" s="387"/>
      <c r="I35" s="387"/>
      <c r="J35" s="387"/>
      <c r="K35" s="387"/>
      <c r="L35" s="391"/>
      <c r="M35" s="385"/>
      <c r="N35" s="340"/>
      <c r="O35" s="384"/>
      <c r="P35" s="340">
        <f t="shared" si="29"/>
        <v>0</v>
      </c>
      <c r="Q35" s="385"/>
      <c r="R35" s="340"/>
      <c r="S35" s="341"/>
      <c r="T35" s="230">
        <v>5</v>
      </c>
      <c r="U35" s="192"/>
      <c r="V35" s="194" t="str">
        <f t="shared" si="35"/>
        <v/>
      </c>
      <c r="W35" s="195"/>
      <c r="X35" s="195"/>
      <c r="Y35" s="196" t="str">
        <f t="shared" si="30"/>
        <v/>
      </c>
      <c r="Z35" s="195"/>
      <c r="AA35" s="195"/>
      <c r="AB35" s="195"/>
      <c r="AC35" s="197" t="str">
        <f t="shared" si="36"/>
        <v/>
      </c>
      <c r="AD35" s="198" t="str">
        <f>IFERROR(IF(AC35="","",IF(AC35&lt;=0.2,"Muy Baja",IF(AC35&lt;=0.4,"Baja",IF(AC35&lt;=0.6,"Media",IF(AC35&lt;=0.8,"Alta","Muy Alta"))))),"")</f>
        <v/>
      </c>
      <c r="AE35" s="196" t="str">
        <f t="shared" si="31"/>
        <v/>
      </c>
      <c r="AF35" s="198" t="str">
        <f t="shared" si="4"/>
        <v/>
      </c>
      <c r="AG35" s="196" t="str">
        <f t="shared" si="14"/>
        <v/>
      </c>
      <c r="AH35" s="199" t="str">
        <f t="shared" ref="AH35:AH36" si="37">IFERROR(IF(OR(AND(AD35="Muy Baja",AF35="Leve"),AND(AD35="Muy Baja",AF35="Menor"),AND(AD35="Baja",AF35="Leve")),"Bajo",IF(OR(AND(AD35="Muy baja",AF35="Moderado"),AND(AD35="Baja",AF35="Menor"),AND(AD35="Baja",AF35="Moderado"),AND(AD35="Media",AF35="Leve"),AND(AD35="Media",AF35="Menor"),AND(AD35="Media",AF35="Moderado"),AND(AD35="Alta",AF35="Leve"),AND(AD35="Alta",AF35="Menor")),"Moderado",IF(OR(AND(AD35="Muy Baja",AF35="Mayor"),AND(AD35="Baja",AF35="Mayor"),AND(AD35="Media",AF35="Mayor"),AND(AD35="Alta",AF35="Moderado"),AND(AD35="Alta",AF35="Mayor"),AND(AD35="Muy Alta",AF35="Leve"),AND(AD35="Muy Alta",AF35="Menor"),AND(AD35="Muy Alta",AF35="Moderado"),AND(AD35="Muy Alta",AF35="Mayor")),"Alto",IF(OR(AND(AD35="Muy Baja",AF35="Catastrófico"),AND(AD35="Baja",AF35="Catastrófico"),AND(AD35="Media",AF35="Catastrófico"),AND(AD35="Alta",AF35="Catastrófico"),AND(AD35="Muy Alta",AF35="Catastrófico")),"Extremo","")))),"")</f>
        <v/>
      </c>
      <c r="AI35" s="200"/>
      <c r="AJ35" s="191"/>
      <c r="AK35" s="201"/>
      <c r="AL35" s="201"/>
      <c r="AM35" s="202"/>
      <c r="AN35" s="387"/>
      <c r="AO35" s="387"/>
      <c r="AP35" s="387"/>
    </row>
    <row r="36" spans="1:42" s="203" customFormat="1" ht="37.5" customHeight="1" x14ac:dyDescent="0.2">
      <c r="A36" s="386"/>
      <c r="B36" s="387"/>
      <c r="C36" s="387"/>
      <c r="D36" s="387"/>
      <c r="E36" s="387"/>
      <c r="F36" s="387"/>
      <c r="G36" s="387"/>
      <c r="H36" s="387"/>
      <c r="I36" s="387"/>
      <c r="J36" s="387"/>
      <c r="K36" s="387"/>
      <c r="L36" s="391"/>
      <c r="M36" s="385"/>
      <c r="N36" s="340"/>
      <c r="O36" s="384"/>
      <c r="P36" s="340">
        <f t="shared" si="29"/>
        <v>0</v>
      </c>
      <c r="Q36" s="385"/>
      <c r="R36" s="340"/>
      <c r="S36" s="341"/>
      <c r="T36" s="230">
        <v>6</v>
      </c>
      <c r="U36" s="192"/>
      <c r="V36" s="194" t="str">
        <f t="shared" si="35"/>
        <v/>
      </c>
      <c r="W36" s="195"/>
      <c r="X36" s="195"/>
      <c r="Y36" s="196" t="str">
        <f t="shared" si="30"/>
        <v/>
      </c>
      <c r="Z36" s="195"/>
      <c r="AA36" s="195"/>
      <c r="AB36" s="195"/>
      <c r="AC36" s="197" t="str">
        <f t="shared" si="36"/>
        <v/>
      </c>
      <c r="AD36" s="198" t="str">
        <f t="shared" si="2"/>
        <v/>
      </c>
      <c r="AE36" s="196" t="str">
        <f t="shared" si="31"/>
        <v/>
      </c>
      <c r="AF36" s="198" t="str">
        <f t="shared" si="4"/>
        <v/>
      </c>
      <c r="AG36" s="196" t="str">
        <f t="shared" si="14"/>
        <v/>
      </c>
      <c r="AH36" s="199" t="str">
        <f t="shared" si="37"/>
        <v/>
      </c>
      <c r="AI36" s="200"/>
      <c r="AJ36" s="191"/>
      <c r="AK36" s="201"/>
      <c r="AL36" s="201"/>
      <c r="AM36" s="202"/>
      <c r="AN36" s="387"/>
      <c r="AO36" s="387"/>
      <c r="AP36" s="387"/>
    </row>
    <row r="37" spans="1:42" s="203" customFormat="1" ht="37.5" customHeight="1" x14ac:dyDescent="0.2">
      <c r="A37" s="386">
        <v>5</v>
      </c>
      <c r="B37" s="387"/>
      <c r="C37" s="387"/>
      <c r="D37" s="387"/>
      <c r="E37" s="387"/>
      <c r="F37" s="387"/>
      <c r="G37" s="387"/>
      <c r="H37" s="387"/>
      <c r="I37" s="387"/>
      <c r="J37" s="387"/>
      <c r="K37" s="387"/>
      <c r="L37" s="391"/>
      <c r="M37" s="385" t="str">
        <f>IF(L37&lt;=0,"",IF(L37&lt;=2,"Muy Baja",IF(L37&lt;=24,"Baja",IF(L37&lt;=500,"Media",IF(L37&lt;=5000,"Alta","Muy Alta")))))</f>
        <v/>
      </c>
      <c r="N37" s="340" t="str">
        <f>IF(M37="","",IF(M37="Muy Baja",0.2,IF(M37="Baja",0.4,IF(M37="Media",0.6,IF(M37="Alta",0.8,IF(M37="Muy Alta",1,))))))</f>
        <v/>
      </c>
      <c r="O37" s="384"/>
      <c r="P37" s="340">
        <f>IF(NOT(ISERROR(MATCH(O37,'Tabla Impacto'!$B$222:$B$224,0))),'Tabla Impacto'!$F$224&amp;"Por favor no seleccionar los criterios de impacto(Afectación Económica o presupuestal y Pérdida Reputacional)",O37)</f>
        <v>0</v>
      </c>
      <c r="Q37" s="385" t="str">
        <f>IF(OR(P37='Tabla Impacto'!$C$12,P37='Tabla Impacto'!$D$12),"Leve",IF(OR(P37='Tabla Impacto'!$C$13,P37='Tabla Impacto'!$D$13),"Menor",IF(OR(P37='Tabla Impacto'!$C$14,P37='Tabla Impacto'!$D$14),"Moderado",IF(OR(P37='Tabla Impacto'!$C$15,P37='Tabla Impacto'!$D$15),"Mayor",IF(OR(P37='Tabla Impacto'!$C$16,P37='Tabla Impacto'!$D$16),"Catastrófico","")))))</f>
        <v/>
      </c>
      <c r="R37" s="340" t="str">
        <f>IF(Q37="","",IF(Q37="Leve",0.2,IF(Q37="Menor",0.4,IF(Q37="Moderado",0.6,IF(Q37="Mayor",0.8,IF(Q37="Catastrófico",1,))))))</f>
        <v/>
      </c>
      <c r="S37" s="341" t="str">
        <f>IF(OR(AND(M37="Muy Baja",Q37="Leve"),AND(M37="Muy Baja",Q37="Menor"),AND(M37="Baja",Q37="Leve")),"Bajo",IF(OR(AND(M37="Muy baja",Q37="Moderado"),AND(M37="Baja",Q37="Menor"),AND(M37="Baja",Q37="Moderado"),AND(M37="Media",Q37="Leve"),AND(M37="Media",Q37="Menor"),AND(M37="Media",Q37="Moderado"),AND(M37="Alta",Q37="Leve"),AND(M37="Alta",Q37="Menor")),"Moderado",IF(OR(AND(M37="Muy Baja",Q37="Mayor"),AND(M37="Baja",Q37="Mayor"),AND(M37="Media",Q37="Mayor"),AND(M37="Alta",Q37="Moderado"),AND(M37="Alta",Q37="Mayor"),AND(M37="Muy Alta",Q37="Leve"),AND(M37="Muy Alta",Q37="Menor"),AND(M37="Muy Alta",Q37="Moderado"),AND(M37="Muy Alta",Q37="Mayor")),"Alto",IF(OR(AND(M37="Muy Baja",Q37="Catastrófico"),AND(M37="Baja",Q37="Catastrófico"),AND(M37="Media",Q37="Catastrófico"),AND(M37="Alta",Q37="Catastrófico"),AND(M37="Muy Alta",Q37="Catastrófico")),"Extremo",""))))</f>
        <v/>
      </c>
      <c r="T37" s="230">
        <v>1</v>
      </c>
      <c r="U37" s="192"/>
      <c r="V37" s="194" t="str">
        <f>IF(OR(W37="Preventivo",W37="Detectivo"),"Probabilidad",IF(W37="Correctivo","Impacto",""))</f>
        <v/>
      </c>
      <c r="W37" s="195"/>
      <c r="X37" s="195"/>
      <c r="Y37" s="196" t="str">
        <f>IF(AND(W37="Preventivo",X37="Automático"),"50%",IF(AND(W37="Preventivo",X37="Manual"),"40%",IF(AND(W37="Detectivo",X37="Automático"),"40%",IF(AND(W37="Detectivo",X37="Manual"),"30%",IF(AND(W37="Correctivo",X37="Automático"),"35%",IF(AND(W37="Correctivo",X37="Manual"),"25%",""))))))</f>
        <v/>
      </c>
      <c r="Z37" s="195"/>
      <c r="AA37" s="195"/>
      <c r="AB37" s="195"/>
      <c r="AC37" s="197" t="str">
        <f>IFERROR(IF(V37="Probabilidad",(N37-(+N37*Y37)),IF(V37="Impacto",N37,"")),"")</f>
        <v/>
      </c>
      <c r="AD37" s="198" t="str">
        <f>IFERROR(IF(AC37="","",IF(AC37&lt;=0.2,"Muy Baja",IF(AC37&lt;=0.4,"Baja",IF(AC37&lt;=0.6,"Media",IF(AC37&lt;=0.8,"Alta","Muy Alta"))))),"")</f>
        <v/>
      </c>
      <c r="AE37" s="196" t="str">
        <f>+AC37</f>
        <v/>
      </c>
      <c r="AF37" s="198" t="str">
        <f>IFERROR(IF(AG37="","",IF(AG37&lt;=0.2,"Leve",IF(AG37&lt;=0.4,"Menor",IF(AG37&lt;=0.6,"Moderado",IF(AG37&lt;=0.8,"Mayor","Catastrófico"))))),"")</f>
        <v/>
      </c>
      <c r="AG37" s="196" t="str">
        <f t="shared" ref="AG37" si="38">IFERROR(IF(V37="Impacto",(R37-(+R37*Y37)),IF(V37="Probabilidad",R37,"")),"")</f>
        <v/>
      </c>
      <c r="AH37" s="199" t="str">
        <f>IFERROR(IF(OR(AND(AD37="Muy Baja",AF37="Leve"),AND(AD37="Muy Baja",AF37="Menor"),AND(AD37="Baja",AF37="Leve")),"Bajo",IF(OR(AND(AD37="Muy baja",AF37="Moderado"),AND(AD37="Baja",AF37="Menor"),AND(AD37="Baja",AF37="Moderado"),AND(AD37="Media",AF37="Leve"),AND(AD37="Media",AF37="Menor"),AND(AD37="Media",AF37="Moderado"),AND(AD37="Alta",AF37="Leve"),AND(AD37="Alta",AF37="Menor")),"Moderado",IF(OR(AND(AD37="Muy Baja",AF37="Mayor"),AND(AD37="Baja",AF37="Mayor"),AND(AD37="Media",AF37="Mayor"),AND(AD37="Alta",AF37="Moderado"),AND(AD37="Alta",AF37="Mayor"),AND(AD37="Muy Alta",AF37="Leve"),AND(AD37="Muy Alta",AF37="Menor"),AND(AD37="Muy Alta",AF37="Moderado"),AND(AD37="Muy Alta",AF37="Mayor")),"Alto",IF(OR(AND(AD37="Muy Baja",AF37="Catastrófico"),AND(AD37="Baja",AF37="Catastrófico"),AND(AD37="Media",AF37="Catastrófico"),AND(AD37="Alta",AF37="Catastrófico"),AND(AD37="Muy Alta",AF37="Catastrófico")),"Extremo","")))),"")</f>
        <v/>
      </c>
      <c r="AI37" s="200"/>
      <c r="AJ37" s="191"/>
      <c r="AK37" s="201"/>
      <c r="AL37" s="201"/>
      <c r="AM37" s="202"/>
      <c r="AN37" s="391"/>
      <c r="AO37" s="391"/>
      <c r="AP37" s="391"/>
    </row>
    <row r="38" spans="1:42" s="203" customFormat="1" ht="37.5" customHeight="1" x14ac:dyDescent="0.2">
      <c r="A38" s="386"/>
      <c r="B38" s="387"/>
      <c r="C38" s="387"/>
      <c r="D38" s="387"/>
      <c r="E38" s="387"/>
      <c r="F38" s="387"/>
      <c r="G38" s="387"/>
      <c r="H38" s="387"/>
      <c r="I38" s="387"/>
      <c r="J38" s="387"/>
      <c r="K38" s="387"/>
      <c r="L38" s="391"/>
      <c r="M38" s="385"/>
      <c r="N38" s="340"/>
      <c r="O38" s="384"/>
      <c r="P38" s="340">
        <f t="shared" ref="P38:P42" si="39">IF(NOT(ISERROR(MATCH(O38,_xlfn.ANCHORARRAY(E49),0))),N51&amp;"Por favor no seleccionar los criterios de impacto",O38)</f>
        <v>0</v>
      </c>
      <c r="Q38" s="385"/>
      <c r="R38" s="340"/>
      <c r="S38" s="341"/>
      <c r="T38" s="230">
        <v>2</v>
      </c>
      <c r="U38" s="192"/>
      <c r="V38" s="194" t="str">
        <f>IF(OR(W38="Preventivo",W38="Detectivo"),"Probabilidad",IF(W38="Correctivo","Impacto",""))</f>
        <v/>
      </c>
      <c r="W38" s="195"/>
      <c r="X38" s="195"/>
      <c r="Y38" s="196" t="str">
        <f t="shared" ref="Y38:Y42" si="40">IF(AND(W38="Preventivo",X38="Automático"),"50%",IF(AND(W38="Preventivo",X38="Manual"),"40%",IF(AND(W38="Detectivo",X38="Automático"),"40%",IF(AND(W38="Detectivo",X38="Manual"),"30%",IF(AND(W38="Correctivo",X38="Automático"),"35%",IF(AND(W38="Correctivo",X38="Manual"),"25%",""))))))</f>
        <v/>
      </c>
      <c r="Z38" s="195"/>
      <c r="AA38" s="195"/>
      <c r="AB38" s="195"/>
      <c r="AC38" s="197" t="str">
        <f>IFERROR(IF(AND(V37="Probabilidad",V38="Probabilidad"),(AE37-(+AE37*Y38)),IF(V38="Probabilidad",(N37-(+N37*Y38)),IF(V38="Impacto",AE37,""))),"")</f>
        <v/>
      </c>
      <c r="AD38" s="198" t="str">
        <f t="shared" si="2"/>
        <v/>
      </c>
      <c r="AE38" s="196" t="str">
        <f t="shared" ref="AE38:AE42" si="41">+AC38</f>
        <v/>
      </c>
      <c r="AF38" s="198" t="str">
        <f t="shared" si="4"/>
        <v/>
      </c>
      <c r="AG38" s="196" t="str">
        <f t="shared" ref="AG38" si="42">IFERROR(IF(AND(V37="Impacto",V38="Impacto"),(AG37-(+AG37*Y38)),IF(V38="Impacto",($R$13-(+$R$13*Y38)),IF(V38="Probabilidad",AG37,""))),"")</f>
        <v/>
      </c>
      <c r="AH38" s="199" t="str">
        <f t="shared" ref="AH38:AH39" si="43">IFERROR(IF(OR(AND(AD38="Muy Baja",AF38="Leve"),AND(AD38="Muy Baja",AF38="Menor"),AND(AD38="Baja",AF38="Leve")),"Bajo",IF(OR(AND(AD38="Muy baja",AF38="Moderado"),AND(AD38="Baja",AF38="Menor"),AND(AD38="Baja",AF38="Moderado"),AND(AD38="Media",AF38="Leve"),AND(AD38="Media",AF38="Menor"),AND(AD38="Media",AF38="Moderado"),AND(AD38="Alta",AF38="Leve"),AND(AD38="Alta",AF38="Menor")),"Moderado",IF(OR(AND(AD38="Muy Baja",AF38="Mayor"),AND(AD38="Baja",AF38="Mayor"),AND(AD38="Media",AF38="Mayor"),AND(AD38="Alta",AF38="Moderado"),AND(AD38="Alta",AF38="Mayor"),AND(AD38="Muy Alta",AF38="Leve"),AND(AD38="Muy Alta",AF38="Menor"),AND(AD38="Muy Alta",AF38="Moderado"),AND(AD38="Muy Alta",AF38="Mayor")),"Alto",IF(OR(AND(AD38="Muy Baja",AF38="Catastrófico"),AND(AD38="Baja",AF38="Catastrófico"),AND(AD38="Media",AF38="Catastrófico"),AND(AD38="Alta",AF38="Catastrófico"),AND(AD38="Muy Alta",AF38="Catastrófico")),"Extremo","")))),"")</f>
        <v/>
      </c>
      <c r="AI38" s="200"/>
      <c r="AJ38" s="191"/>
      <c r="AK38" s="201"/>
      <c r="AL38" s="201"/>
      <c r="AM38" s="202"/>
      <c r="AN38" s="391"/>
      <c r="AO38" s="391"/>
      <c r="AP38" s="391"/>
    </row>
    <row r="39" spans="1:42" s="203" customFormat="1" ht="37.5" customHeight="1" x14ac:dyDescent="0.2">
      <c r="A39" s="386"/>
      <c r="B39" s="387"/>
      <c r="C39" s="387"/>
      <c r="D39" s="387"/>
      <c r="E39" s="387"/>
      <c r="F39" s="387"/>
      <c r="G39" s="387"/>
      <c r="H39" s="387"/>
      <c r="I39" s="387"/>
      <c r="J39" s="387"/>
      <c r="K39" s="387"/>
      <c r="L39" s="391"/>
      <c r="M39" s="385"/>
      <c r="N39" s="340"/>
      <c r="O39" s="384"/>
      <c r="P39" s="340">
        <f t="shared" si="39"/>
        <v>0</v>
      </c>
      <c r="Q39" s="385"/>
      <c r="R39" s="340"/>
      <c r="S39" s="341"/>
      <c r="T39" s="230">
        <v>3</v>
      </c>
      <c r="U39" s="193"/>
      <c r="V39" s="194" t="str">
        <f>IF(OR(W39="Preventivo",W39="Detectivo"),"Probabilidad",IF(W39="Correctivo","Impacto",""))</f>
        <v/>
      </c>
      <c r="W39" s="195"/>
      <c r="X39" s="195"/>
      <c r="Y39" s="196" t="str">
        <f t="shared" si="40"/>
        <v/>
      </c>
      <c r="Z39" s="195"/>
      <c r="AA39" s="195"/>
      <c r="AB39" s="195"/>
      <c r="AC39" s="197" t="str">
        <f>IFERROR(IF(AND(V38="Probabilidad",V39="Probabilidad"),(AE38-(+AE38*Y39)),IF(AND(V38="Impacto",V39="Probabilidad"),(AE37-(+AE37*Y39)),IF(V39="Impacto",AE38,""))),"")</f>
        <v/>
      </c>
      <c r="AD39" s="198" t="str">
        <f t="shared" si="2"/>
        <v/>
      </c>
      <c r="AE39" s="196" t="str">
        <f t="shared" si="41"/>
        <v/>
      </c>
      <c r="AF39" s="198" t="str">
        <f t="shared" si="4"/>
        <v/>
      </c>
      <c r="AG39" s="196" t="str">
        <f t="shared" ref="AG39" si="44">IFERROR(IF(AND(V38="Impacto",V39="Impacto"),(AG38-(+AG38*Y39)),IF(AND(V38="Probabilidad",V39="Impacto"),(AG37-(+AG37*Y39)),IF(V39="Probabilidad",AG38,""))),"")</f>
        <v/>
      </c>
      <c r="AH39" s="199" t="str">
        <f t="shared" si="43"/>
        <v/>
      </c>
      <c r="AI39" s="200"/>
      <c r="AJ39" s="191"/>
      <c r="AK39" s="201"/>
      <c r="AL39" s="201"/>
      <c r="AM39" s="202"/>
      <c r="AN39" s="391"/>
      <c r="AO39" s="391"/>
      <c r="AP39" s="391"/>
    </row>
    <row r="40" spans="1:42" s="203" customFormat="1" ht="37.5" customHeight="1" x14ac:dyDescent="0.2">
      <c r="A40" s="386"/>
      <c r="B40" s="387"/>
      <c r="C40" s="387"/>
      <c r="D40" s="387"/>
      <c r="E40" s="387"/>
      <c r="F40" s="387"/>
      <c r="G40" s="387"/>
      <c r="H40" s="387"/>
      <c r="I40" s="387"/>
      <c r="J40" s="387"/>
      <c r="K40" s="387"/>
      <c r="L40" s="391"/>
      <c r="M40" s="385"/>
      <c r="N40" s="340"/>
      <c r="O40" s="384"/>
      <c r="P40" s="340">
        <f t="shared" si="39"/>
        <v>0</v>
      </c>
      <c r="Q40" s="385"/>
      <c r="R40" s="340"/>
      <c r="S40" s="341"/>
      <c r="T40" s="230">
        <v>4</v>
      </c>
      <c r="U40" s="192"/>
      <c r="V40" s="194" t="str">
        <f t="shared" ref="V40:V42" si="45">IF(OR(W40="Preventivo",W40="Detectivo"),"Probabilidad",IF(W40="Correctivo","Impacto",""))</f>
        <v/>
      </c>
      <c r="W40" s="195"/>
      <c r="X40" s="195"/>
      <c r="Y40" s="196" t="str">
        <f t="shared" si="40"/>
        <v/>
      </c>
      <c r="Z40" s="195"/>
      <c r="AA40" s="195"/>
      <c r="AB40" s="195"/>
      <c r="AC40" s="197" t="str">
        <f t="shared" ref="AC40:AC42" si="46">IFERROR(IF(AND(V39="Probabilidad",V40="Probabilidad"),(AE39-(+AE39*Y40)),IF(AND(V39="Impacto",V40="Probabilidad"),(AE38-(+AE38*Y40)),IF(V40="Impacto",AE39,""))),"")</f>
        <v/>
      </c>
      <c r="AD40" s="198" t="str">
        <f t="shared" si="2"/>
        <v/>
      </c>
      <c r="AE40" s="196" t="str">
        <f t="shared" si="41"/>
        <v/>
      </c>
      <c r="AF40" s="198" t="str">
        <f t="shared" si="4"/>
        <v/>
      </c>
      <c r="AG40" s="196" t="str">
        <f t="shared" si="14"/>
        <v/>
      </c>
      <c r="AH40" s="199" t="str">
        <f>IFERROR(IF(OR(AND(AD40="Muy Baja",AF40="Leve"),AND(AD40="Muy Baja",AF40="Menor"),AND(AD40="Baja",AF40="Leve")),"Bajo",IF(OR(AND(AD40="Muy baja",AF40="Moderado"),AND(AD40="Baja",AF40="Menor"),AND(AD40="Baja",AF40="Moderado"),AND(AD40="Media",AF40="Leve"),AND(AD40="Media",AF40="Menor"),AND(AD40="Media",AF40="Moderado"),AND(AD40="Alta",AF40="Leve"),AND(AD40="Alta",AF40="Menor")),"Moderado",IF(OR(AND(AD40="Muy Baja",AF40="Mayor"),AND(AD40="Baja",AF40="Mayor"),AND(AD40="Media",AF40="Mayor"),AND(AD40="Alta",AF40="Moderado"),AND(AD40="Alta",AF40="Mayor"),AND(AD40="Muy Alta",AF40="Leve"),AND(AD40="Muy Alta",AF40="Menor"),AND(AD40="Muy Alta",AF40="Moderado"),AND(AD40="Muy Alta",AF40="Mayor")),"Alto",IF(OR(AND(AD40="Muy Baja",AF40="Catastrófico"),AND(AD40="Baja",AF40="Catastrófico"),AND(AD40="Media",AF40="Catastrófico"),AND(AD40="Alta",AF40="Catastrófico"),AND(AD40="Muy Alta",AF40="Catastrófico")),"Extremo","")))),"")</f>
        <v/>
      </c>
      <c r="AI40" s="200"/>
      <c r="AJ40" s="191"/>
      <c r="AK40" s="201"/>
      <c r="AL40" s="201"/>
      <c r="AM40" s="202"/>
      <c r="AN40" s="391"/>
      <c r="AO40" s="391"/>
      <c r="AP40" s="391"/>
    </row>
    <row r="41" spans="1:42" s="203" customFormat="1" ht="37.5" customHeight="1" x14ac:dyDescent="0.2">
      <c r="A41" s="386"/>
      <c r="B41" s="387"/>
      <c r="C41" s="387"/>
      <c r="D41" s="387"/>
      <c r="E41" s="387"/>
      <c r="F41" s="387"/>
      <c r="G41" s="387"/>
      <c r="H41" s="387"/>
      <c r="I41" s="387"/>
      <c r="J41" s="387"/>
      <c r="K41" s="387"/>
      <c r="L41" s="391"/>
      <c r="M41" s="385"/>
      <c r="N41" s="340"/>
      <c r="O41" s="384"/>
      <c r="P41" s="340">
        <f t="shared" si="39"/>
        <v>0</v>
      </c>
      <c r="Q41" s="385"/>
      <c r="R41" s="340"/>
      <c r="S41" s="341"/>
      <c r="T41" s="230">
        <v>5</v>
      </c>
      <c r="U41" s="192"/>
      <c r="V41" s="194" t="str">
        <f t="shared" si="45"/>
        <v/>
      </c>
      <c r="W41" s="195"/>
      <c r="X41" s="195"/>
      <c r="Y41" s="196" t="str">
        <f t="shared" si="40"/>
        <v/>
      </c>
      <c r="Z41" s="195"/>
      <c r="AA41" s="195"/>
      <c r="AB41" s="195"/>
      <c r="AC41" s="197" t="str">
        <f t="shared" si="46"/>
        <v/>
      </c>
      <c r="AD41" s="198" t="str">
        <f t="shared" si="2"/>
        <v/>
      </c>
      <c r="AE41" s="196" t="str">
        <f t="shared" si="41"/>
        <v/>
      </c>
      <c r="AF41" s="198" t="str">
        <f t="shared" si="4"/>
        <v/>
      </c>
      <c r="AG41" s="196" t="str">
        <f t="shared" si="14"/>
        <v/>
      </c>
      <c r="AH41" s="199" t="str">
        <f t="shared" ref="AH41:AH42" si="47">IFERROR(IF(OR(AND(AD41="Muy Baja",AF41="Leve"),AND(AD41="Muy Baja",AF41="Menor"),AND(AD41="Baja",AF41="Leve")),"Bajo",IF(OR(AND(AD41="Muy baja",AF41="Moderado"),AND(AD41="Baja",AF41="Menor"),AND(AD41="Baja",AF41="Moderado"),AND(AD41="Media",AF41="Leve"),AND(AD41="Media",AF41="Menor"),AND(AD41="Media",AF41="Moderado"),AND(AD41="Alta",AF41="Leve"),AND(AD41="Alta",AF41="Menor")),"Moderado",IF(OR(AND(AD41="Muy Baja",AF41="Mayor"),AND(AD41="Baja",AF41="Mayor"),AND(AD41="Media",AF41="Mayor"),AND(AD41="Alta",AF41="Moderado"),AND(AD41="Alta",AF41="Mayor"),AND(AD41="Muy Alta",AF41="Leve"),AND(AD41="Muy Alta",AF41="Menor"),AND(AD41="Muy Alta",AF41="Moderado"),AND(AD41="Muy Alta",AF41="Mayor")),"Alto",IF(OR(AND(AD41="Muy Baja",AF41="Catastrófico"),AND(AD41="Baja",AF41="Catastrófico"),AND(AD41="Media",AF41="Catastrófico"),AND(AD41="Alta",AF41="Catastrófico"),AND(AD41="Muy Alta",AF41="Catastrófico")),"Extremo","")))),"")</f>
        <v/>
      </c>
      <c r="AI41" s="200"/>
      <c r="AJ41" s="191"/>
      <c r="AK41" s="201"/>
      <c r="AL41" s="201"/>
      <c r="AM41" s="202"/>
      <c r="AN41" s="391"/>
      <c r="AO41" s="391"/>
      <c r="AP41" s="391"/>
    </row>
    <row r="42" spans="1:42" s="203" customFormat="1" ht="37.5" customHeight="1" x14ac:dyDescent="0.2">
      <c r="A42" s="386"/>
      <c r="B42" s="387"/>
      <c r="C42" s="387"/>
      <c r="D42" s="387"/>
      <c r="E42" s="387"/>
      <c r="F42" s="387"/>
      <c r="G42" s="387"/>
      <c r="H42" s="387"/>
      <c r="I42" s="387"/>
      <c r="J42" s="387"/>
      <c r="K42" s="387"/>
      <c r="L42" s="391"/>
      <c r="M42" s="385"/>
      <c r="N42" s="340"/>
      <c r="O42" s="384"/>
      <c r="P42" s="340">
        <f t="shared" si="39"/>
        <v>0</v>
      </c>
      <c r="Q42" s="385"/>
      <c r="R42" s="340"/>
      <c r="S42" s="341"/>
      <c r="T42" s="230">
        <v>6</v>
      </c>
      <c r="U42" s="192"/>
      <c r="V42" s="194" t="str">
        <f t="shared" si="45"/>
        <v/>
      </c>
      <c r="W42" s="195"/>
      <c r="X42" s="195"/>
      <c r="Y42" s="196" t="str">
        <f t="shared" si="40"/>
        <v/>
      </c>
      <c r="Z42" s="195"/>
      <c r="AA42" s="195"/>
      <c r="AB42" s="195"/>
      <c r="AC42" s="197" t="str">
        <f t="shared" si="46"/>
        <v/>
      </c>
      <c r="AD42" s="198" t="str">
        <f t="shared" si="2"/>
        <v/>
      </c>
      <c r="AE42" s="196" t="str">
        <f t="shared" si="41"/>
        <v/>
      </c>
      <c r="AF42" s="198" t="str">
        <f t="shared" si="4"/>
        <v/>
      </c>
      <c r="AG42" s="196" t="str">
        <f t="shared" si="14"/>
        <v/>
      </c>
      <c r="AH42" s="199" t="str">
        <f t="shared" si="47"/>
        <v/>
      </c>
      <c r="AI42" s="200"/>
      <c r="AJ42" s="191"/>
      <c r="AK42" s="201"/>
      <c r="AL42" s="201"/>
      <c r="AM42" s="202"/>
      <c r="AN42" s="391"/>
      <c r="AO42" s="391"/>
      <c r="AP42" s="391"/>
    </row>
    <row r="43" spans="1:42" s="203" customFormat="1" ht="37.5" customHeight="1" x14ac:dyDescent="0.2">
      <c r="A43" s="386">
        <v>6</v>
      </c>
      <c r="B43" s="387"/>
      <c r="C43" s="387"/>
      <c r="D43" s="387"/>
      <c r="E43" s="388"/>
      <c r="F43" s="387"/>
      <c r="G43" s="387"/>
      <c r="H43" s="387"/>
      <c r="I43" s="387"/>
      <c r="J43" s="387"/>
      <c r="K43" s="387"/>
      <c r="L43" s="391"/>
      <c r="M43" s="385" t="str">
        <f>IF(L43&lt;=0,"",IF(L43&lt;=2,"Muy Baja",IF(L43&lt;=24,"Baja",IF(L43&lt;=500,"Media",IF(L43&lt;=5000,"Alta","Muy Alta")))))</f>
        <v/>
      </c>
      <c r="N43" s="340" t="str">
        <f>IF(M43="","",IF(M43="Muy Baja",0.2,IF(M43="Baja",0.4,IF(M43="Media",0.6,IF(M43="Alta",0.8,IF(M43="Muy Alta",1,))))))</f>
        <v/>
      </c>
      <c r="O43" s="384"/>
      <c r="P43" s="340">
        <f>IF(NOT(ISERROR(MATCH(O43,'Tabla Impacto'!$B$222:$B$224,0))),'Tabla Impacto'!$F$224&amp;"Por favor no seleccionar los criterios de impacto(Afectación Económica o presupuestal y Pérdida Reputacional)",O43)</f>
        <v>0</v>
      </c>
      <c r="Q43" s="385" t="str">
        <f>IF(OR(P43='Tabla Impacto'!$C$12,P43='Tabla Impacto'!$D$12),"Leve",IF(OR(P43='Tabla Impacto'!$C$13,P43='Tabla Impacto'!$D$13),"Menor",IF(OR(P43='Tabla Impacto'!$C$14,P43='Tabla Impacto'!$D$14),"Moderado",IF(OR(P43='Tabla Impacto'!$C$15,P43='Tabla Impacto'!$D$15),"Mayor",IF(OR(P43='Tabla Impacto'!$C$16,P43='Tabla Impacto'!$D$16),"Catastrófico","")))))</f>
        <v/>
      </c>
      <c r="R43" s="340" t="str">
        <f>IF(Q43="","",IF(Q43="Leve",0.2,IF(Q43="Menor",0.4,IF(Q43="Moderado",0.6,IF(Q43="Mayor",0.8,IF(Q43="Catastrófico",1,))))))</f>
        <v/>
      </c>
      <c r="S43" s="341" t="str">
        <f>IF(OR(AND(M43="Muy Baja",Q43="Leve"),AND(M43="Muy Baja",Q43="Menor"),AND(M43="Baja",Q43="Leve")),"Bajo",IF(OR(AND(M43="Muy baja",Q43="Moderado"),AND(M43="Baja",Q43="Menor"),AND(M43="Baja",Q43="Moderado"),AND(M43="Media",Q43="Leve"),AND(M43="Media",Q43="Menor"),AND(M43="Media",Q43="Moderado"),AND(M43="Alta",Q43="Leve"),AND(M43="Alta",Q43="Menor")),"Moderado",IF(OR(AND(M43="Muy Baja",Q43="Mayor"),AND(M43="Baja",Q43="Mayor"),AND(M43="Media",Q43="Mayor"),AND(M43="Alta",Q43="Moderado"),AND(M43="Alta",Q43="Mayor"),AND(M43="Muy Alta",Q43="Leve"),AND(M43="Muy Alta",Q43="Menor"),AND(M43="Muy Alta",Q43="Moderado"),AND(M43="Muy Alta",Q43="Mayor")),"Alto",IF(OR(AND(M43="Muy Baja",Q43="Catastrófico"),AND(M43="Baja",Q43="Catastrófico"),AND(M43="Media",Q43="Catastrófico"),AND(M43="Alta",Q43="Catastrófico"),AND(M43="Muy Alta",Q43="Catastrófico")),"Extremo",""))))</f>
        <v/>
      </c>
      <c r="T43" s="230">
        <v>1</v>
      </c>
      <c r="U43" s="192"/>
      <c r="V43" s="194" t="str">
        <f>IF(OR(W43="Preventivo",W43="Detectivo"),"Probabilidad",IF(W43="Correctivo","Impacto",""))</f>
        <v/>
      </c>
      <c r="W43" s="195"/>
      <c r="X43" s="195"/>
      <c r="Y43" s="196" t="str">
        <f>IF(AND(W43="Preventivo",X43="Automático"),"50%",IF(AND(W43="Preventivo",X43="Manual"),"40%",IF(AND(W43="Detectivo",X43="Automático"),"40%",IF(AND(W43="Detectivo",X43="Manual"),"30%",IF(AND(W43="Correctivo",X43="Automático"),"35%",IF(AND(W43="Correctivo",X43="Manual"),"25%",""))))))</f>
        <v/>
      </c>
      <c r="Z43" s="195"/>
      <c r="AA43" s="195"/>
      <c r="AB43" s="195"/>
      <c r="AC43" s="197" t="str">
        <f>IFERROR(IF(V43="Probabilidad",(N43-(+N43*Y43)),IF(V43="Impacto",N43,"")),"")</f>
        <v/>
      </c>
      <c r="AD43" s="198" t="str">
        <f>IFERROR(IF(AC43="","",IF(AC43&lt;=0.2,"Muy Baja",IF(AC43&lt;=0.4,"Baja",IF(AC43&lt;=0.6,"Media",IF(AC43&lt;=0.8,"Alta","Muy Alta"))))),"")</f>
        <v/>
      </c>
      <c r="AE43" s="196" t="str">
        <f>+AC43</f>
        <v/>
      </c>
      <c r="AF43" s="198" t="str">
        <f>IFERROR(IF(AG43="","",IF(AG43&lt;=0.2,"Leve",IF(AG43&lt;=0.4,"Menor",IF(AG43&lt;=0.6,"Moderado",IF(AG43&lt;=0.8,"Mayor","Catastrófico"))))),"")</f>
        <v/>
      </c>
      <c r="AG43" s="196" t="str">
        <f t="shared" ref="AG43" si="48">IFERROR(IF(V43="Impacto",(R43-(+R43*Y43)),IF(V43="Probabilidad",R43,"")),"")</f>
        <v/>
      </c>
      <c r="AH43" s="199" t="str">
        <f>IFERROR(IF(OR(AND(AD43="Muy Baja",AF43="Leve"),AND(AD43="Muy Baja",AF43="Menor"),AND(AD43="Baja",AF43="Leve")),"Bajo",IF(OR(AND(AD43="Muy baja",AF43="Moderado"),AND(AD43="Baja",AF43="Menor"),AND(AD43="Baja",AF43="Moderado"),AND(AD43="Media",AF43="Leve"),AND(AD43="Media",AF43="Menor"),AND(AD43="Media",AF43="Moderado"),AND(AD43="Alta",AF43="Leve"),AND(AD43="Alta",AF43="Menor")),"Moderado",IF(OR(AND(AD43="Muy Baja",AF43="Mayor"),AND(AD43="Baja",AF43="Mayor"),AND(AD43="Media",AF43="Mayor"),AND(AD43="Alta",AF43="Moderado"),AND(AD43="Alta",AF43="Mayor"),AND(AD43="Muy Alta",AF43="Leve"),AND(AD43="Muy Alta",AF43="Menor"),AND(AD43="Muy Alta",AF43="Moderado"),AND(AD43="Muy Alta",AF43="Mayor")),"Alto",IF(OR(AND(AD43="Muy Baja",AF43="Catastrófico"),AND(AD43="Baja",AF43="Catastrófico"),AND(AD43="Media",AF43="Catastrófico"),AND(AD43="Alta",AF43="Catastrófico"),AND(AD43="Muy Alta",AF43="Catastrófico")),"Extremo","")))),"")</f>
        <v/>
      </c>
      <c r="AI43" s="195"/>
      <c r="AJ43" s="191"/>
      <c r="AK43" s="201"/>
      <c r="AL43" s="201"/>
      <c r="AM43" s="202"/>
      <c r="AN43" s="391"/>
      <c r="AO43" s="391"/>
      <c r="AP43" s="391"/>
    </row>
    <row r="44" spans="1:42" s="203" customFormat="1" ht="37.5" customHeight="1" x14ac:dyDescent="0.2">
      <c r="A44" s="386"/>
      <c r="B44" s="387"/>
      <c r="C44" s="387"/>
      <c r="D44" s="387"/>
      <c r="E44" s="389"/>
      <c r="F44" s="387"/>
      <c r="G44" s="387"/>
      <c r="H44" s="387"/>
      <c r="I44" s="387"/>
      <c r="J44" s="387"/>
      <c r="K44" s="387"/>
      <c r="L44" s="391"/>
      <c r="M44" s="385"/>
      <c r="N44" s="340"/>
      <c r="O44" s="384"/>
      <c r="P44" s="340">
        <f t="shared" ref="P44:P48" si="49">IF(NOT(ISERROR(MATCH(O44,_xlfn.ANCHORARRAY(E55),0))),N57&amp;"Por favor no seleccionar los criterios de impacto",O44)</f>
        <v>0</v>
      </c>
      <c r="Q44" s="385"/>
      <c r="R44" s="340"/>
      <c r="S44" s="341"/>
      <c r="T44" s="230">
        <v>2</v>
      </c>
      <c r="U44" s="192"/>
      <c r="V44" s="194" t="str">
        <f>IF(OR(W44="Preventivo",W44="Detectivo"),"Probabilidad",IF(W44="Correctivo","Impacto",""))</f>
        <v/>
      </c>
      <c r="W44" s="195"/>
      <c r="X44" s="195"/>
      <c r="Y44" s="196" t="str">
        <f t="shared" ref="Y44:Y48" si="50">IF(AND(W44="Preventivo",X44="Automático"),"50%",IF(AND(W44="Preventivo",X44="Manual"),"40%",IF(AND(W44="Detectivo",X44="Automático"),"40%",IF(AND(W44="Detectivo",X44="Manual"),"30%",IF(AND(W44="Correctivo",X44="Automático"),"35%",IF(AND(W44="Correctivo",X44="Manual"),"25%",""))))))</f>
        <v/>
      </c>
      <c r="Z44" s="195"/>
      <c r="AA44" s="195"/>
      <c r="AB44" s="195"/>
      <c r="AC44" s="197" t="str">
        <f>IFERROR(IF(AND(V43="Probabilidad",V44="Probabilidad"),(AE43-(+AE43*Y44)),IF(V44="Probabilidad",(N43-(+N43*Y44)),IF(V44="Impacto",AE43,""))),"")</f>
        <v/>
      </c>
      <c r="AD44" s="198" t="str">
        <f t="shared" si="2"/>
        <v/>
      </c>
      <c r="AE44" s="196" t="str">
        <f t="shared" ref="AE44:AE48" si="51">+AC44</f>
        <v/>
      </c>
      <c r="AF44" s="198" t="str">
        <f t="shared" si="4"/>
        <v/>
      </c>
      <c r="AG44" s="196" t="str">
        <f t="shared" ref="AG44" si="52">IFERROR(IF(AND(V43="Impacto",V44="Impacto"),(AG43-(+AG43*Y44)),IF(V44="Impacto",($R$13-(+$R$13*Y44)),IF(V44="Probabilidad",AG43,""))),"")</f>
        <v/>
      </c>
      <c r="AH44" s="199" t="str">
        <f t="shared" ref="AH44:AH45" si="53">IFERROR(IF(OR(AND(AD44="Muy Baja",AF44="Leve"),AND(AD44="Muy Baja",AF44="Menor"),AND(AD44="Baja",AF44="Leve")),"Bajo",IF(OR(AND(AD44="Muy baja",AF44="Moderado"),AND(AD44="Baja",AF44="Menor"),AND(AD44="Baja",AF44="Moderado"),AND(AD44="Media",AF44="Leve"),AND(AD44="Media",AF44="Menor"),AND(AD44="Media",AF44="Moderado"),AND(AD44="Alta",AF44="Leve"),AND(AD44="Alta",AF44="Menor")),"Moderado",IF(OR(AND(AD44="Muy Baja",AF44="Mayor"),AND(AD44="Baja",AF44="Mayor"),AND(AD44="Media",AF44="Mayor"),AND(AD44="Alta",AF44="Moderado"),AND(AD44="Alta",AF44="Mayor"),AND(AD44="Muy Alta",AF44="Leve"),AND(AD44="Muy Alta",AF44="Menor"),AND(AD44="Muy Alta",AF44="Moderado"),AND(AD44="Muy Alta",AF44="Mayor")),"Alto",IF(OR(AND(AD44="Muy Baja",AF44="Catastrófico"),AND(AD44="Baja",AF44="Catastrófico"),AND(AD44="Media",AF44="Catastrófico"),AND(AD44="Alta",AF44="Catastrófico"),AND(AD44="Muy Alta",AF44="Catastrófico")),"Extremo","")))),"")</f>
        <v/>
      </c>
      <c r="AI44" s="200"/>
      <c r="AJ44" s="191"/>
      <c r="AK44" s="201"/>
      <c r="AL44" s="201"/>
      <c r="AM44" s="202"/>
      <c r="AN44" s="391"/>
      <c r="AO44" s="391"/>
      <c r="AP44" s="391"/>
    </row>
    <row r="45" spans="1:42" s="203" customFormat="1" ht="37.5" customHeight="1" x14ac:dyDescent="0.2">
      <c r="A45" s="386"/>
      <c r="B45" s="387"/>
      <c r="C45" s="387"/>
      <c r="D45" s="387"/>
      <c r="E45" s="389"/>
      <c r="F45" s="387"/>
      <c r="G45" s="387"/>
      <c r="H45" s="387"/>
      <c r="I45" s="387"/>
      <c r="J45" s="387"/>
      <c r="K45" s="387"/>
      <c r="L45" s="391"/>
      <c r="M45" s="385"/>
      <c r="N45" s="340"/>
      <c r="O45" s="384"/>
      <c r="P45" s="340">
        <f t="shared" si="49"/>
        <v>0</v>
      </c>
      <c r="Q45" s="385"/>
      <c r="R45" s="340"/>
      <c r="S45" s="341"/>
      <c r="T45" s="230">
        <v>3</v>
      </c>
      <c r="U45" s="193"/>
      <c r="V45" s="194" t="str">
        <f>IF(OR(W45="Preventivo",W45="Detectivo"),"Probabilidad",IF(W45="Correctivo","Impacto",""))</f>
        <v/>
      </c>
      <c r="W45" s="195"/>
      <c r="X45" s="195"/>
      <c r="Y45" s="196" t="str">
        <f t="shared" si="50"/>
        <v/>
      </c>
      <c r="Z45" s="195"/>
      <c r="AA45" s="195"/>
      <c r="AB45" s="195"/>
      <c r="AC45" s="197" t="str">
        <f>IFERROR(IF(AND(V44="Probabilidad",V45="Probabilidad"),(AE44-(+AE44*Y45)),IF(AND(V44="Impacto",V45="Probabilidad"),(AE43-(+AE43*Y45)),IF(V45="Impacto",AE44,""))),"")</f>
        <v/>
      </c>
      <c r="AD45" s="198" t="str">
        <f t="shared" si="2"/>
        <v/>
      </c>
      <c r="AE45" s="196" t="str">
        <f t="shared" si="51"/>
        <v/>
      </c>
      <c r="AF45" s="198" t="str">
        <f t="shared" si="4"/>
        <v/>
      </c>
      <c r="AG45" s="196" t="str">
        <f t="shared" ref="AG45" si="54">IFERROR(IF(AND(V44="Impacto",V45="Impacto"),(AG44-(+AG44*Y45)),IF(AND(V44="Probabilidad",V45="Impacto"),(AG43-(+AG43*Y45)),IF(V45="Probabilidad",AG44,""))),"")</f>
        <v/>
      </c>
      <c r="AH45" s="199" t="str">
        <f t="shared" si="53"/>
        <v/>
      </c>
      <c r="AI45" s="200"/>
      <c r="AJ45" s="191"/>
      <c r="AK45" s="201"/>
      <c r="AL45" s="201"/>
      <c r="AM45" s="202"/>
      <c r="AN45" s="391"/>
      <c r="AO45" s="391"/>
      <c r="AP45" s="391"/>
    </row>
    <row r="46" spans="1:42" s="203" customFormat="1" ht="37.5" customHeight="1" x14ac:dyDescent="0.2">
      <c r="A46" s="386"/>
      <c r="B46" s="387"/>
      <c r="C46" s="387"/>
      <c r="D46" s="387"/>
      <c r="E46" s="389"/>
      <c r="F46" s="387"/>
      <c r="G46" s="387"/>
      <c r="H46" s="387"/>
      <c r="I46" s="387"/>
      <c r="J46" s="387"/>
      <c r="K46" s="387"/>
      <c r="L46" s="391"/>
      <c r="M46" s="385"/>
      <c r="N46" s="340"/>
      <c r="O46" s="384"/>
      <c r="P46" s="340">
        <f t="shared" si="49"/>
        <v>0</v>
      </c>
      <c r="Q46" s="385"/>
      <c r="R46" s="340"/>
      <c r="S46" s="341"/>
      <c r="T46" s="230">
        <v>4</v>
      </c>
      <c r="U46" s="192"/>
      <c r="V46" s="194" t="str">
        <f t="shared" ref="V46:V48" si="55">IF(OR(W46="Preventivo",W46="Detectivo"),"Probabilidad",IF(W46="Correctivo","Impacto",""))</f>
        <v/>
      </c>
      <c r="W46" s="195"/>
      <c r="X46" s="195"/>
      <c r="Y46" s="196" t="str">
        <f t="shared" si="50"/>
        <v/>
      </c>
      <c r="Z46" s="195"/>
      <c r="AA46" s="195"/>
      <c r="AB46" s="195"/>
      <c r="AC46" s="197" t="str">
        <f t="shared" ref="AC46:AC48" si="56">IFERROR(IF(AND(V45="Probabilidad",V46="Probabilidad"),(AE45-(+AE45*Y46)),IF(AND(V45="Impacto",V46="Probabilidad"),(AE44-(+AE44*Y46)),IF(V46="Impacto",AE45,""))),"")</f>
        <v/>
      </c>
      <c r="AD46" s="198" t="str">
        <f t="shared" si="2"/>
        <v/>
      </c>
      <c r="AE46" s="196" t="str">
        <f t="shared" si="51"/>
        <v/>
      </c>
      <c r="AF46" s="198" t="str">
        <f t="shared" si="4"/>
        <v/>
      </c>
      <c r="AG46" s="196" t="str">
        <f t="shared" si="14"/>
        <v/>
      </c>
      <c r="AH46" s="199" t="str">
        <f>IFERROR(IF(OR(AND(AD46="Muy Baja",AF46="Leve"),AND(AD46="Muy Baja",AF46="Menor"),AND(AD46="Baja",AF46="Leve")),"Bajo",IF(OR(AND(AD46="Muy baja",AF46="Moderado"),AND(AD46="Baja",AF46="Menor"),AND(AD46="Baja",AF46="Moderado"),AND(AD46="Media",AF46="Leve"),AND(AD46="Media",AF46="Menor"),AND(AD46="Media",AF46="Moderado"),AND(AD46="Alta",AF46="Leve"),AND(AD46="Alta",AF46="Menor")),"Moderado",IF(OR(AND(AD46="Muy Baja",AF46="Mayor"),AND(AD46="Baja",AF46="Mayor"),AND(AD46="Media",AF46="Mayor"),AND(AD46="Alta",AF46="Moderado"),AND(AD46="Alta",AF46="Mayor"),AND(AD46="Muy Alta",AF46="Leve"),AND(AD46="Muy Alta",AF46="Menor"),AND(AD46="Muy Alta",AF46="Moderado"),AND(AD46="Muy Alta",AF46="Mayor")),"Alto",IF(OR(AND(AD46="Muy Baja",AF46="Catastrófico"),AND(AD46="Baja",AF46="Catastrófico"),AND(AD46="Media",AF46="Catastrófico"),AND(AD46="Alta",AF46="Catastrófico"),AND(AD46="Muy Alta",AF46="Catastrófico")),"Extremo","")))),"")</f>
        <v/>
      </c>
      <c r="AI46" s="200"/>
      <c r="AJ46" s="191"/>
      <c r="AK46" s="201"/>
      <c r="AL46" s="201"/>
      <c r="AM46" s="202"/>
      <c r="AN46" s="391"/>
      <c r="AO46" s="391"/>
      <c r="AP46" s="391"/>
    </row>
    <row r="47" spans="1:42" s="203" customFormat="1" ht="37.5" customHeight="1" x14ac:dyDescent="0.2">
      <c r="A47" s="386"/>
      <c r="B47" s="387"/>
      <c r="C47" s="387"/>
      <c r="D47" s="387"/>
      <c r="E47" s="389"/>
      <c r="F47" s="387"/>
      <c r="G47" s="387"/>
      <c r="H47" s="387"/>
      <c r="I47" s="387"/>
      <c r="J47" s="387"/>
      <c r="K47" s="387"/>
      <c r="L47" s="391"/>
      <c r="M47" s="385"/>
      <c r="N47" s="340"/>
      <c r="O47" s="384"/>
      <c r="P47" s="340">
        <f t="shared" si="49"/>
        <v>0</v>
      </c>
      <c r="Q47" s="385"/>
      <c r="R47" s="340"/>
      <c r="S47" s="341"/>
      <c r="T47" s="230">
        <v>5</v>
      </c>
      <c r="U47" s="192"/>
      <c r="V47" s="194" t="str">
        <f t="shared" si="55"/>
        <v/>
      </c>
      <c r="W47" s="195"/>
      <c r="X47" s="195"/>
      <c r="Y47" s="196" t="str">
        <f t="shared" si="50"/>
        <v/>
      </c>
      <c r="Z47" s="195"/>
      <c r="AA47" s="195"/>
      <c r="AB47" s="195"/>
      <c r="AC47" s="197" t="str">
        <f t="shared" si="56"/>
        <v/>
      </c>
      <c r="AD47" s="198" t="str">
        <f t="shared" si="2"/>
        <v/>
      </c>
      <c r="AE47" s="196" t="str">
        <f t="shared" si="51"/>
        <v/>
      </c>
      <c r="AF47" s="198" t="str">
        <f t="shared" si="4"/>
        <v/>
      </c>
      <c r="AG47" s="196" t="str">
        <f t="shared" si="14"/>
        <v/>
      </c>
      <c r="AH47" s="199" t="str">
        <f t="shared" ref="AH47" si="57">IFERROR(IF(OR(AND(AD47="Muy Baja",AF47="Leve"),AND(AD47="Muy Baja",AF47="Menor"),AND(AD47="Baja",AF47="Leve")),"Bajo",IF(OR(AND(AD47="Muy baja",AF47="Moderado"),AND(AD47="Baja",AF47="Menor"),AND(AD47="Baja",AF47="Moderado"),AND(AD47="Media",AF47="Leve"),AND(AD47="Media",AF47="Menor"),AND(AD47="Media",AF47="Moderado"),AND(AD47="Alta",AF47="Leve"),AND(AD47="Alta",AF47="Menor")),"Moderado",IF(OR(AND(AD47="Muy Baja",AF47="Mayor"),AND(AD47="Baja",AF47="Mayor"),AND(AD47="Media",AF47="Mayor"),AND(AD47="Alta",AF47="Moderado"),AND(AD47="Alta",AF47="Mayor"),AND(AD47="Muy Alta",AF47="Leve"),AND(AD47="Muy Alta",AF47="Menor"),AND(AD47="Muy Alta",AF47="Moderado"),AND(AD47="Muy Alta",AF47="Mayor")),"Alto",IF(OR(AND(AD47="Muy Baja",AF47="Catastrófico"),AND(AD47="Baja",AF47="Catastrófico"),AND(AD47="Media",AF47="Catastrófico"),AND(AD47="Alta",AF47="Catastrófico"),AND(AD47="Muy Alta",AF47="Catastrófico")),"Extremo","")))),"")</f>
        <v/>
      </c>
      <c r="AI47" s="200"/>
      <c r="AJ47" s="191"/>
      <c r="AK47" s="201"/>
      <c r="AL47" s="201"/>
      <c r="AM47" s="202"/>
      <c r="AN47" s="391"/>
      <c r="AO47" s="391"/>
      <c r="AP47" s="391"/>
    </row>
    <row r="48" spans="1:42" s="203" customFormat="1" ht="37.5" customHeight="1" x14ac:dyDescent="0.2">
      <c r="A48" s="386"/>
      <c r="B48" s="387"/>
      <c r="C48" s="387"/>
      <c r="D48" s="387"/>
      <c r="E48" s="390"/>
      <c r="F48" s="387"/>
      <c r="G48" s="387"/>
      <c r="H48" s="387"/>
      <c r="I48" s="387"/>
      <c r="J48" s="387"/>
      <c r="K48" s="387"/>
      <c r="L48" s="391"/>
      <c r="M48" s="385"/>
      <c r="N48" s="340"/>
      <c r="O48" s="384"/>
      <c r="P48" s="340">
        <f t="shared" si="49"/>
        <v>0</v>
      </c>
      <c r="Q48" s="385"/>
      <c r="R48" s="340"/>
      <c r="S48" s="341"/>
      <c r="T48" s="230">
        <v>6</v>
      </c>
      <c r="U48" s="192"/>
      <c r="V48" s="194" t="str">
        <f t="shared" si="55"/>
        <v/>
      </c>
      <c r="W48" s="195"/>
      <c r="X48" s="195"/>
      <c r="Y48" s="196" t="str">
        <f t="shared" si="50"/>
        <v/>
      </c>
      <c r="Z48" s="195"/>
      <c r="AA48" s="195"/>
      <c r="AB48" s="195"/>
      <c r="AC48" s="197" t="str">
        <f t="shared" si="56"/>
        <v/>
      </c>
      <c r="AD48" s="198" t="str">
        <f t="shared" si="2"/>
        <v/>
      </c>
      <c r="AE48" s="196" t="str">
        <f t="shared" si="51"/>
        <v/>
      </c>
      <c r="AF48" s="198" t="str">
        <f>IFERROR(IF(AG48="","",IF(AG48&lt;=0.2,"Leve",IF(AG48&lt;=0.4,"Menor",IF(AG48&lt;=0.6,"Moderado",IF(AG48&lt;=0.8,"Mayor","Catastrófico"))))),"")</f>
        <v/>
      </c>
      <c r="AG48" s="196" t="str">
        <f t="shared" si="14"/>
        <v/>
      </c>
      <c r="AH48" s="199" t="str">
        <f>IFERROR(IF(OR(AND(AD48="Muy Baja",AF48="Leve"),AND(AD48="Muy Baja",AF48="Menor"),AND(AD48="Baja",AF48="Leve")),"Bajo",IF(OR(AND(AD48="Muy baja",AF48="Moderado"),AND(AD48="Baja",AF48="Menor"),AND(AD48="Baja",AF48="Moderado"),AND(AD48="Media",AF48="Leve"),AND(AD48="Media",AF48="Menor"),AND(AD48="Media",AF48="Moderado"),AND(AD48="Alta",AF48="Leve"),AND(AD48="Alta",AF48="Menor")),"Moderado",IF(OR(AND(AD48="Muy Baja",AF48="Mayor"),AND(AD48="Baja",AF48="Mayor"),AND(AD48="Media",AF48="Mayor"),AND(AD48="Alta",AF48="Moderado"),AND(AD48="Alta",AF48="Mayor"),AND(AD48="Muy Alta",AF48="Leve"),AND(AD48="Muy Alta",AF48="Menor"),AND(AD48="Muy Alta",AF48="Moderado"),AND(AD48="Muy Alta",AF48="Mayor")),"Alto",IF(OR(AND(AD48="Muy Baja",AF48="Catastrófico"),AND(AD48="Baja",AF48="Catastrófico"),AND(AD48="Media",AF48="Catastrófico"),AND(AD48="Alta",AF48="Catastrófico"),AND(AD48="Muy Alta",AF48="Catastrófico")),"Extremo","")))),"")</f>
        <v/>
      </c>
      <c r="AI48" s="200"/>
      <c r="AJ48" s="191"/>
      <c r="AK48" s="201"/>
      <c r="AL48" s="201"/>
      <c r="AM48" s="202"/>
      <c r="AN48" s="391"/>
      <c r="AO48" s="391"/>
      <c r="AP48" s="391"/>
    </row>
    <row r="49" spans="1:42" s="203" customFormat="1" ht="37.5" customHeight="1" x14ac:dyDescent="0.2">
      <c r="A49" s="386">
        <v>7</v>
      </c>
      <c r="B49" s="387"/>
      <c r="C49" s="387"/>
      <c r="D49" s="401"/>
      <c r="E49" s="387"/>
      <c r="F49" s="387"/>
      <c r="G49" s="387"/>
      <c r="H49" s="387"/>
      <c r="I49" s="387"/>
      <c r="J49" s="387"/>
      <c r="K49" s="387"/>
      <c r="L49" s="391"/>
      <c r="M49" s="385" t="str">
        <f>IF(L49&lt;=0,"",IF(L49&lt;=2,"Muy Baja",IF(L49&lt;=24,"Baja",IF(L49&lt;=500,"Media",IF(L49&lt;=5000,"Alta","Muy Alta")))))</f>
        <v/>
      </c>
      <c r="N49" s="340" t="str">
        <f>IF(M49="","",IF(M49="Muy Baja",0.2,IF(M49="Baja",0.4,IF(M49="Media",0.6,IF(M49="Alta",0.8,IF(M49="Muy Alta",1,))))))</f>
        <v/>
      </c>
      <c r="O49" s="384"/>
      <c r="P49" s="340">
        <f>IF(NOT(ISERROR(MATCH(O49,'Tabla Impacto'!$B$222:$B$224,0))),'Tabla Impacto'!$F$224&amp;"Por favor no seleccionar los criterios de impacto(Afectación Económica o presupuestal y Pérdida Reputacional)",O49)</f>
        <v>0</v>
      </c>
      <c r="Q49" s="385" t="str">
        <f>IF(OR(P49='Tabla Impacto'!$C$12,P49='Tabla Impacto'!$D$12),"Leve",IF(OR(P49='Tabla Impacto'!$C$13,P49='Tabla Impacto'!$D$13),"Menor",IF(OR(P49='Tabla Impacto'!$C$14,P49='Tabla Impacto'!$D$14),"Moderado",IF(OR(P49='Tabla Impacto'!$C$15,P49='Tabla Impacto'!$D$15),"Mayor",IF(OR(P49='Tabla Impacto'!$C$16,P49='Tabla Impacto'!$D$16),"Catastrófico","")))))</f>
        <v/>
      </c>
      <c r="R49" s="340" t="str">
        <f>IF(Q49="","",IF(Q49="Leve",0.2,IF(Q49="Menor",0.4,IF(Q49="Moderado",0.6,IF(Q49="Mayor",0.8,IF(Q49="Catastrófico",1,))))))</f>
        <v/>
      </c>
      <c r="S49" s="341" t="str">
        <f>IF(OR(AND(M49="Muy Baja",Q49="Leve"),AND(M49="Muy Baja",Q49="Menor"),AND(M49="Baja",Q49="Leve")),"Bajo",IF(OR(AND(M49="Muy baja",Q49="Moderado"),AND(M49="Baja",Q49="Menor"),AND(M49="Baja",Q49="Moderado"),AND(M49="Media",Q49="Leve"),AND(M49="Media",Q49="Menor"),AND(M49="Media",Q49="Moderado"),AND(M49="Alta",Q49="Leve"),AND(M49="Alta",Q49="Menor")),"Moderado",IF(OR(AND(M49="Muy Baja",Q49="Mayor"),AND(M49="Baja",Q49="Mayor"),AND(M49="Media",Q49="Mayor"),AND(M49="Alta",Q49="Moderado"),AND(M49="Alta",Q49="Mayor"),AND(M49="Muy Alta",Q49="Leve"),AND(M49="Muy Alta",Q49="Menor"),AND(M49="Muy Alta",Q49="Moderado"),AND(M49="Muy Alta",Q49="Mayor")),"Alto",IF(OR(AND(M49="Muy Baja",Q49="Catastrófico"),AND(M49="Baja",Q49="Catastrófico"),AND(M49="Media",Q49="Catastrófico"),AND(M49="Alta",Q49="Catastrófico"),AND(M49="Muy Alta",Q49="Catastrófico")),"Extremo",""))))</f>
        <v/>
      </c>
      <c r="T49" s="230">
        <v>1</v>
      </c>
      <c r="U49" s="204"/>
      <c r="V49" s="194" t="str">
        <f>IF(OR(W49="Preventivo",W49="Detectivo"),"Probabilidad",IF(W49="Correctivo","Impacto",""))</f>
        <v/>
      </c>
      <c r="W49" s="195"/>
      <c r="X49" s="195"/>
      <c r="Y49" s="196" t="str">
        <f>IF(AND(W49="Preventivo",X49="Automático"),"50%",IF(AND(W49="Preventivo",X49="Manual"),"40%",IF(AND(W49="Detectivo",X49="Automático"),"40%",IF(AND(W49="Detectivo",X49="Manual"),"30%",IF(AND(W49="Correctivo",X49="Automático"),"35%",IF(AND(W49="Correctivo",X49="Manual"),"25%",""))))))</f>
        <v/>
      </c>
      <c r="Z49" s="195"/>
      <c r="AA49" s="195"/>
      <c r="AB49" s="195"/>
      <c r="AC49" s="197" t="str">
        <f>IFERROR(IF(V49="Probabilidad",(N49-(+N49*Y49)),IF(V49="Impacto",N49,"")),"")</f>
        <v/>
      </c>
      <c r="AD49" s="198" t="str">
        <f>IFERROR(IF(AC49="","",IF(AC49&lt;=0.2,"Muy Baja",IF(AC49&lt;=0.4,"Baja",IF(AC49&lt;=0.6,"Media",IF(AC49&lt;=0.8,"Alta","Muy Alta"))))),"")</f>
        <v/>
      </c>
      <c r="AE49" s="196" t="str">
        <f>+AC49</f>
        <v/>
      </c>
      <c r="AF49" s="198" t="str">
        <f>IFERROR(IF(AG49="","",IF(AG49&lt;=0.2,"Leve",IF(AG49&lt;=0.4,"Menor",IF(AG49&lt;=0.6,"Moderado",IF(AG49&lt;=0.8,"Mayor","Catastrófico"))))),"")</f>
        <v/>
      </c>
      <c r="AG49" s="196" t="str">
        <f t="shared" ref="AG49" si="58">IFERROR(IF(V49="Impacto",(R49-(+R49*Y49)),IF(V49="Probabilidad",R49,"")),"")</f>
        <v/>
      </c>
      <c r="AH49" s="199" t="str">
        <f>IFERROR(IF(OR(AND(AD49="Muy Baja",AF49="Leve"),AND(AD49="Muy Baja",AF49="Menor"),AND(AD49="Baja",AF49="Leve")),"Bajo",IF(OR(AND(AD49="Muy baja",AF49="Moderado"),AND(AD49="Baja",AF49="Menor"),AND(AD49="Baja",AF49="Moderado"),AND(AD49="Media",AF49="Leve"),AND(AD49="Media",AF49="Menor"),AND(AD49="Media",AF49="Moderado"),AND(AD49="Alta",AF49="Leve"),AND(AD49="Alta",AF49="Menor")),"Moderado",IF(OR(AND(AD49="Muy Baja",AF49="Mayor"),AND(AD49="Baja",AF49="Mayor"),AND(AD49="Media",AF49="Mayor"),AND(AD49="Alta",AF49="Moderado"),AND(AD49="Alta",AF49="Mayor"),AND(AD49="Muy Alta",AF49="Leve"),AND(AD49="Muy Alta",AF49="Menor"),AND(AD49="Muy Alta",AF49="Moderado"),AND(AD49="Muy Alta",AF49="Mayor")),"Alto",IF(OR(AND(AD49="Muy Baja",AF49="Catastrófico"),AND(AD49="Baja",AF49="Catastrófico"),AND(AD49="Media",AF49="Catastrófico"),AND(AD49="Alta",AF49="Catastrófico"),AND(AD49="Muy Alta",AF49="Catastrófico")),"Extremo","")))),"")</f>
        <v/>
      </c>
      <c r="AI49" s="200"/>
      <c r="AJ49" s="191"/>
      <c r="AK49" s="201"/>
      <c r="AL49" s="201"/>
      <c r="AM49" s="202"/>
      <c r="AN49" s="391"/>
      <c r="AO49" s="391"/>
      <c r="AP49" s="391"/>
    </row>
    <row r="50" spans="1:42" s="203" customFormat="1" ht="37.5" customHeight="1" x14ac:dyDescent="0.2">
      <c r="A50" s="386"/>
      <c r="B50" s="387"/>
      <c r="C50" s="387"/>
      <c r="D50" s="401"/>
      <c r="E50" s="387"/>
      <c r="F50" s="387"/>
      <c r="G50" s="387"/>
      <c r="H50" s="387"/>
      <c r="I50" s="387"/>
      <c r="J50" s="387"/>
      <c r="K50" s="387"/>
      <c r="L50" s="391"/>
      <c r="M50" s="385"/>
      <c r="N50" s="340"/>
      <c r="O50" s="384"/>
      <c r="P50" s="340">
        <f t="shared" ref="P50:P54" si="59">IF(NOT(ISERROR(MATCH(O50,_xlfn.ANCHORARRAY(E61),0))),N63&amp;"Por favor no seleccionar los criterios de impacto",O50)</f>
        <v>0</v>
      </c>
      <c r="Q50" s="385"/>
      <c r="R50" s="340"/>
      <c r="S50" s="341"/>
      <c r="T50" s="230">
        <v>2</v>
      </c>
      <c r="U50" s="192"/>
      <c r="V50" s="194" t="str">
        <f>IF(OR(W50="Preventivo",W50="Detectivo"),"Probabilidad",IF(W50="Correctivo","Impacto",""))</f>
        <v/>
      </c>
      <c r="W50" s="195"/>
      <c r="X50" s="195"/>
      <c r="Y50" s="196" t="str">
        <f t="shared" ref="Y50:Y54" si="60">IF(AND(W50="Preventivo",X50="Automático"),"50%",IF(AND(W50="Preventivo",X50="Manual"),"40%",IF(AND(W50="Detectivo",X50="Automático"),"40%",IF(AND(W50="Detectivo",X50="Manual"),"30%",IF(AND(W50="Correctivo",X50="Automático"),"35%",IF(AND(W50="Correctivo",X50="Manual"),"25%",""))))))</f>
        <v/>
      </c>
      <c r="Z50" s="195"/>
      <c r="AA50" s="195"/>
      <c r="AB50" s="195"/>
      <c r="AC50" s="197" t="str">
        <f>IFERROR(IF(AND(V49="Probabilidad",V50="Probabilidad"),(AE49-(+AE49*Y50)),IF(V50="Probabilidad",(N49-(+N49*Y50)),IF(V50="Impacto",AE49,""))),"")</f>
        <v/>
      </c>
      <c r="AD50" s="198" t="str">
        <f t="shared" si="2"/>
        <v/>
      </c>
      <c r="AE50" s="196" t="str">
        <f t="shared" ref="AE50:AE54" si="61">+AC50</f>
        <v/>
      </c>
      <c r="AF50" s="198" t="str">
        <f t="shared" si="4"/>
        <v/>
      </c>
      <c r="AG50" s="196" t="str">
        <f t="shared" ref="AG50" si="62">IFERROR(IF(AND(V49="Impacto",V50="Impacto"),(AG49-(+AG49*Y50)),IF(V50="Impacto",($R$13-(+$R$13*Y50)),IF(V50="Probabilidad",AG49,""))),"")</f>
        <v/>
      </c>
      <c r="AH50" s="199" t="str">
        <f t="shared" ref="AH50:AH51" si="63">IFERROR(IF(OR(AND(AD50="Muy Baja",AF50="Leve"),AND(AD50="Muy Baja",AF50="Menor"),AND(AD50="Baja",AF50="Leve")),"Bajo",IF(OR(AND(AD50="Muy baja",AF50="Moderado"),AND(AD50="Baja",AF50="Menor"),AND(AD50="Baja",AF50="Moderado"),AND(AD50="Media",AF50="Leve"),AND(AD50="Media",AF50="Menor"),AND(AD50="Media",AF50="Moderado"),AND(AD50="Alta",AF50="Leve"),AND(AD50="Alta",AF50="Menor")),"Moderado",IF(OR(AND(AD50="Muy Baja",AF50="Mayor"),AND(AD50="Baja",AF50="Mayor"),AND(AD50="Media",AF50="Mayor"),AND(AD50="Alta",AF50="Moderado"),AND(AD50="Alta",AF50="Mayor"),AND(AD50="Muy Alta",AF50="Leve"),AND(AD50="Muy Alta",AF50="Menor"),AND(AD50="Muy Alta",AF50="Moderado"),AND(AD50="Muy Alta",AF50="Mayor")),"Alto",IF(OR(AND(AD50="Muy Baja",AF50="Catastrófico"),AND(AD50="Baja",AF50="Catastrófico"),AND(AD50="Media",AF50="Catastrófico"),AND(AD50="Alta",AF50="Catastrófico"),AND(AD50="Muy Alta",AF50="Catastrófico")),"Extremo","")))),"")</f>
        <v/>
      </c>
      <c r="AI50" s="200"/>
      <c r="AJ50" s="191"/>
      <c r="AK50" s="201"/>
      <c r="AL50" s="201"/>
      <c r="AM50" s="202"/>
      <c r="AN50" s="391"/>
      <c r="AO50" s="391"/>
      <c r="AP50" s="391"/>
    </row>
    <row r="51" spans="1:42" s="203" customFormat="1" ht="37.5" customHeight="1" x14ac:dyDescent="0.2">
      <c r="A51" s="386"/>
      <c r="B51" s="387"/>
      <c r="C51" s="387"/>
      <c r="D51" s="401"/>
      <c r="E51" s="387"/>
      <c r="F51" s="387"/>
      <c r="G51" s="387"/>
      <c r="H51" s="387"/>
      <c r="I51" s="387"/>
      <c r="J51" s="387"/>
      <c r="K51" s="387"/>
      <c r="L51" s="391"/>
      <c r="M51" s="385"/>
      <c r="N51" s="340"/>
      <c r="O51" s="384"/>
      <c r="P51" s="340">
        <f t="shared" si="59"/>
        <v>0</v>
      </c>
      <c r="Q51" s="385"/>
      <c r="R51" s="340"/>
      <c r="S51" s="341"/>
      <c r="T51" s="230">
        <v>3</v>
      </c>
      <c r="U51" s="193"/>
      <c r="V51" s="194" t="str">
        <f>IF(OR(W51="Preventivo",W51="Detectivo"),"Probabilidad",IF(W51="Correctivo","Impacto",""))</f>
        <v/>
      </c>
      <c r="W51" s="195"/>
      <c r="X51" s="195"/>
      <c r="Y51" s="196" t="str">
        <f t="shared" si="60"/>
        <v/>
      </c>
      <c r="Z51" s="195"/>
      <c r="AA51" s="195"/>
      <c r="AB51" s="195"/>
      <c r="AC51" s="197" t="str">
        <f>IFERROR(IF(AND(V50="Probabilidad",V51="Probabilidad"),(AE50-(+AE50*Y51)),IF(AND(V50="Impacto",V51="Probabilidad"),(AE49-(+AE49*Y51)),IF(V51="Impacto",AE50,""))),"")</f>
        <v/>
      </c>
      <c r="AD51" s="198" t="str">
        <f t="shared" si="2"/>
        <v/>
      </c>
      <c r="AE51" s="196" t="str">
        <f t="shared" si="61"/>
        <v/>
      </c>
      <c r="AF51" s="198" t="str">
        <f t="shared" si="4"/>
        <v/>
      </c>
      <c r="AG51" s="196" t="str">
        <f t="shared" ref="AG51" si="64">IFERROR(IF(AND(V50="Impacto",V51="Impacto"),(AG50-(+AG50*Y51)),IF(AND(V50="Probabilidad",V51="Impacto"),(AG49-(+AG49*Y51)),IF(V51="Probabilidad",AG50,""))),"")</f>
        <v/>
      </c>
      <c r="AH51" s="199" t="str">
        <f t="shared" si="63"/>
        <v/>
      </c>
      <c r="AI51" s="200"/>
      <c r="AJ51" s="191"/>
      <c r="AK51" s="201"/>
      <c r="AL51" s="201"/>
      <c r="AM51" s="202"/>
      <c r="AN51" s="391"/>
      <c r="AO51" s="391"/>
      <c r="AP51" s="391"/>
    </row>
    <row r="52" spans="1:42" s="203" customFormat="1" ht="37.5" customHeight="1" x14ac:dyDescent="0.2">
      <c r="A52" s="386"/>
      <c r="B52" s="387"/>
      <c r="C52" s="387"/>
      <c r="D52" s="401"/>
      <c r="E52" s="387"/>
      <c r="F52" s="387"/>
      <c r="G52" s="387"/>
      <c r="H52" s="387"/>
      <c r="I52" s="387"/>
      <c r="J52" s="387"/>
      <c r="K52" s="387"/>
      <c r="L52" s="391"/>
      <c r="M52" s="385"/>
      <c r="N52" s="340"/>
      <c r="O52" s="384"/>
      <c r="P52" s="340">
        <f t="shared" si="59"/>
        <v>0</v>
      </c>
      <c r="Q52" s="385"/>
      <c r="R52" s="340"/>
      <c r="S52" s="341"/>
      <c r="T52" s="230">
        <v>4</v>
      </c>
      <c r="U52" s="192"/>
      <c r="V52" s="194" t="str">
        <f t="shared" ref="V52:V54" si="65">IF(OR(W52="Preventivo",W52="Detectivo"),"Probabilidad",IF(W52="Correctivo","Impacto",""))</f>
        <v/>
      </c>
      <c r="W52" s="195"/>
      <c r="X52" s="195"/>
      <c r="Y52" s="196" t="str">
        <f t="shared" si="60"/>
        <v/>
      </c>
      <c r="Z52" s="195"/>
      <c r="AA52" s="195"/>
      <c r="AB52" s="195"/>
      <c r="AC52" s="197" t="str">
        <f t="shared" ref="AC52:AC54" si="66">IFERROR(IF(AND(V51="Probabilidad",V52="Probabilidad"),(AE51-(+AE51*Y52)),IF(AND(V51="Impacto",V52="Probabilidad"),(AE50-(+AE50*Y52)),IF(V52="Impacto",AE51,""))),"")</f>
        <v/>
      </c>
      <c r="AD52" s="198" t="str">
        <f t="shared" si="2"/>
        <v/>
      </c>
      <c r="AE52" s="196" t="str">
        <f t="shared" si="61"/>
        <v/>
      </c>
      <c r="AF52" s="198" t="str">
        <f t="shared" si="4"/>
        <v/>
      </c>
      <c r="AG52" s="196" t="str">
        <f t="shared" si="14"/>
        <v/>
      </c>
      <c r="AH52" s="199" t="str">
        <f>IFERROR(IF(OR(AND(AD52="Muy Baja",AF52="Leve"),AND(AD52="Muy Baja",AF52="Menor"),AND(AD52="Baja",AF52="Leve")),"Bajo",IF(OR(AND(AD52="Muy baja",AF52="Moderado"),AND(AD52="Baja",AF52="Menor"),AND(AD52="Baja",AF52="Moderado"),AND(AD52="Media",AF52="Leve"),AND(AD52="Media",AF52="Menor"),AND(AD52="Media",AF52="Moderado"),AND(AD52="Alta",AF52="Leve"),AND(AD52="Alta",AF52="Menor")),"Moderado",IF(OR(AND(AD52="Muy Baja",AF52="Mayor"),AND(AD52="Baja",AF52="Mayor"),AND(AD52="Media",AF52="Mayor"),AND(AD52="Alta",AF52="Moderado"),AND(AD52="Alta",AF52="Mayor"),AND(AD52="Muy Alta",AF52="Leve"),AND(AD52="Muy Alta",AF52="Menor"),AND(AD52="Muy Alta",AF52="Moderado"),AND(AD52="Muy Alta",AF52="Mayor")),"Alto",IF(OR(AND(AD52="Muy Baja",AF52="Catastrófico"),AND(AD52="Baja",AF52="Catastrófico"),AND(AD52="Media",AF52="Catastrófico"),AND(AD52="Alta",AF52="Catastrófico"),AND(AD52="Muy Alta",AF52="Catastrófico")),"Extremo","")))),"")</f>
        <v/>
      </c>
      <c r="AI52" s="200"/>
      <c r="AJ52" s="191"/>
      <c r="AK52" s="201"/>
      <c r="AL52" s="201"/>
      <c r="AM52" s="202"/>
      <c r="AN52" s="391"/>
      <c r="AO52" s="391"/>
      <c r="AP52" s="391"/>
    </row>
    <row r="53" spans="1:42" s="203" customFormat="1" ht="37.5" customHeight="1" x14ac:dyDescent="0.2">
      <c r="A53" s="386"/>
      <c r="B53" s="387"/>
      <c r="C53" s="387"/>
      <c r="D53" s="401"/>
      <c r="E53" s="387"/>
      <c r="F53" s="387"/>
      <c r="G53" s="387"/>
      <c r="H53" s="387"/>
      <c r="I53" s="387"/>
      <c r="J53" s="387"/>
      <c r="K53" s="387"/>
      <c r="L53" s="391"/>
      <c r="M53" s="385"/>
      <c r="N53" s="340"/>
      <c r="O53" s="384"/>
      <c r="P53" s="340">
        <f t="shared" si="59"/>
        <v>0</v>
      </c>
      <c r="Q53" s="385"/>
      <c r="R53" s="340"/>
      <c r="S53" s="341"/>
      <c r="T53" s="230">
        <v>5</v>
      </c>
      <c r="U53" s="192"/>
      <c r="V53" s="194" t="str">
        <f t="shared" si="65"/>
        <v/>
      </c>
      <c r="W53" s="195"/>
      <c r="X53" s="195"/>
      <c r="Y53" s="196" t="str">
        <f t="shared" si="60"/>
        <v/>
      </c>
      <c r="Z53" s="195"/>
      <c r="AA53" s="195"/>
      <c r="AB53" s="195"/>
      <c r="AC53" s="197" t="str">
        <f t="shared" si="66"/>
        <v/>
      </c>
      <c r="AD53" s="198" t="str">
        <f t="shared" si="2"/>
        <v/>
      </c>
      <c r="AE53" s="196" t="str">
        <f t="shared" si="61"/>
        <v/>
      </c>
      <c r="AF53" s="198" t="str">
        <f t="shared" si="4"/>
        <v/>
      </c>
      <c r="AG53" s="196" t="str">
        <f t="shared" si="14"/>
        <v/>
      </c>
      <c r="AH53" s="199" t="str">
        <f t="shared" ref="AH53:AH54" si="67">IFERROR(IF(OR(AND(AD53="Muy Baja",AF53="Leve"),AND(AD53="Muy Baja",AF53="Menor"),AND(AD53="Baja",AF53="Leve")),"Bajo",IF(OR(AND(AD53="Muy baja",AF53="Moderado"),AND(AD53="Baja",AF53="Menor"),AND(AD53="Baja",AF53="Moderado"),AND(AD53="Media",AF53="Leve"),AND(AD53="Media",AF53="Menor"),AND(AD53="Media",AF53="Moderado"),AND(AD53="Alta",AF53="Leve"),AND(AD53="Alta",AF53="Menor")),"Moderado",IF(OR(AND(AD53="Muy Baja",AF53="Mayor"),AND(AD53="Baja",AF53="Mayor"),AND(AD53="Media",AF53="Mayor"),AND(AD53="Alta",AF53="Moderado"),AND(AD53="Alta",AF53="Mayor"),AND(AD53="Muy Alta",AF53="Leve"),AND(AD53="Muy Alta",AF53="Menor"),AND(AD53="Muy Alta",AF53="Moderado"),AND(AD53="Muy Alta",AF53="Mayor")),"Alto",IF(OR(AND(AD53="Muy Baja",AF53="Catastrófico"),AND(AD53="Baja",AF53="Catastrófico"),AND(AD53="Media",AF53="Catastrófico"),AND(AD53="Alta",AF53="Catastrófico"),AND(AD53="Muy Alta",AF53="Catastrófico")),"Extremo","")))),"")</f>
        <v/>
      </c>
      <c r="AI53" s="200"/>
      <c r="AJ53" s="191"/>
      <c r="AK53" s="201"/>
      <c r="AL53" s="201"/>
      <c r="AM53" s="202"/>
      <c r="AN53" s="391"/>
      <c r="AO53" s="391"/>
      <c r="AP53" s="391"/>
    </row>
    <row r="54" spans="1:42" s="203" customFormat="1" ht="37.5" customHeight="1" x14ac:dyDescent="0.2">
      <c r="A54" s="386"/>
      <c r="B54" s="387"/>
      <c r="C54" s="387"/>
      <c r="D54" s="401"/>
      <c r="E54" s="387"/>
      <c r="F54" s="387"/>
      <c r="G54" s="387"/>
      <c r="H54" s="387"/>
      <c r="I54" s="387"/>
      <c r="J54" s="387"/>
      <c r="K54" s="387"/>
      <c r="L54" s="391"/>
      <c r="M54" s="385"/>
      <c r="N54" s="340"/>
      <c r="O54" s="384"/>
      <c r="P54" s="340">
        <f t="shared" si="59"/>
        <v>0</v>
      </c>
      <c r="Q54" s="385"/>
      <c r="R54" s="340"/>
      <c r="S54" s="341"/>
      <c r="T54" s="230">
        <v>6</v>
      </c>
      <c r="U54" s="192"/>
      <c r="V54" s="194" t="str">
        <f t="shared" si="65"/>
        <v/>
      </c>
      <c r="W54" s="195"/>
      <c r="X54" s="195"/>
      <c r="Y54" s="196" t="str">
        <f t="shared" si="60"/>
        <v/>
      </c>
      <c r="Z54" s="195"/>
      <c r="AA54" s="195"/>
      <c r="AB54" s="195"/>
      <c r="AC54" s="197" t="str">
        <f t="shared" si="66"/>
        <v/>
      </c>
      <c r="AD54" s="198" t="str">
        <f t="shared" si="2"/>
        <v/>
      </c>
      <c r="AE54" s="196" t="str">
        <f t="shared" si="61"/>
        <v/>
      </c>
      <c r="AF54" s="198" t="str">
        <f t="shared" si="4"/>
        <v/>
      </c>
      <c r="AG54" s="196" t="str">
        <f t="shared" si="14"/>
        <v/>
      </c>
      <c r="AH54" s="199" t="str">
        <f t="shared" si="67"/>
        <v/>
      </c>
      <c r="AI54" s="200"/>
      <c r="AJ54" s="191"/>
      <c r="AK54" s="201"/>
      <c r="AL54" s="201"/>
      <c r="AM54" s="202"/>
      <c r="AN54" s="391"/>
      <c r="AO54" s="391"/>
      <c r="AP54" s="391"/>
    </row>
    <row r="55" spans="1:42" s="203" customFormat="1" ht="37.5" customHeight="1" x14ac:dyDescent="0.2">
      <c r="A55" s="386">
        <v>8</v>
      </c>
      <c r="B55" s="387"/>
      <c r="C55" s="387"/>
      <c r="D55" s="387"/>
      <c r="E55" s="387"/>
      <c r="F55" s="387"/>
      <c r="G55" s="387"/>
      <c r="H55" s="387"/>
      <c r="I55" s="387"/>
      <c r="J55" s="387"/>
      <c r="K55" s="387"/>
      <c r="L55" s="391"/>
      <c r="M55" s="385" t="str">
        <f>IF(L55&lt;=0,"",IF(L55&lt;=2,"Muy Baja",IF(L55&lt;=24,"Baja",IF(L55&lt;=500,"Media",IF(L55&lt;=5000,"Alta","Muy Alta")))))</f>
        <v/>
      </c>
      <c r="N55" s="340" t="str">
        <f>IF(M55="","",IF(M55="Muy Baja",0.2,IF(M55="Baja",0.4,IF(M55="Media",0.6,IF(M55="Alta",0.8,IF(M55="Muy Alta",1,))))))</f>
        <v/>
      </c>
      <c r="O55" s="384"/>
      <c r="P55" s="340">
        <f>IF(NOT(ISERROR(MATCH(O55,'Tabla Impacto'!$B$222:$B$224,0))),'Tabla Impacto'!$F$224&amp;"Por favor no seleccionar los criterios de impacto(Afectación Económica o presupuestal y Pérdida Reputacional)",O55)</f>
        <v>0</v>
      </c>
      <c r="Q55" s="385" t="str">
        <f>IF(OR(P55='Tabla Impacto'!$C$12,P55='Tabla Impacto'!$D$12),"Leve",IF(OR(P55='Tabla Impacto'!$C$13,P55='Tabla Impacto'!$D$13),"Menor",IF(OR(P55='Tabla Impacto'!$C$14,P55='Tabla Impacto'!$D$14),"Moderado",IF(OR(P55='Tabla Impacto'!$C$15,P55='Tabla Impacto'!$D$15),"Mayor",IF(OR(P55='Tabla Impacto'!$C$16,P55='Tabla Impacto'!$D$16),"Catastrófico","")))))</f>
        <v/>
      </c>
      <c r="R55" s="340" t="str">
        <f>IF(Q55="","",IF(Q55="Leve",0.2,IF(Q55="Menor",0.4,IF(Q55="Moderado",0.6,IF(Q55="Mayor",0.8,IF(Q55="Catastrófico",1,))))))</f>
        <v/>
      </c>
      <c r="S55" s="341" t="str">
        <f>IF(OR(AND(M55="Muy Baja",Q55="Leve"),AND(M55="Muy Baja",Q55="Menor"),AND(M55="Baja",Q55="Leve")),"Bajo",IF(OR(AND(M55="Muy baja",Q55="Moderado"),AND(M55="Baja",Q55="Menor"),AND(M55="Baja",Q55="Moderado"),AND(M55="Media",Q55="Leve"),AND(M55="Media",Q55="Menor"),AND(M55="Media",Q55="Moderado"),AND(M55="Alta",Q55="Leve"),AND(M55="Alta",Q55="Menor")),"Moderado",IF(OR(AND(M55="Muy Baja",Q55="Mayor"),AND(M55="Baja",Q55="Mayor"),AND(M55="Media",Q55="Mayor"),AND(M55="Alta",Q55="Moderado"),AND(M55="Alta",Q55="Mayor"),AND(M55="Muy Alta",Q55="Leve"),AND(M55="Muy Alta",Q55="Menor"),AND(M55="Muy Alta",Q55="Moderado"),AND(M55="Muy Alta",Q55="Mayor")),"Alto",IF(OR(AND(M55="Muy Baja",Q55="Catastrófico"),AND(M55="Baja",Q55="Catastrófico"),AND(M55="Media",Q55="Catastrófico"),AND(M55="Alta",Q55="Catastrófico"),AND(M55="Muy Alta",Q55="Catastrófico")),"Extremo",""))))</f>
        <v/>
      </c>
      <c r="T55" s="230">
        <v>1</v>
      </c>
      <c r="U55" s="192"/>
      <c r="V55" s="194" t="str">
        <f>IF(OR(W55="Preventivo",W55="Detectivo"),"Probabilidad",IF(W55="Correctivo","Impacto",""))</f>
        <v/>
      </c>
      <c r="W55" s="195"/>
      <c r="X55" s="195"/>
      <c r="Y55" s="196" t="str">
        <f>IF(AND(W55="Preventivo",X55="Automático"),"50%",IF(AND(W55="Preventivo",X55="Manual"),"40%",IF(AND(W55="Detectivo",X55="Automático"),"40%",IF(AND(W55="Detectivo",X55="Manual"),"30%",IF(AND(W55="Correctivo",X55="Automático"),"35%",IF(AND(W55="Correctivo",X55="Manual"),"25%",""))))))</f>
        <v/>
      </c>
      <c r="Z55" s="195"/>
      <c r="AA55" s="195"/>
      <c r="AB55" s="195"/>
      <c r="AC55" s="197" t="str">
        <f>IFERROR(IF(V55="Probabilidad",(N55-(+N55*Y55)),IF(V55="Impacto",N55,"")),"")</f>
        <v/>
      </c>
      <c r="AD55" s="198" t="str">
        <f>IFERROR(IF(AC55="","",IF(AC55&lt;=0.2,"Muy Baja",IF(AC55&lt;=0.4,"Baja",IF(AC55&lt;=0.6,"Media",IF(AC55&lt;=0.8,"Alta","Muy Alta"))))),"")</f>
        <v/>
      </c>
      <c r="AE55" s="196" t="str">
        <f>+AC55</f>
        <v/>
      </c>
      <c r="AF55" s="198" t="str">
        <f>IFERROR(IF(AG55="","",IF(AG55&lt;=0.2,"Leve",IF(AG55&lt;=0.4,"Menor",IF(AG55&lt;=0.6,"Moderado",IF(AG55&lt;=0.8,"Mayor","Catastrófico"))))),"")</f>
        <v/>
      </c>
      <c r="AG55" s="196" t="str">
        <f t="shared" ref="AG55" si="68">IFERROR(IF(V55="Impacto",(R55-(+R55*Y55)),IF(V55="Probabilidad",R55,"")),"")</f>
        <v/>
      </c>
      <c r="AH55" s="199" t="str">
        <f>IFERROR(IF(OR(AND(AD55="Muy Baja",AF55="Leve"),AND(AD55="Muy Baja",AF55="Menor"),AND(AD55="Baja",AF55="Leve")),"Bajo",IF(OR(AND(AD55="Muy baja",AF55="Moderado"),AND(AD55="Baja",AF55="Menor"),AND(AD55="Baja",AF55="Moderado"),AND(AD55="Media",AF55="Leve"),AND(AD55="Media",AF55="Menor"),AND(AD55="Media",AF55="Moderado"),AND(AD55="Alta",AF55="Leve"),AND(AD55="Alta",AF55="Menor")),"Moderado",IF(OR(AND(AD55="Muy Baja",AF55="Mayor"),AND(AD55="Baja",AF55="Mayor"),AND(AD55="Media",AF55="Mayor"),AND(AD55="Alta",AF55="Moderado"),AND(AD55="Alta",AF55="Mayor"),AND(AD55="Muy Alta",AF55="Leve"),AND(AD55="Muy Alta",AF55="Menor"),AND(AD55="Muy Alta",AF55="Moderado"),AND(AD55="Muy Alta",AF55="Mayor")),"Alto",IF(OR(AND(AD55="Muy Baja",AF55="Catastrófico"),AND(AD55="Baja",AF55="Catastrófico"),AND(AD55="Media",AF55="Catastrófico"),AND(AD55="Alta",AF55="Catastrófico"),AND(AD55="Muy Alta",AF55="Catastrófico")),"Extremo","")))),"")</f>
        <v/>
      </c>
      <c r="AI55" s="200"/>
      <c r="AJ55" s="191"/>
      <c r="AK55" s="201"/>
      <c r="AL55" s="201"/>
      <c r="AM55" s="202"/>
      <c r="AN55" s="391"/>
      <c r="AO55" s="391"/>
      <c r="AP55" s="391"/>
    </row>
    <row r="56" spans="1:42" s="203" customFormat="1" ht="37.5" customHeight="1" x14ac:dyDescent="0.2">
      <c r="A56" s="386"/>
      <c r="B56" s="387"/>
      <c r="C56" s="387"/>
      <c r="D56" s="387"/>
      <c r="E56" s="387"/>
      <c r="F56" s="387"/>
      <c r="G56" s="387"/>
      <c r="H56" s="387"/>
      <c r="I56" s="387"/>
      <c r="J56" s="387"/>
      <c r="K56" s="387"/>
      <c r="L56" s="391"/>
      <c r="M56" s="385"/>
      <c r="N56" s="340"/>
      <c r="O56" s="384"/>
      <c r="P56" s="340">
        <f>IF(NOT(ISERROR(MATCH(O56,_xlfn.ANCHORARRAY(E67),0))),N69&amp;"Por favor no seleccionar los criterios de impacto",O56)</f>
        <v>0</v>
      </c>
      <c r="Q56" s="385"/>
      <c r="R56" s="340"/>
      <c r="S56" s="341"/>
      <c r="T56" s="230">
        <v>2</v>
      </c>
      <c r="U56" s="192"/>
      <c r="V56" s="194" t="str">
        <f>IF(OR(W56="Preventivo",W56="Detectivo"),"Probabilidad",IF(W56="Correctivo","Impacto",""))</f>
        <v/>
      </c>
      <c r="W56" s="195"/>
      <c r="X56" s="195"/>
      <c r="Y56" s="196" t="str">
        <f t="shared" ref="Y56:Y60" si="69">IF(AND(W56="Preventivo",X56="Automático"),"50%",IF(AND(W56="Preventivo",X56="Manual"),"40%",IF(AND(W56="Detectivo",X56="Automático"),"40%",IF(AND(W56="Detectivo",X56="Manual"),"30%",IF(AND(W56="Correctivo",X56="Automático"),"35%",IF(AND(W56="Correctivo",X56="Manual"),"25%",""))))))</f>
        <v/>
      </c>
      <c r="Z56" s="195"/>
      <c r="AA56" s="195"/>
      <c r="AB56" s="195"/>
      <c r="AC56" s="197" t="str">
        <f>IFERROR(IF(AND(V55="Probabilidad",V56="Probabilidad"),(AE55-(+AE55*Y56)),IF(V56="Probabilidad",(N55-(+N55*Y56)),IF(V56="Impacto",AE55,""))),"")</f>
        <v/>
      </c>
      <c r="AD56" s="198" t="str">
        <f t="shared" si="2"/>
        <v/>
      </c>
      <c r="AE56" s="196" t="str">
        <f t="shared" ref="AE56:AE60" si="70">+AC56</f>
        <v/>
      </c>
      <c r="AF56" s="198" t="str">
        <f t="shared" si="4"/>
        <v/>
      </c>
      <c r="AG56" s="196" t="str">
        <f t="shared" ref="AG56" si="71">IFERROR(IF(AND(V55="Impacto",V56="Impacto"),(AG55-(+AG55*Y56)),IF(V56="Impacto",($R$13-(+$R$13*Y56)),IF(V56="Probabilidad",AG55,""))),"")</f>
        <v/>
      </c>
      <c r="AH56" s="199" t="str">
        <f t="shared" ref="AH56:AH57" si="72">IFERROR(IF(OR(AND(AD56="Muy Baja",AF56="Leve"),AND(AD56="Muy Baja",AF56="Menor"),AND(AD56="Baja",AF56="Leve")),"Bajo",IF(OR(AND(AD56="Muy baja",AF56="Moderado"),AND(AD56="Baja",AF56="Menor"),AND(AD56="Baja",AF56="Moderado"),AND(AD56="Media",AF56="Leve"),AND(AD56="Media",AF56="Menor"),AND(AD56="Media",AF56="Moderado"),AND(AD56="Alta",AF56="Leve"),AND(AD56="Alta",AF56="Menor")),"Moderado",IF(OR(AND(AD56="Muy Baja",AF56="Mayor"),AND(AD56="Baja",AF56="Mayor"),AND(AD56="Media",AF56="Mayor"),AND(AD56="Alta",AF56="Moderado"),AND(AD56="Alta",AF56="Mayor"),AND(AD56="Muy Alta",AF56="Leve"),AND(AD56="Muy Alta",AF56="Menor"),AND(AD56="Muy Alta",AF56="Moderado"),AND(AD56="Muy Alta",AF56="Mayor")),"Alto",IF(OR(AND(AD56="Muy Baja",AF56="Catastrófico"),AND(AD56="Baja",AF56="Catastrófico"),AND(AD56="Media",AF56="Catastrófico"),AND(AD56="Alta",AF56="Catastrófico"),AND(AD56="Muy Alta",AF56="Catastrófico")),"Extremo","")))),"")</f>
        <v/>
      </c>
      <c r="AI56" s="200"/>
      <c r="AJ56" s="191"/>
      <c r="AK56" s="201"/>
      <c r="AL56" s="201"/>
      <c r="AM56" s="202"/>
      <c r="AN56" s="391"/>
      <c r="AO56" s="391"/>
      <c r="AP56" s="391"/>
    </row>
    <row r="57" spans="1:42" s="203" customFormat="1" ht="37.5" customHeight="1" x14ac:dyDescent="0.2">
      <c r="A57" s="386"/>
      <c r="B57" s="387"/>
      <c r="C57" s="387"/>
      <c r="D57" s="387"/>
      <c r="E57" s="387"/>
      <c r="F57" s="387"/>
      <c r="G57" s="387"/>
      <c r="H57" s="387"/>
      <c r="I57" s="387"/>
      <c r="J57" s="387"/>
      <c r="K57" s="387"/>
      <c r="L57" s="391"/>
      <c r="M57" s="385"/>
      <c r="N57" s="340"/>
      <c r="O57" s="384"/>
      <c r="P57" s="340">
        <f>IF(NOT(ISERROR(MATCH(O57,_xlfn.ANCHORARRAY(E68),0))),N70&amp;"Por favor no seleccionar los criterios de impacto",O57)</f>
        <v>0</v>
      </c>
      <c r="Q57" s="385"/>
      <c r="R57" s="340"/>
      <c r="S57" s="341"/>
      <c r="T57" s="230">
        <v>3</v>
      </c>
      <c r="U57" s="193"/>
      <c r="V57" s="194" t="str">
        <f>IF(OR(W57="Preventivo",W57="Detectivo"),"Probabilidad",IF(W57="Correctivo","Impacto",""))</f>
        <v/>
      </c>
      <c r="W57" s="195"/>
      <c r="X57" s="195"/>
      <c r="Y57" s="196" t="str">
        <f t="shared" si="69"/>
        <v/>
      </c>
      <c r="Z57" s="195"/>
      <c r="AA57" s="195"/>
      <c r="AB57" s="195"/>
      <c r="AC57" s="197" t="str">
        <f>IFERROR(IF(AND(V56="Probabilidad",V57="Probabilidad"),(AE56-(+AE56*Y57)),IF(AND(V56="Impacto",V57="Probabilidad"),(AE55-(+AE55*Y57)),IF(V57="Impacto",AE56,""))),"")</f>
        <v/>
      </c>
      <c r="AD57" s="198" t="str">
        <f t="shared" si="2"/>
        <v/>
      </c>
      <c r="AE57" s="196" t="str">
        <f t="shared" si="70"/>
        <v/>
      </c>
      <c r="AF57" s="198" t="str">
        <f t="shared" si="4"/>
        <v/>
      </c>
      <c r="AG57" s="196" t="str">
        <f t="shared" ref="AG57" si="73">IFERROR(IF(AND(V56="Impacto",V57="Impacto"),(AG56-(+AG56*Y57)),IF(AND(V56="Probabilidad",V57="Impacto"),(AG55-(+AG55*Y57)),IF(V57="Probabilidad",AG56,""))),"")</f>
        <v/>
      </c>
      <c r="AH57" s="199" t="str">
        <f t="shared" si="72"/>
        <v/>
      </c>
      <c r="AI57" s="200"/>
      <c r="AJ57" s="191"/>
      <c r="AK57" s="201"/>
      <c r="AL57" s="201"/>
      <c r="AM57" s="202"/>
      <c r="AN57" s="391"/>
      <c r="AO57" s="391"/>
      <c r="AP57" s="391"/>
    </row>
    <row r="58" spans="1:42" s="203" customFormat="1" ht="37.5" customHeight="1" x14ac:dyDescent="0.2">
      <c r="A58" s="386"/>
      <c r="B58" s="387"/>
      <c r="C58" s="387"/>
      <c r="D58" s="387"/>
      <c r="E58" s="387"/>
      <c r="F58" s="387"/>
      <c r="G58" s="387"/>
      <c r="H58" s="387"/>
      <c r="I58" s="387"/>
      <c r="J58" s="387"/>
      <c r="K58" s="387"/>
      <c r="L58" s="391"/>
      <c r="M58" s="385"/>
      <c r="N58" s="340"/>
      <c r="O58" s="384"/>
      <c r="P58" s="340">
        <f>IF(NOT(ISERROR(MATCH(O58,_xlfn.ANCHORARRAY(E69),0))),N71&amp;"Por favor no seleccionar los criterios de impacto",O58)</f>
        <v>0</v>
      </c>
      <c r="Q58" s="385"/>
      <c r="R58" s="340"/>
      <c r="S58" s="341"/>
      <c r="T58" s="230">
        <v>4</v>
      </c>
      <c r="U58" s="192"/>
      <c r="V58" s="194" t="str">
        <f t="shared" ref="V58:V60" si="74">IF(OR(W58="Preventivo",W58="Detectivo"),"Probabilidad",IF(W58="Correctivo","Impacto",""))</f>
        <v/>
      </c>
      <c r="W58" s="195"/>
      <c r="X58" s="195"/>
      <c r="Y58" s="196" t="str">
        <f t="shared" si="69"/>
        <v/>
      </c>
      <c r="Z58" s="195"/>
      <c r="AA58" s="195"/>
      <c r="AB58" s="195"/>
      <c r="AC58" s="197" t="str">
        <f t="shared" ref="AC58:AC60" si="75">IFERROR(IF(AND(V57="Probabilidad",V58="Probabilidad"),(AE57-(+AE57*Y58)),IF(AND(V57="Impacto",V58="Probabilidad"),(AE56-(+AE56*Y58)),IF(V58="Impacto",AE57,""))),"")</f>
        <v/>
      </c>
      <c r="AD58" s="198" t="str">
        <f t="shared" si="2"/>
        <v/>
      </c>
      <c r="AE58" s="196" t="str">
        <f t="shared" si="70"/>
        <v/>
      </c>
      <c r="AF58" s="198" t="str">
        <f t="shared" si="4"/>
        <v/>
      </c>
      <c r="AG58" s="196" t="str">
        <f t="shared" si="14"/>
        <v/>
      </c>
      <c r="AH58" s="199" t="str">
        <f>IFERROR(IF(OR(AND(AD58="Muy Baja",AF58="Leve"),AND(AD58="Muy Baja",AF58="Menor"),AND(AD58="Baja",AF58="Leve")),"Bajo",IF(OR(AND(AD58="Muy baja",AF58="Moderado"),AND(AD58="Baja",AF58="Menor"),AND(AD58="Baja",AF58="Moderado"),AND(AD58="Media",AF58="Leve"),AND(AD58="Media",AF58="Menor"),AND(AD58="Media",AF58="Moderado"),AND(AD58="Alta",AF58="Leve"),AND(AD58="Alta",AF58="Menor")),"Moderado",IF(OR(AND(AD58="Muy Baja",AF58="Mayor"),AND(AD58="Baja",AF58="Mayor"),AND(AD58="Media",AF58="Mayor"),AND(AD58="Alta",AF58="Moderado"),AND(AD58="Alta",AF58="Mayor"),AND(AD58="Muy Alta",AF58="Leve"),AND(AD58="Muy Alta",AF58="Menor"),AND(AD58="Muy Alta",AF58="Moderado"),AND(AD58="Muy Alta",AF58="Mayor")),"Alto",IF(OR(AND(AD58="Muy Baja",AF58="Catastrófico"),AND(AD58="Baja",AF58="Catastrófico"),AND(AD58="Media",AF58="Catastrófico"),AND(AD58="Alta",AF58="Catastrófico"),AND(AD58="Muy Alta",AF58="Catastrófico")),"Extremo","")))),"")</f>
        <v/>
      </c>
      <c r="AI58" s="200"/>
      <c r="AJ58" s="191"/>
      <c r="AK58" s="201"/>
      <c r="AL58" s="201"/>
      <c r="AM58" s="202"/>
      <c r="AN58" s="391"/>
      <c r="AO58" s="391"/>
      <c r="AP58" s="391"/>
    </row>
    <row r="59" spans="1:42" s="203" customFormat="1" ht="37.5" customHeight="1" x14ac:dyDescent="0.2">
      <c r="A59" s="386"/>
      <c r="B59" s="387"/>
      <c r="C59" s="387"/>
      <c r="D59" s="387"/>
      <c r="E59" s="387"/>
      <c r="F59" s="387"/>
      <c r="G59" s="387"/>
      <c r="H59" s="387"/>
      <c r="I59" s="387"/>
      <c r="J59" s="387"/>
      <c r="K59" s="387"/>
      <c r="L59" s="391"/>
      <c r="M59" s="385"/>
      <c r="N59" s="340"/>
      <c r="O59" s="384"/>
      <c r="P59" s="340">
        <f>IF(NOT(ISERROR(MATCH(O59,_xlfn.ANCHORARRAY(E70),0))),N72&amp;"Por favor no seleccionar los criterios de impacto",O59)</f>
        <v>0</v>
      </c>
      <c r="Q59" s="385"/>
      <c r="R59" s="340"/>
      <c r="S59" s="341"/>
      <c r="T59" s="230">
        <v>5</v>
      </c>
      <c r="U59" s="192"/>
      <c r="V59" s="194" t="str">
        <f t="shared" si="74"/>
        <v/>
      </c>
      <c r="W59" s="195"/>
      <c r="X59" s="195"/>
      <c r="Y59" s="196" t="str">
        <f t="shared" si="69"/>
        <v/>
      </c>
      <c r="Z59" s="195"/>
      <c r="AA59" s="195"/>
      <c r="AB59" s="195"/>
      <c r="AC59" s="197" t="str">
        <f t="shared" si="75"/>
        <v/>
      </c>
      <c r="AD59" s="198" t="str">
        <f t="shared" si="2"/>
        <v/>
      </c>
      <c r="AE59" s="196" t="str">
        <f t="shared" si="70"/>
        <v/>
      </c>
      <c r="AF59" s="198" t="str">
        <f t="shared" si="4"/>
        <v/>
      </c>
      <c r="AG59" s="196" t="str">
        <f t="shared" si="14"/>
        <v/>
      </c>
      <c r="AH59" s="199" t="str">
        <f t="shared" ref="AH59:AH60" si="76">IFERROR(IF(OR(AND(AD59="Muy Baja",AF59="Leve"),AND(AD59="Muy Baja",AF59="Menor"),AND(AD59="Baja",AF59="Leve")),"Bajo",IF(OR(AND(AD59="Muy baja",AF59="Moderado"),AND(AD59="Baja",AF59="Menor"),AND(AD59="Baja",AF59="Moderado"),AND(AD59="Media",AF59="Leve"),AND(AD59="Media",AF59="Menor"),AND(AD59="Media",AF59="Moderado"),AND(AD59="Alta",AF59="Leve"),AND(AD59="Alta",AF59="Menor")),"Moderado",IF(OR(AND(AD59="Muy Baja",AF59="Mayor"),AND(AD59="Baja",AF59="Mayor"),AND(AD59="Media",AF59="Mayor"),AND(AD59="Alta",AF59="Moderado"),AND(AD59="Alta",AF59="Mayor"),AND(AD59="Muy Alta",AF59="Leve"),AND(AD59="Muy Alta",AF59="Menor"),AND(AD59="Muy Alta",AF59="Moderado"),AND(AD59="Muy Alta",AF59="Mayor")),"Alto",IF(OR(AND(AD59="Muy Baja",AF59="Catastrófico"),AND(AD59="Baja",AF59="Catastrófico"),AND(AD59="Media",AF59="Catastrófico"),AND(AD59="Alta",AF59="Catastrófico"),AND(AD59="Muy Alta",AF59="Catastrófico")),"Extremo","")))),"")</f>
        <v/>
      </c>
      <c r="AI59" s="200"/>
      <c r="AJ59" s="191"/>
      <c r="AK59" s="201"/>
      <c r="AL59" s="201"/>
      <c r="AM59" s="202"/>
      <c r="AN59" s="391"/>
      <c r="AO59" s="391"/>
      <c r="AP59" s="391"/>
    </row>
    <row r="60" spans="1:42" s="203" customFormat="1" ht="37.5" customHeight="1" x14ac:dyDescent="0.2">
      <c r="A60" s="386"/>
      <c r="B60" s="387"/>
      <c r="C60" s="387"/>
      <c r="D60" s="387"/>
      <c r="E60" s="387"/>
      <c r="F60" s="387"/>
      <c r="G60" s="387"/>
      <c r="H60" s="387"/>
      <c r="I60" s="387"/>
      <c r="J60" s="387"/>
      <c r="K60" s="387"/>
      <c r="L60" s="391"/>
      <c r="M60" s="385"/>
      <c r="N60" s="340"/>
      <c r="O60" s="384"/>
      <c r="P60" s="340">
        <f>IF(NOT(ISERROR(MATCH(O60,_xlfn.ANCHORARRAY(E71),0))),N73&amp;"Por favor no seleccionar los criterios de impacto",O60)</f>
        <v>0</v>
      </c>
      <c r="Q60" s="385"/>
      <c r="R60" s="340"/>
      <c r="S60" s="341"/>
      <c r="T60" s="230">
        <v>6</v>
      </c>
      <c r="U60" s="192"/>
      <c r="V60" s="194" t="str">
        <f t="shared" si="74"/>
        <v/>
      </c>
      <c r="W60" s="195"/>
      <c r="X60" s="195"/>
      <c r="Y60" s="196" t="str">
        <f t="shared" si="69"/>
        <v/>
      </c>
      <c r="Z60" s="195"/>
      <c r="AA60" s="195"/>
      <c r="AB60" s="195"/>
      <c r="AC60" s="197" t="str">
        <f t="shared" si="75"/>
        <v/>
      </c>
      <c r="AD60" s="198" t="str">
        <f t="shared" si="2"/>
        <v/>
      </c>
      <c r="AE60" s="196" t="str">
        <f t="shared" si="70"/>
        <v/>
      </c>
      <c r="AF60" s="198" t="str">
        <f t="shared" si="4"/>
        <v/>
      </c>
      <c r="AG60" s="196" t="str">
        <f t="shared" si="14"/>
        <v/>
      </c>
      <c r="AH60" s="199" t="str">
        <f t="shared" si="76"/>
        <v/>
      </c>
      <c r="AI60" s="200"/>
      <c r="AJ60" s="191"/>
      <c r="AK60" s="201"/>
      <c r="AL60" s="201"/>
      <c r="AM60" s="202"/>
      <c r="AN60" s="391"/>
      <c r="AO60" s="391"/>
      <c r="AP60" s="391"/>
    </row>
    <row r="61" spans="1:42" s="203" customFormat="1" ht="37.5" customHeight="1" x14ac:dyDescent="0.2">
      <c r="A61" s="386">
        <v>9</v>
      </c>
      <c r="B61" s="387"/>
      <c r="C61" s="387"/>
      <c r="D61" s="387"/>
      <c r="E61" s="387"/>
      <c r="F61" s="387"/>
      <c r="G61" s="387"/>
      <c r="H61" s="387"/>
      <c r="I61" s="387"/>
      <c r="J61" s="387"/>
      <c r="K61" s="387"/>
      <c r="L61" s="391"/>
      <c r="M61" s="385" t="str">
        <f>IF(L61&lt;=0,"",IF(L61&lt;=2,"Muy Baja",IF(L61&lt;=24,"Baja",IF(L61&lt;=500,"Media",IF(L61&lt;=5000,"Alta","Muy Alta")))))</f>
        <v/>
      </c>
      <c r="N61" s="340" t="str">
        <f>IF(M61="","",IF(M61="Muy Baja",0.2,IF(M61="Baja",0.4,IF(M61="Media",0.6,IF(M61="Alta",0.8,IF(M61="Muy Alta",1,))))))</f>
        <v/>
      </c>
      <c r="O61" s="384"/>
      <c r="P61" s="340">
        <f>IF(NOT(ISERROR(MATCH(O61,'Tabla Impacto'!$B$222:$B$224,0))),'Tabla Impacto'!$F$224&amp;"Por favor no seleccionar los criterios de impacto(Afectación Económica o presupuestal y Pérdida Reputacional)",O61)</f>
        <v>0</v>
      </c>
      <c r="Q61" s="385" t="str">
        <f>IF(OR(P61='Tabla Impacto'!$C$12,P61='Tabla Impacto'!$D$12),"Leve",IF(OR(P61='Tabla Impacto'!$C$13,P61='Tabla Impacto'!$D$13),"Menor",IF(OR(P61='Tabla Impacto'!$C$14,P61='Tabla Impacto'!$D$14),"Moderado",IF(OR(P61='Tabla Impacto'!$C$15,P61='Tabla Impacto'!$D$15),"Mayor",IF(OR(P61='Tabla Impacto'!$C$16,P61='Tabla Impacto'!$D$16),"Catastrófico","")))))</f>
        <v/>
      </c>
      <c r="R61" s="340" t="str">
        <f>IF(Q61="","",IF(Q61="Leve",0.2,IF(Q61="Menor",0.4,IF(Q61="Moderado",0.6,IF(Q61="Mayor",0.8,IF(Q61="Catastrófico",1,))))))</f>
        <v/>
      </c>
      <c r="S61" s="341" t="str">
        <f>IF(OR(AND(M61="Muy Baja",Q61="Leve"),AND(M61="Muy Baja",Q61="Menor"),AND(M61="Baja",Q61="Leve")),"Bajo",IF(OR(AND(M61="Muy baja",Q61="Moderado"),AND(M61="Baja",Q61="Menor"),AND(M61="Baja",Q61="Moderado"),AND(M61="Media",Q61="Leve"),AND(M61="Media",Q61="Menor"),AND(M61="Media",Q61="Moderado"),AND(M61="Alta",Q61="Leve"),AND(M61="Alta",Q61="Menor")),"Moderado",IF(OR(AND(M61="Muy Baja",Q61="Mayor"),AND(M61="Baja",Q61="Mayor"),AND(M61="Media",Q61="Mayor"),AND(M61="Alta",Q61="Moderado"),AND(M61="Alta",Q61="Mayor"),AND(M61="Muy Alta",Q61="Leve"),AND(M61="Muy Alta",Q61="Menor"),AND(M61="Muy Alta",Q61="Moderado"),AND(M61="Muy Alta",Q61="Mayor")),"Alto",IF(OR(AND(M61="Muy Baja",Q61="Catastrófico"),AND(M61="Baja",Q61="Catastrófico"),AND(M61="Media",Q61="Catastrófico"),AND(M61="Alta",Q61="Catastrófico"),AND(M61="Muy Alta",Q61="Catastrófico")),"Extremo",""))))</f>
        <v/>
      </c>
      <c r="T61" s="230">
        <v>1</v>
      </c>
      <c r="U61" s="192"/>
      <c r="V61" s="194" t="str">
        <f>IF(OR(W61="Preventivo",W61="Detectivo"),"Probabilidad",IF(W61="Correctivo","Impacto",""))</f>
        <v/>
      </c>
      <c r="W61" s="195"/>
      <c r="X61" s="195"/>
      <c r="Y61" s="196" t="str">
        <f>IF(AND(W61="Preventivo",X61="Automático"),"50%",IF(AND(W61="Preventivo",X61="Manual"),"40%",IF(AND(W61="Detectivo",X61="Automático"),"40%",IF(AND(W61="Detectivo",X61="Manual"),"30%",IF(AND(W61="Correctivo",X61="Automático"),"35%",IF(AND(W61="Correctivo",X61="Manual"),"25%",""))))))</f>
        <v/>
      </c>
      <c r="Z61" s="195"/>
      <c r="AA61" s="195"/>
      <c r="AB61" s="195"/>
      <c r="AC61" s="197" t="str">
        <f>IFERROR(IF(V61="Probabilidad",(N61-(+N61*Y61)),IF(V61="Impacto",N61,"")),"")</f>
        <v/>
      </c>
      <c r="AD61" s="198" t="str">
        <f>IFERROR(IF(AC61="","",IF(AC61&lt;=0.2,"Muy Baja",IF(AC61&lt;=0.4,"Baja",IF(AC61&lt;=0.6,"Media",IF(AC61&lt;=0.8,"Alta","Muy Alta"))))),"")</f>
        <v/>
      </c>
      <c r="AE61" s="196" t="str">
        <f>+AC61</f>
        <v/>
      </c>
      <c r="AF61" s="198" t="str">
        <f>IFERROR(IF(AG61="","",IF(AG61&lt;=0.2,"Leve",IF(AG61&lt;=0.4,"Menor",IF(AG61&lt;=0.6,"Moderado",IF(AG61&lt;=0.8,"Mayor","Catastrófico"))))),"")</f>
        <v/>
      </c>
      <c r="AG61" s="196" t="str">
        <f t="shared" ref="AG61" si="77">IFERROR(IF(V61="Impacto",(R61-(+R61*Y61)),IF(V61="Probabilidad",R61,"")),"")</f>
        <v/>
      </c>
      <c r="AH61" s="199" t="str">
        <f>IFERROR(IF(OR(AND(AD61="Muy Baja",AF61="Leve"),AND(AD61="Muy Baja",AF61="Menor"),AND(AD61="Baja",AF61="Leve")),"Bajo",IF(OR(AND(AD61="Muy baja",AF61="Moderado"),AND(AD61="Baja",AF61="Menor"),AND(AD61="Baja",AF61="Moderado"),AND(AD61="Media",AF61="Leve"),AND(AD61="Media",AF61="Menor"),AND(AD61="Media",AF61="Moderado"),AND(AD61="Alta",AF61="Leve"),AND(AD61="Alta",AF61="Menor")),"Moderado",IF(OR(AND(AD61="Muy Baja",AF61="Mayor"),AND(AD61="Baja",AF61="Mayor"),AND(AD61="Media",AF61="Mayor"),AND(AD61="Alta",AF61="Moderado"),AND(AD61="Alta",AF61="Mayor"),AND(AD61="Muy Alta",AF61="Leve"),AND(AD61="Muy Alta",AF61="Menor"),AND(AD61="Muy Alta",AF61="Moderado"),AND(AD61="Muy Alta",AF61="Mayor")),"Alto",IF(OR(AND(AD61="Muy Baja",AF61="Catastrófico"),AND(AD61="Baja",AF61="Catastrófico"),AND(AD61="Media",AF61="Catastrófico"),AND(AD61="Alta",AF61="Catastrófico"),AND(AD61="Muy Alta",AF61="Catastrófico")),"Extremo","")))),"")</f>
        <v/>
      </c>
      <c r="AI61" s="200"/>
      <c r="AJ61" s="191"/>
      <c r="AK61" s="201"/>
      <c r="AL61" s="201"/>
      <c r="AM61" s="202"/>
      <c r="AN61" s="391"/>
      <c r="AO61" s="391"/>
      <c r="AP61" s="391"/>
    </row>
    <row r="62" spans="1:42" s="203" customFormat="1" ht="37.5" customHeight="1" x14ac:dyDescent="0.2">
      <c r="A62" s="386"/>
      <c r="B62" s="387"/>
      <c r="C62" s="387"/>
      <c r="D62" s="387"/>
      <c r="E62" s="387"/>
      <c r="F62" s="387"/>
      <c r="G62" s="387"/>
      <c r="H62" s="387"/>
      <c r="I62" s="387"/>
      <c r="J62" s="387"/>
      <c r="K62" s="387"/>
      <c r="L62" s="391"/>
      <c r="M62" s="385"/>
      <c r="N62" s="340"/>
      <c r="O62" s="384"/>
      <c r="P62" s="340">
        <f>IF(NOT(ISERROR(MATCH(O62,_xlfn.ANCHORARRAY(E73),0))),N75&amp;"Por favor no seleccionar los criterios de impacto",O62)</f>
        <v>0</v>
      </c>
      <c r="Q62" s="385"/>
      <c r="R62" s="340"/>
      <c r="S62" s="341"/>
      <c r="T62" s="230">
        <v>2</v>
      </c>
      <c r="U62" s="192"/>
      <c r="V62" s="194" t="str">
        <f>IF(OR(W62="Preventivo",W62="Detectivo"),"Probabilidad",IF(W62="Correctivo","Impacto",""))</f>
        <v/>
      </c>
      <c r="W62" s="195"/>
      <c r="X62" s="195"/>
      <c r="Y62" s="196" t="str">
        <f t="shared" ref="Y62:Y66" si="78">IF(AND(W62="Preventivo",X62="Automático"),"50%",IF(AND(W62="Preventivo",X62="Manual"),"40%",IF(AND(W62="Detectivo",X62="Automático"),"40%",IF(AND(W62="Detectivo",X62="Manual"),"30%",IF(AND(W62="Correctivo",X62="Automático"),"35%",IF(AND(W62="Correctivo",X62="Manual"),"25%",""))))))</f>
        <v/>
      </c>
      <c r="Z62" s="195"/>
      <c r="AA62" s="195"/>
      <c r="AB62" s="195"/>
      <c r="AC62" s="197" t="str">
        <f>IFERROR(IF(AND(V61="Probabilidad",V62="Probabilidad"),(AE61-(+AE61*Y62)),IF(V62="Probabilidad",(N61-(+N61*Y62)),IF(V62="Impacto",AE61,""))),"")</f>
        <v/>
      </c>
      <c r="AD62" s="198" t="str">
        <f t="shared" si="2"/>
        <v/>
      </c>
      <c r="AE62" s="196" t="str">
        <f t="shared" ref="AE62:AE66" si="79">+AC62</f>
        <v/>
      </c>
      <c r="AF62" s="198" t="str">
        <f t="shared" si="4"/>
        <v/>
      </c>
      <c r="AG62" s="196" t="str">
        <f t="shared" ref="AG62" si="80">IFERROR(IF(AND(V61="Impacto",V62="Impacto"),(AG61-(+AG61*Y62)),IF(V62="Impacto",($R$13-(+$R$13*Y62)),IF(V62="Probabilidad",AG61,""))),"")</f>
        <v/>
      </c>
      <c r="AH62" s="199" t="str">
        <f t="shared" ref="AH62:AH63" si="81">IFERROR(IF(OR(AND(AD62="Muy Baja",AF62="Leve"),AND(AD62="Muy Baja",AF62="Menor"),AND(AD62="Baja",AF62="Leve")),"Bajo",IF(OR(AND(AD62="Muy baja",AF62="Moderado"),AND(AD62="Baja",AF62="Menor"),AND(AD62="Baja",AF62="Moderado"),AND(AD62="Media",AF62="Leve"),AND(AD62="Media",AF62="Menor"),AND(AD62="Media",AF62="Moderado"),AND(AD62="Alta",AF62="Leve"),AND(AD62="Alta",AF62="Menor")),"Moderado",IF(OR(AND(AD62="Muy Baja",AF62="Mayor"),AND(AD62="Baja",AF62="Mayor"),AND(AD62="Media",AF62="Mayor"),AND(AD62="Alta",AF62="Moderado"),AND(AD62="Alta",AF62="Mayor"),AND(AD62="Muy Alta",AF62="Leve"),AND(AD62="Muy Alta",AF62="Menor"),AND(AD62="Muy Alta",AF62="Moderado"),AND(AD62="Muy Alta",AF62="Mayor")),"Alto",IF(OR(AND(AD62="Muy Baja",AF62="Catastrófico"),AND(AD62="Baja",AF62="Catastrófico"),AND(AD62="Media",AF62="Catastrófico"),AND(AD62="Alta",AF62="Catastrófico"),AND(AD62="Muy Alta",AF62="Catastrófico")),"Extremo","")))),"")</f>
        <v/>
      </c>
      <c r="AI62" s="200"/>
      <c r="AJ62" s="191"/>
      <c r="AK62" s="201"/>
      <c r="AL62" s="201"/>
      <c r="AM62" s="202"/>
      <c r="AN62" s="391"/>
      <c r="AO62" s="391"/>
      <c r="AP62" s="391"/>
    </row>
    <row r="63" spans="1:42" s="203" customFormat="1" ht="37.5" customHeight="1" x14ac:dyDescent="0.2">
      <c r="A63" s="386"/>
      <c r="B63" s="387"/>
      <c r="C63" s="387"/>
      <c r="D63" s="387"/>
      <c r="E63" s="387"/>
      <c r="F63" s="387"/>
      <c r="G63" s="387"/>
      <c r="H63" s="387"/>
      <c r="I63" s="387"/>
      <c r="J63" s="387"/>
      <c r="K63" s="387"/>
      <c r="L63" s="391"/>
      <c r="M63" s="385"/>
      <c r="N63" s="340"/>
      <c r="O63" s="384"/>
      <c r="P63" s="340">
        <f>IF(NOT(ISERROR(MATCH(O63,_xlfn.ANCHORARRAY(E74),0))),N76&amp;"Por favor no seleccionar los criterios de impacto",O63)</f>
        <v>0</v>
      </c>
      <c r="Q63" s="385"/>
      <c r="R63" s="340"/>
      <c r="S63" s="341"/>
      <c r="T63" s="230">
        <v>3</v>
      </c>
      <c r="U63" s="192"/>
      <c r="V63" s="194" t="str">
        <f>IF(OR(W63="Preventivo",W63="Detectivo"),"Probabilidad",IF(W63="Correctivo","Impacto",""))</f>
        <v/>
      </c>
      <c r="W63" s="195"/>
      <c r="X63" s="195"/>
      <c r="Y63" s="196" t="str">
        <f t="shared" si="78"/>
        <v/>
      </c>
      <c r="Z63" s="195"/>
      <c r="AA63" s="195"/>
      <c r="AB63" s="195"/>
      <c r="AC63" s="197" t="str">
        <f>IFERROR(IF(AND(V62="Probabilidad",V63="Probabilidad"),(AE62-(+AE62*Y63)),IF(AND(V62="Impacto",V63="Probabilidad"),(AE61-(+AE61*Y63)),IF(V63="Impacto",AE62,""))),"")</f>
        <v/>
      </c>
      <c r="AD63" s="198" t="str">
        <f t="shared" si="2"/>
        <v/>
      </c>
      <c r="AE63" s="196" t="str">
        <f t="shared" si="79"/>
        <v/>
      </c>
      <c r="AF63" s="198" t="str">
        <f t="shared" si="4"/>
        <v/>
      </c>
      <c r="AG63" s="196" t="str">
        <f t="shared" ref="AG63" si="82">IFERROR(IF(AND(V62="Impacto",V63="Impacto"),(AG62-(+AG62*Y63)),IF(AND(V62="Probabilidad",V63="Impacto"),(AG61-(+AG61*Y63)),IF(V63="Probabilidad",AG62,""))),"")</f>
        <v/>
      </c>
      <c r="AH63" s="199" t="str">
        <f t="shared" si="81"/>
        <v/>
      </c>
      <c r="AI63" s="200"/>
      <c r="AJ63" s="191"/>
      <c r="AK63" s="201"/>
      <c r="AL63" s="201"/>
      <c r="AM63" s="202"/>
      <c r="AN63" s="391"/>
      <c r="AO63" s="391"/>
      <c r="AP63" s="391"/>
    </row>
    <row r="64" spans="1:42" s="203" customFormat="1" ht="37.5" customHeight="1" x14ac:dyDescent="0.2">
      <c r="A64" s="386"/>
      <c r="B64" s="387"/>
      <c r="C64" s="387"/>
      <c r="D64" s="387"/>
      <c r="E64" s="387"/>
      <c r="F64" s="387"/>
      <c r="G64" s="387"/>
      <c r="H64" s="387"/>
      <c r="I64" s="387"/>
      <c r="J64" s="387"/>
      <c r="K64" s="387"/>
      <c r="L64" s="391"/>
      <c r="M64" s="385"/>
      <c r="N64" s="340"/>
      <c r="O64" s="384"/>
      <c r="P64" s="340">
        <f>IF(NOT(ISERROR(MATCH(O64,_xlfn.ANCHORARRAY(E75),0))),N77&amp;"Por favor no seleccionar los criterios de impacto",O64)</f>
        <v>0</v>
      </c>
      <c r="Q64" s="385"/>
      <c r="R64" s="340"/>
      <c r="S64" s="341"/>
      <c r="T64" s="230">
        <v>4</v>
      </c>
      <c r="U64" s="192"/>
      <c r="V64" s="194" t="str">
        <f t="shared" ref="V64:V66" si="83">IF(OR(W64="Preventivo",W64="Detectivo"),"Probabilidad",IF(W64="Correctivo","Impacto",""))</f>
        <v/>
      </c>
      <c r="W64" s="195"/>
      <c r="X64" s="195"/>
      <c r="Y64" s="196" t="str">
        <f t="shared" si="78"/>
        <v/>
      </c>
      <c r="Z64" s="195"/>
      <c r="AA64" s="195"/>
      <c r="AB64" s="195"/>
      <c r="AC64" s="197" t="str">
        <f t="shared" ref="AC64:AC66" si="84">IFERROR(IF(AND(V63="Probabilidad",V64="Probabilidad"),(AE63-(+AE63*Y64)),IF(AND(V63="Impacto",V64="Probabilidad"),(AE62-(+AE62*Y64)),IF(V64="Impacto",AE63,""))),"")</f>
        <v/>
      </c>
      <c r="AD64" s="198" t="str">
        <f t="shared" si="2"/>
        <v/>
      </c>
      <c r="AE64" s="196" t="str">
        <f t="shared" si="79"/>
        <v/>
      </c>
      <c r="AF64" s="198" t="str">
        <f t="shared" si="4"/>
        <v/>
      </c>
      <c r="AG64" s="196" t="str">
        <f t="shared" si="14"/>
        <v/>
      </c>
      <c r="AH64" s="199" t="str">
        <f>IFERROR(IF(OR(AND(AD64="Muy Baja",AF64="Leve"),AND(AD64="Muy Baja",AF64="Menor"),AND(AD64="Baja",AF64="Leve")),"Bajo",IF(OR(AND(AD64="Muy baja",AF64="Moderado"),AND(AD64="Baja",AF64="Menor"),AND(AD64="Baja",AF64="Moderado"),AND(AD64="Media",AF64="Leve"),AND(AD64="Media",AF64="Menor"),AND(AD64="Media",AF64="Moderado"),AND(AD64="Alta",AF64="Leve"),AND(AD64="Alta",AF64="Menor")),"Moderado",IF(OR(AND(AD64="Muy Baja",AF64="Mayor"),AND(AD64="Baja",AF64="Mayor"),AND(AD64="Media",AF64="Mayor"),AND(AD64="Alta",AF64="Moderado"),AND(AD64="Alta",AF64="Mayor"),AND(AD64="Muy Alta",AF64="Leve"),AND(AD64="Muy Alta",AF64="Menor"),AND(AD64="Muy Alta",AF64="Moderado"),AND(AD64="Muy Alta",AF64="Mayor")),"Alto",IF(OR(AND(AD64="Muy Baja",AF64="Catastrófico"),AND(AD64="Baja",AF64="Catastrófico"),AND(AD64="Media",AF64="Catastrófico"),AND(AD64="Alta",AF64="Catastrófico"),AND(AD64="Muy Alta",AF64="Catastrófico")),"Extremo","")))),"")</f>
        <v/>
      </c>
      <c r="AI64" s="200"/>
      <c r="AJ64" s="191"/>
      <c r="AK64" s="201"/>
      <c r="AL64" s="201"/>
      <c r="AM64" s="202"/>
      <c r="AN64" s="391"/>
      <c r="AO64" s="391"/>
      <c r="AP64" s="391"/>
    </row>
    <row r="65" spans="1:42" s="203" customFormat="1" ht="37.5" customHeight="1" x14ac:dyDescent="0.2">
      <c r="A65" s="386"/>
      <c r="B65" s="387"/>
      <c r="C65" s="387"/>
      <c r="D65" s="387"/>
      <c r="E65" s="387"/>
      <c r="F65" s="387"/>
      <c r="G65" s="387"/>
      <c r="H65" s="387"/>
      <c r="I65" s="387"/>
      <c r="J65" s="387"/>
      <c r="K65" s="387"/>
      <c r="L65" s="391"/>
      <c r="M65" s="385"/>
      <c r="N65" s="340"/>
      <c r="O65" s="384"/>
      <c r="P65" s="340">
        <f>IF(NOT(ISERROR(MATCH(O65,_xlfn.ANCHORARRAY(E76),0))),N78&amp;"Por favor no seleccionar los criterios de impacto",O65)</f>
        <v>0</v>
      </c>
      <c r="Q65" s="385"/>
      <c r="R65" s="340"/>
      <c r="S65" s="341"/>
      <c r="T65" s="230">
        <v>5</v>
      </c>
      <c r="U65" s="192"/>
      <c r="V65" s="194" t="str">
        <f t="shared" si="83"/>
        <v/>
      </c>
      <c r="W65" s="195"/>
      <c r="X65" s="195"/>
      <c r="Y65" s="196" t="str">
        <f t="shared" si="78"/>
        <v/>
      </c>
      <c r="Z65" s="195"/>
      <c r="AA65" s="195"/>
      <c r="AB65" s="195"/>
      <c r="AC65" s="197" t="str">
        <f t="shared" si="84"/>
        <v/>
      </c>
      <c r="AD65" s="198" t="str">
        <f t="shared" si="2"/>
        <v/>
      </c>
      <c r="AE65" s="196" t="str">
        <f t="shared" si="79"/>
        <v/>
      </c>
      <c r="AF65" s="198" t="str">
        <f t="shared" si="4"/>
        <v/>
      </c>
      <c r="AG65" s="196" t="str">
        <f t="shared" si="14"/>
        <v/>
      </c>
      <c r="AH65" s="199" t="str">
        <f t="shared" ref="AH65:AH66" si="85">IFERROR(IF(OR(AND(AD65="Muy Baja",AF65="Leve"),AND(AD65="Muy Baja",AF65="Menor"),AND(AD65="Baja",AF65="Leve")),"Bajo",IF(OR(AND(AD65="Muy baja",AF65="Moderado"),AND(AD65="Baja",AF65="Menor"),AND(AD65="Baja",AF65="Moderado"),AND(AD65="Media",AF65="Leve"),AND(AD65="Media",AF65="Menor"),AND(AD65="Media",AF65="Moderado"),AND(AD65="Alta",AF65="Leve"),AND(AD65="Alta",AF65="Menor")),"Moderado",IF(OR(AND(AD65="Muy Baja",AF65="Mayor"),AND(AD65="Baja",AF65="Mayor"),AND(AD65="Media",AF65="Mayor"),AND(AD65="Alta",AF65="Moderado"),AND(AD65="Alta",AF65="Mayor"),AND(AD65="Muy Alta",AF65="Leve"),AND(AD65="Muy Alta",AF65="Menor"),AND(AD65="Muy Alta",AF65="Moderado"),AND(AD65="Muy Alta",AF65="Mayor")),"Alto",IF(OR(AND(AD65="Muy Baja",AF65="Catastrófico"),AND(AD65="Baja",AF65="Catastrófico"),AND(AD65="Media",AF65="Catastrófico"),AND(AD65="Alta",AF65="Catastrófico"),AND(AD65="Muy Alta",AF65="Catastrófico")),"Extremo","")))),"")</f>
        <v/>
      </c>
      <c r="AI65" s="200"/>
      <c r="AJ65" s="191"/>
      <c r="AK65" s="201"/>
      <c r="AL65" s="201"/>
      <c r="AM65" s="202"/>
      <c r="AN65" s="391"/>
      <c r="AO65" s="391"/>
      <c r="AP65" s="391"/>
    </row>
    <row r="66" spans="1:42" s="203" customFormat="1" ht="37.5" customHeight="1" x14ac:dyDescent="0.2">
      <c r="A66" s="386"/>
      <c r="B66" s="387"/>
      <c r="C66" s="387"/>
      <c r="D66" s="387"/>
      <c r="E66" s="387"/>
      <c r="F66" s="387"/>
      <c r="G66" s="387"/>
      <c r="H66" s="387"/>
      <c r="I66" s="387"/>
      <c r="J66" s="387"/>
      <c r="K66" s="387"/>
      <c r="L66" s="391"/>
      <c r="M66" s="385"/>
      <c r="N66" s="340"/>
      <c r="O66" s="384"/>
      <c r="P66" s="340">
        <f>IF(NOT(ISERROR(MATCH(O66,_xlfn.ANCHORARRAY(E77),0))),N79&amp;"Por favor no seleccionar los criterios de impacto",O66)</f>
        <v>0</v>
      </c>
      <c r="Q66" s="385"/>
      <c r="R66" s="340"/>
      <c r="S66" s="341"/>
      <c r="T66" s="230">
        <v>6</v>
      </c>
      <c r="U66" s="192"/>
      <c r="V66" s="194" t="str">
        <f t="shared" si="83"/>
        <v/>
      </c>
      <c r="W66" s="195"/>
      <c r="X66" s="195"/>
      <c r="Y66" s="196" t="str">
        <f t="shared" si="78"/>
        <v/>
      </c>
      <c r="Z66" s="195"/>
      <c r="AA66" s="195"/>
      <c r="AB66" s="195"/>
      <c r="AC66" s="197" t="str">
        <f t="shared" si="84"/>
        <v/>
      </c>
      <c r="AD66" s="198" t="str">
        <f t="shared" si="2"/>
        <v/>
      </c>
      <c r="AE66" s="196" t="str">
        <f t="shared" si="79"/>
        <v/>
      </c>
      <c r="AF66" s="198" t="str">
        <f t="shared" si="4"/>
        <v/>
      </c>
      <c r="AG66" s="196" t="str">
        <f t="shared" si="14"/>
        <v/>
      </c>
      <c r="AH66" s="199" t="str">
        <f t="shared" si="85"/>
        <v/>
      </c>
      <c r="AI66" s="200"/>
      <c r="AJ66" s="191"/>
      <c r="AK66" s="201"/>
      <c r="AL66" s="201"/>
      <c r="AM66" s="202"/>
      <c r="AN66" s="391"/>
      <c r="AO66" s="391"/>
      <c r="AP66" s="391"/>
    </row>
    <row r="67" spans="1:42" s="203" customFormat="1" ht="37.5" customHeight="1" x14ac:dyDescent="0.2">
      <c r="A67" s="386">
        <v>10</v>
      </c>
      <c r="B67" s="387"/>
      <c r="C67" s="387"/>
      <c r="D67" s="387"/>
      <c r="E67" s="387"/>
      <c r="F67" s="387"/>
      <c r="G67" s="387"/>
      <c r="H67" s="387"/>
      <c r="I67" s="387"/>
      <c r="J67" s="387"/>
      <c r="K67" s="387"/>
      <c r="L67" s="391"/>
      <c r="M67" s="385" t="str">
        <f>IF(L67&lt;=0,"",IF(L67&lt;=2,"Muy Baja",IF(L67&lt;=24,"Baja",IF(L67&lt;=500,"Media",IF(L67&lt;=5000,"Alta","Muy Alta")))))</f>
        <v/>
      </c>
      <c r="N67" s="340" t="str">
        <f>IF(M67="","",IF(M67="Muy Baja",0.2,IF(M67="Baja",0.4,IF(M67="Media",0.6,IF(M67="Alta",0.8,IF(M67="Muy Alta",1,))))))</f>
        <v/>
      </c>
      <c r="O67" s="384"/>
      <c r="P67" s="340">
        <f>IF(NOT(ISERROR(MATCH(O67,'Tabla Impacto'!$B$222:$B$224,0))),'Tabla Impacto'!$F$224&amp;"Por favor no seleccionar los criterios de impacto(Afectación Económica o presupuestal y Pérdida Reputacional)",O67)</f>
        <v>0</v>
      </c>
      <c r="Q67" s="385" t="str">
        <f>IF(OR(P67='Tabla Impacto'!$C$12,P67='Tabla Impacto'!$D$12),"Leve",IF(OR(P67='Tabla Impacto'!$C$13,P67='Tabla Impacto'!$D$13),"Menor",IF(OR(P67='Tabla Impacto'!$C$14,P67='Tabla Impacto'!$D$14),"Moderado",IF(OR(P67='Tabla Impacto'!$C$15,P67='Tabla Impacto'!$D$15),"Mayor",IF(OR(P67='Tabla Impacto'!$C$16,P67='Tabla Impacto'!$D$16),"Catastrófico","")))))</f>
        <v/>
      </c>
      <c r="R67" s="340" t="str">
        <f>IF(Q67="","",IF(Q67="Leve",0.2,IF(Q67="Menor",0.4,IF(Q67="Moderado",0.6,IF(Q67="Mayor",0.8,IF(Q67="Catastrófico",1,))))))</f>
        <v/>
      </c>
      <c r="S67" s="341" t="str">
        <f>IF(OR(AND(M67="Muy Baja",Q67="Leve"),AND(M67="Muy Baja",Q67="Menor"),AND(M67="Baja",Q67="Leve")),"Bajo",IF(OR(AND(M67="Muy baja",Q67="Moderado"),AND(M67="Baja",Q67="Menor"),AND(M67="Baja",Q67="Moderado"),AND(M67="Media",Q67="Leve"),AND(M67="Media",Q67="Menor"),AND(M67="Media",Q67="Moderado"),AND(M67="Alta",Q67="Leve"),AND(M67="Alta",Q67="Menor")),"Moderado",IF(OR(AND(M67="Muy Baja",Q67="Mayor"),AND(M67="Baja",Q67="Mayor"),AND(M67="Media",Q67="Mayor"),AND(M67="Alta",Q67="Moderado"),AND(M67="Alta",Q67="Mayor"),AND(M67="Muy Alta",Q67="Leve"),AND(M67="Muy Alta",Q67="Menor"),AND(M67="Muy Alta",Q67="Moderado"),AND(M67="Muy Alta",Q67="Mayor")),"Alto",IF(OR(AND(M67="Muy Baja",Q67="Catastrófico"),AND(M67="Baja",Q67="Catastrófico"),AND(M67="Media",Q67="Catastrófico"),AND(M67="Alta",Q67="Catastrófico"),AND(M67="Muy Alta",Q67="Catastrófico")),"Extremo",""))))</f>
        <v/>
      </c>
      <c r="T67" s="230">
        <v>1</v>
      </c>
      <c r="U67" s="192"/>
      <c r="V67" s="194" t="str">
        <f>IF(OR(W67="Preventivo",W67="Detectivo"),"Probabilidad",IF(W67="Correctivo","Impacto",""))</f>
        <v/>
      </c>
      <c r="W67" s="195"/>
      <c r="X67" s="195"/>
      <c r="Y67" s="196" t="str">
        <f>IF(AND(W67="Preventivo",X67="Automático"),"50%",IF(AND(W67="Preventivo",X67="Manual"),"40%",IF(AND(W67="Detectivo",X67="Automático"),"40%",IF(AND(W67="Detectivo",X67="Manual"),"30%",IF(AND(W67="Correctivo",X67="Automático"),"35%",IF(AND(W67="Correctivo",X67="Manual"),"25%",""))))))</f>
        <v/>
      </c>
      <c r="Z67" s="195"/>
      <c r="AA67" s="195"/>
      <c r="AB67" s="195"/>
      <c r="AC67" s="197" t="str">
        <f>IFERROR(IF(V67="Probabilidad",(N67-(+N67*Y67)),IF(V67="Impacto",N67,"")),"")</f>
        <v/>
      </c>
      <c r="AD67" s="198" t="str">
        <f>IFERROR(IF(AC67="","",IF(AC67&lt;=0.2,"Muy Baja",IF(AC67&lt;=0.4,"Baja",IF(AC67&lt;=0.6,"Media",IF(AC67&lt;=0.8,"Alta","Muy Alta"))))),"")</f>
        <v/>
      </c>
      <c r="AE67" s="196" t="str">
        <f>+AC67</f>
        <v/>
      </c>
      <c r="AF67" s="198" t="str">
        <f>IFERROR(IF(AG67="","",IF(AG67&lt;=0.2,"Leve",IF(AG67&lt;=0.4,"Menor",IF(AG67&lt;=0.6,"Moderado",IF(AG67&lt;=0.8,"Mayor","Catastrófico"))))),"")</f>
        <v/>
      </c>
      <c r="AG67" s="196" t="str">
        <f t="shared" ref="AG67" si="86">IFERROR(IF(V67="Impacto",(R67-(+R67*Y67)),IF(V67="Probabilidad",R67,"")),"")</f>
        <v/>
      </c>
      <c r="AH67" s="199" t="str">
        <f>IFERROR(IF(OR(AND(AD67="Muy Baja",AF67="Leve"),AND(AD67="Muy Baja",AF67="Menor"),AND(AD67="Baja",AF67="Leve")),"Bajo",IF(OR(AND(AD67="Muy baja",AF67="Moderado"),AND(AD67="Baja",AF67="Menor"),AND(AD67="Baja",AF67="Moderado"),AND(AD67="Media",AF67="Leve"),AND(AD67="Media",AF67="Menor"),AND(AD67="Media",AF67="Moderado"),AND(AD67="Alta",AF67="Leve"),AND(AD67="Alta",AF67="Menor")),"Moderado",IF(OR(AND(AD67="Muy Baja",AF67="Mayor"),AND(AD67="Baja",AF67="Mayor"),AND(AD67="Media",AF67="Mayor"),AND(AD67="Alta",AF67="Moderado"),AND(AD67="Alta",AF67="Mayor"),AND(AD67="Muy Alta",AF67="Leve"),AND(AD67="Muy Alta",AF67="Menor"),AND(AD67="Muy Alta",AF67="Moderado"),AND(AD67="Muy Alta",AF67="Mayor")),"Alto",IF(OR(AND(AD67="Muy Baja",AF67="Catastrófico"),AND(AD67="Baja",AF67="Catastrófico"),AND(AD67="Media",AF67="Catastrófico"),AND(AD67="Alta",AF67="Catastrófico"),AND(AD67="Muy Alta",AF67="Catastrófico")),"Extremo","")))),"")</f>
        <v/>
      </c>
      <c r="AI67" s="200"/>
      <c r="AJ67" s="191"/>
      <c r="AK67" s="201"/>
      <c r="AL67" s="201"/>
      <c r="AM67" s="202"/>
      <c r="AN67" s="391"/>
      <c r="AO67" s="391"/>
      <c r="AP67" s="391"/>
    </row>
    <row r="68" spans="1:42" s="203" customFormat="1" ht="37.5" customHeight="1" x14ac:dyDescent="0.2">
      <c r="A68" s="386"/>
      <c r="B68" s="387"/>
      <c r="C68" s="387"/>
      <c r="D68" s="387"/>
      <c r="E68" s="387"/>
      <c r="F68" s="387"/>
      <c r="G68" s="387"/>
      <c r="H68" s="387"/>
      <c r="I68" s="387"/>
      <c r="J68" s="387"/>
      <c r="K68" s="387"/>
      <c r="L68" s="391"/>
      <c r="M68" s="385"/>
      <c r="N68" s="340"/>
      <c r="O68" s="384"/>
      <c r="P68" s="340">
        <f>IF(NOT(ISERROR(MATCH(O68,_xlfn.ANCHORARRAY(E79),0))),N81&amp;"Por favor no seleccionar los criterios de impacto",O68)</f>
        <v>0</v>
      </c>
      <c r="Q68" s="385"/>
      <c r="R68" s="340"/>
      <c r="S68" s="341"/>
      <c r="T68" s="230">
        <v>2</v>
      </c>
      <c r="U68" s="192"/>
      <c r="V68" s="194" t="str">
        <f>IF(OR(W68="Preventivo",W68="Detectivo"),"Probabilidad",IF(W68="Correctivo","Impacto",""))</f>
        <v/>
      </c>
      <c r="W68" s="195"/>
      <c r="X68" s="195"/>
      <c r="Y68" s="196" t="str">
        <f t="shared" ref="Y68:Y72" si="87">IF(AND(W68="Preventivo",X68="Automático"),"50%",IF(AND(W68="Preventivo",X68="Manual"),"40%",IF(AND(W68="Detectivo",X68="Automático"),"40%",IF(AND(W68="Detectivo",X68="Manual"),"30%",IF(AND(W68="Correctivo",X68="Automático"),"35%",IF(AND(W68="Correctivo",X68="Manual"),"25%",""))))))</f>
        <v/>
      </c>
      <c r="Z68" s="195"/>
      <c r="AA68" s="195"/>
      <c r="AB68" s="195"/>
      <c r="AC68" s="197" t="str">
        <f>IFERROR(IF(AND(V67="Probabilidad",V68="Probabilidad"),(AE67-(+AE67*Y68)),IF(V68="Probabilidad",(N67-(+N67*Y68)),IF(V68="Impacto",AE67,""))),"")</f>
        <v/>
      </c>
      <c r="AD68" s="198" t="str">
        <f t="shared" si="2"/>
        <v/>
      </c>
      <c r="AE68" s="196" t="str">
        <f t="shared" ref="AE68:AE72" si="88">+AC68</f>
        <v/>
      </c>
      <c r="AF68" s="198" t="str">
        <f t="shared" si="4"/>
        <v/>
      </c>
      <c r="AG68" s="196" t="str">
        <f t="shared" ref="AG68" si="89">IFERROR(IF(AND(V67="Impacto",V68="Impacto"),(AG67-(+AG67*Y68)),IF(V68="Impacto",($R$13-(+$R$13*Y68)),IF(V68="Probabilidad",AG67,""))),"")</f>
        <v/>
      </c>
      <c r="AH68" s="199" t="str">
        <f t="shared" ref="AH68:AH69" si="90">IFERROR(IF(OR(AND(AD68="Muy Baja",AF68="Leve"),AND(AD68="Muy Baja",AF68="Menor"),AND(AD68="Baja",AF68="Leve")),"Bajo",IF(OR(AND(AD68="Muy baja",AF68="Moderado"),AND(AD68="Baja",AF68="Menor"),AND(AD68="Baja",AF68="Moderado"),AND(AD68="Media",AF68="Leve"),AND(AD68="Media",AF68="Menor"),AND(AD68="Media",AF68="Moderado"),AND(AD68="Alta",AF68="Leve"),AND(AD68="Alta",AF68="Menor")),"Moderado",IF(OR(AND(AD68="Muy Baja",AF68="Mayor"),AND(AD68="Baja",AF68="Mayor"),AND(AD68="Media",AF68="Mayor"),AND(AD68="Alta",AF68="Moderado"),AND(AD68="Alta",AF68="Mayor"),AND(AD68="Muy Alta",AF68="Leve"),AND(AD68="Muy Alta",AF68="Menor"),AND(AD68="Muy Alta",AF68="Moderado"),AND(AD68="Muy Alta",AF68="Mayor")),"Alto",IF(OR(AND(AD68="Muy Baja",AF68="Catastrófico"),AND(AD68="Baja",AF68="Catastrófico"),AND(AD68="Media",AF68="Catastrófico"),AND(AD68="Alta",AF68="Catastrófico"),AND(AD68="Muy Alta",AF68="Catastrófico")),"Extremo","")))),"")</f>
        <v/>
      </c>
      <c r="AI68" s="200"/>
      <c r="AJ68" s="191"/>
      <c r="AK68" s="201"/>
      <c r="AL68" s="201"/>
      <c r="AM68" s="202"/>
      <c r="AN68" s="391"/>
      <c r="AO68" s="391"/>
      <c r="AP68" s="391"/>
    </row>
    <row r="69" spans="1:42" s="203" customFormat="1" ht="37.5" customHeight="1" x14ac:dyDescent="0.2">
      <c r="A69" s="386"/>
      <c r="B69" s="387"/>
      <c r="C69" s="387"/>
      <c r="D69" s="387"/>
      <c r="E69" s="387"/>
      <c r="F69" s="387"/>
      <c r="G69" s="387"/>
      <c r="H69" s="387"/>
      <c r="I69" s="387"/>
      <c r="J69" s="387"/>
      <c r="K69" s="387"/>
      <c r="L69" s="391"/>
      <c r="M69" s="385"/>
      <c r="N69" s="340"/>
      <c r="O69" s="384"/>
      <c r="P69" s="340">
        <f>IF(NOT(ISERROR(MATCH(O69,_xlfn.ANCHORARRAY(E80),0))),N82&amp;"Por favor no seleccionar los criterios de impacto",O69)</f>
        <v>0</v>
      </c>
      <c r="Q69" s="385"/>
      <c r="R69" s="340"/>
      <c r="S69" s="341"/>
      <c r="T69" s="230">
        <v>3</v>
      </c>
      <c r="U69" s="192"/>
      <c r="V69" s="194" t="str">
        <f>IF(OR(W69="Preventivo",W69="Detectivo"),"Probabilidad",IF(W69="Correctivo","Impacto",""))</f>
        <v/>
      </c>
      <c r="W69" s="195"/>
      <c r="X69" s="195"/>
      <c r="Y69" s="196" t="str">
        <f t="shared" si="87"/>
        <v/>
      </c>
      <c r="Z69" s="195"/>
      <c r="AA69" s="195"/>
      <c r="AB69" s="195"/>
      <c r="AC69" s="197" t="str">
        <f>IFERROR(IF(AND(V68="Probabilidad",V69="Probabilidad"),(AE68-(+AE68*Y69)),IF(AND(V68="Impacto",V69="Probabilidad"),(AE67-(+AE67*Y69)),IF(V69="Impacto",AE68,""))),"")</f>
        <v/>
      </c>
      <c r="AD69" s="198" t="str">
        <f t="shared" si="2"/>
        <v/>
      </c>
      <c r="AE69" s="196" t="str">
        <f t="shared" si="88"/>
        <v/>
      </c>
      <c r="AF69" s="198" t="str">
        <f t="shared" si="4"/>
        <v/>
      </c>
      <c r="AG69" s="196" t="str">
        <f t="shared" ref="AG69" si="91">IFERROR(IF(AND(V68="Impacto",V69="Impacto"),(AG68-(+AG68*Y69)),IF(AND(V68="Probabilidad",V69="Impacto"),(AG67-(+AG67*Y69)),IF(V69="Probabilidad",AG68,""))),"")</f>
        <v/>
      </c>
      <c r="AH69" s="199" t="str">
        <f t="shared" si="90"/>
        <v/>
      </c>
      <c r="AI69" s="200"/>
      <c r="AJ69" s="191"/>
      <c r="AK69" s="201"/>
      <c r="AL69" s="201"/>
      <c r="AM69" s="202"/>
      <c r="AN69" s="391"/>
      <c r="AO69" s="391"/>
      <c r="AP69" s="391"/>
    </row>
    <row r="70" spans="1:42" s="203" customFormat="1" ht="37.5" customHeight="1" x14ac:dyDescent="0.2">
      <c r="A70" s="386"/>
      <c r="B70" s="387"/>
      <c r="C70" s="387"/>
      <c r="D70" s="387"/>
      <c r="E70" s="387"/>
      <c r="F70" s="387"/>
      <c r="G70" s="387"/>
      <c r="H70" s="387"/>
      <c r="I70" s="387"/>
      <c r="J70" s="387"/>
      <c r="K70" s="387"/>
      <c r="L70" s="391"/>
      <c r="M70" s="385"/>
      <c r="N70" s="340"/>
      <c r="O70" s="384"/>
      <c r="P70" s="340">
        <f>IF(NOT(ISERROR(MATCH(O70,_xlfn.ANCHORARRAY(E81),0))),N83&amp;"Por favor no seleccionar los criterios de impacto",O70)</f>
        <v>0</v>
      </c>
      <c r="Q70" s="385"/>
      <c r="R70" s="340"/>
      <c r="S70" s="341"/>
      <c r="T70" s="230">
        <v>4</v>
      </c>
      <c r="U70" s="192"/>
      <c r="V70" s="194" t="str">
        <f t="shared" ref="V70:V72" si="92">IF(OR(W70="Preventivo",W70="Detectivo"),"Probabilidad",IF(W70="Correctivo","Impacto",""))</f>
        <v/>
      </c>
      <c r="W70" s="195"/>
      <c r="X70" s="195"/>
      <c r="Y70" s="196" t="str">
        <f t="shared" si="87"/>
        <v/>
      </c>
      <c r="Z70" s="195"/>
      <c r="AA70" s="195"/>
      <c r="AB70" s="195"/>
      <c r="AC70" s="197" t="str">
        <f t="shared" ref="AC70:AC72" si="93">IFERROR(IF(AND(V69="Probabilidad",V70="Probabilidad"),(AE69-(+AE69*Y70)),IF(AND(V69="Impacto",V70="Probabilidad"),(AE68-(+AE68*Y70)),IF(V70="Impacto",AE69,""))),"")</f>
        <v/>
      </c>
      <c r="AD70" s="198" t="str">
        <f t="shared" si="2"/>
        <v/>
      </c>
      <c r="AE70" s="196" t="str">
        <f t="shared" si="88"/>
        <v/>
      </c>
      <c r="AF70" s="198" t="str">
        <f t="shared" si="4"/>
        <v/>
      </c>
      <c r="AG70" s="196" t="str">
        <f t="shared" si="14"/>
        <v/>
      </c>
      <c r="AH70" s="199" t="str">
        <f>IFERROR(IF(OR(AND(AD70="Muy Baja",AF70="Leve"),AND(AD70="Muy Baja",AF70="Menor"),AND(AD70="Baja",AF70="Leve")),"Bajo",IF(OR(AND(AD70="Muy baja",AF70="Moderado"),AND(AD70="Baja",AF70="Menor"),AND(AD70="Baja",AF70="Moderado"),AND(AD70="Media",AF70="Leve"),AND(AD70="Media",AF70="Menor"),AND(AD70="Media",AF70="Moderado"),AND(AD70="Alta",AF70="Leve"),AND(AD70="Alta",AF70="Menor")),"Moderado",IF(OR(AND(AD70="Muy Baja",AF70="Mayor"),AND(AD70="Baja",AF70="Mayor"),AND(AD70="Media",AF70="Mayor"),AND(AD70="Alta",AF70="Moderado"),AND(AD70="Alta",AF70="Mayor"),AND(AD70="Muy Alta",AF70="Leve"),AND(AD70="Muy Alta",AF70="Menor"),AND(AD70="Muy Alta",AF70="Moderado"),AND(AD70="Muy Alta",AF70="Mayor")),"Alto",IF(OR(AND(AD70="Muy Baja",AF70="Catastrófico"),AND(AD70="Baja",AF70="Catastrófico"),AND(AD70="Media",AF70="Catastrófico"),AND(AD70="Alta",AF70="Catastrófico"),AND(AD70="Muy Alta",AF70="Catastrófico")),"Extremo","")))),"")</f>
        <v/>
      </c>
      <c r="AI70" s="200"/>
      <c r="AJ70" s="191"/>
      <c r="AK70" s="201"/>
      <c r="AL70" s="201"/>
      <c r="AM70" s="202"/>
      <c r="AN70" s="391"/>
      <c r="AO70" s="391"/>
      <c r="AP70" s="391"/>
    </row>
    <row r="71" spans="1:42" s="203" customFormat="1" ht="37.5" customHeight="1" x14ac:dyDescent="0.2">
      <c r="A71" s="386"/>
      <c r="B71" s="387"/>
      <c r="C71" s="387"/>
      <c r="D71" s="387"/>
      <c r="E71" s="387"/>
      <c r="F71" s="387"/>
      <c r="G71" s="387"/>
      <c r="H71" s="387"/>
      <c r="I71" s="387"/>
      <c r="J71" s="387"/>
      <c r="K71" s="387"/>
      <c r="L71" s="391"/>
      <c r="M71" s="385"/>
      <c r="N71" s="340"/>
      <c r="O71" s="384"/>
      <c r="P71" s="340">
        <f>IF(NOT(ISERROR(MATCH(O71,_xlfn.ANCHORARRAY(E82),0))),N84&amp;"Por favor no seleccionar los criterios de impacto",O71)</f>
        <v>0</v>
      </c>
      <c r="Q71" s="385"/>
      <c r="R71" s="340"/>
      <c r="S71" s="341"/>
      <c r="T71" s="230">
        <v>5</v>
      </c>
      <c r="U71" s="192"/>
      <c r="V71" s="194" t="str">
        <f t="shared" si="92"/>
        <v/>
      </c>
      <c r="W71" s="195"/>
      <c r="X71" s="195"/>
      <c r="Y71" s="196" t="str">
        <f t="shared" si="87"/>
        <v/>
      </c>
      <c r="Z71" s="195"/>
      <c r="AA71" s="195"/>
      <c r="AB71" s="195"/>
      <c r="AC71" s="197" t="str">
        <f t="shared" si="93"/>
        <v/>
      </c>
      <c r="AD71" s="198" t="str">
        <f t="shared" si="2"/>
        <v/>
      </c>
      <c r="AE71" s="196" t="str">
        <f t="shared" si="88"/>
        <v/>
      </c>
      <c r="AF71" s="198" t="str">
        <f t="shared" si="4"/>
        <v/>
      </c>
      <c r="AG71" s="196" t="str">
        <f t="shared" si="14"/>
        <v/>
      </c>
      <c r="AH71" s="199" t="str">
        <f t="shared" ref="AH71:AH72" si="94">IFERROR(IF(OR(AND(AD71="Muy Baja",AF71="Leve"),AND(AD71="Muy Baja",AF71="Menor"),AND(AD71="Baja",AF71="Leve")),"Bajo",IF(OR(AND(AD71="Muy baja",AF71="Moderado"),AND(AD71="Baja",AF71="Menor"),AND(AD71="Baja",AF71="Moderado"),AND(AD71="Media",AF71="Leve"),AND(AD71="Media",AF71="Menor"),AND(AD71="Media",AF71="Moderado"),AND(AD71="Alta",AF71="Leve"),AND(AD71="Alta",AF71="Menor")),"Moderado",IF(OR(AND(AD71="Muy Baja",AF71="Mayor"),AND(AD71="Baja",AF71="Mayor"),AND(AD71="Media",AF71="Mayor"),AND(AD71="Alta",AF71="Moderado"),AND(AD71="Alta",AF71="Mayor"),AND(AD71="Muy Alta",AF71="Leve"),AND(AD71="Muy Alta",AF71="Menor"),AND(AD71="Muy Alta",AF71="Moderado"),AND(AD71="Muy Alta",AF71="Mayor")),"Alto",IF(OR(AND(AD71="Muy Baja",AF71="Catastrófico"),AND(AD71="Baja",AF71="Catastrófico"),AND(AD71="Media",AF71="Catastrófico"),AND(AD71="Alta",AF71="Catastrófico"),AND(AD71="Muy Alta",AF71="Catastrófico")),"Extremo","")))),"")</f>
        <v/>
      </c>
      <c r="AI71" s="200"/>
      <c r="AJ71" s="191"/>
      <c r="AK71" s="201"/>
      <c r="AL71" s="201"/>
      <c r="AM71" s="202"/>
      <c r="AN71" s="391"/>
      <c r="AO71" s="391"/>
      <c r="AP71" s="391"/>
    </row>
    <row r="72" spans="1:42" s="203" customFormat="1" ht="37.5" customHeight="1" x14ac:dyDescent="0.2">
      <c r="A72" s="386"/>
      <c r="B72" s="387"/>
      <c r="C72" s="387"/>
      <c r="D72" s="387"/>
      <c r="E72" s="387"/>
      <c r="F72" s="387"/>
      <c r="G72" s="387"/>
      <c r="H72" s="387"/>
      <c r="I72" s="387"/>
      <c r="J72" s="387"/>
      <c r="K72" s="387"/>
      <c r="L72" s="391"/>
      <c r="M72" s="385"/>
      <c r="N72" s="340"/>
      <c r="O72" s="384"/>
      <c r="P72" s="340">
        <f>IF(NOT(ISERROR(MATCH(O72,_xlfn.ANCHORARRAY(E83),0))),N85&amp;"Por favor no seleccionar los criterios de impacto",O72)</f>
        <v>0</v>
      </c>
      <c r="Q72" s="385"/>
      <c r="R72" s="340"/>
      <c r="S72" s="341"/>
      <c r="T72" s="230">
        <v>6</v>
      </c>
      <c r="U72" s="192"/>
      <c r="V72" s="194" t="str">
        <f t="shared" si="92"/>
        <v/>
      </c>
      <c r="W72" s="195"/>
      <c r="X72" s="195"/>
      <c r="Y72" s="196" t="str">
        <f t="shared" si="87"/>
        <v/>
      </c>
      <c r="Z72" s="195"/>
      <c r="AA72" s="195"/>
      <c r="AB72" s="195"/>
      <c r="AC72" s="197" t="str">
        <f t="shared" si="93"/>
        <v/>
      </c>
      <c r="AD72" s="198" t="str">
        <f t="shared" si="2"/>
        <v/>
      </c>
      <c r="AE72" s="196" t="str">
        <f t="shared" si="88"/>
        <v/>
      </c>
      <c r="AF72" s="198" t="str">
        <f t="shared" si="4"/>
        <v/>
      </c>
      <c r="AG72" s="196" t="str">
        <f t="shared" si="14"/>
        <v/>
      </c>
      <c r="AH72" s="199" t="str">
        <f t="shared" si="94"/>
        <v/>
      </c>
      <c r="AI72" s="200"/>
      <c r="AJ72" s="191"/>
      <c r="AK72" s="201"/>
      <c r="AL72" s="201"/>
      <c r="AM72" s="202"/>
      <c r="AN72" s="391"/>
      <c r="AO72" s="391"/>
      <c r="AP72" s="391"/>
    </row>
    <row r="73" spans="1:42" ht="49.5" customHeight="1" x14ac:dyDescent="0.2">
      <c r="A73" s="232"/>
      <c r="B73" s="399" t="s">
        <v>393</v>
      </c>
      <c r="C73" s="400"/>
      <c r="D73" s="400"/>
      <c r="E73" s="400"/>
      <c r="F73" s="400"/>
      <c r="G73" s="400"/>
      <c r="H73" s="400"/>
      <c r="I73" s="400"/>
      <c r="J73" s="400"/>
      <c r="K73" s="400"/>
      <c r="L73" s="400"/>
      <c r="M73" s="400"/>
      <c r="N73" s="400"/>
      <c r="O73" s="400"/>
      <c r="P73" s="400"/>
      <c r="Q73" s="400"/>
      <c r="R73" s="400"/>
      <c r="S73" s="400"/>
      <c r="T73" s="400"/>
      <c r="U73" s="400"/>
      <c r="V73" s="400"/>
      <c r="W73" s="400"/>
      <c r="X73" s="400"/>
      <c r="Y73" s="400"/>
      <c r="Z73" s="400"/>
      <c r="AA73" s="400"/>
      <c r="AB73" s="400"/>
      <c r="AC73" s="400"/>
      <c r="AD73" s="400"/>
      <c r="AE73" s="400"/>
      <c r="AF73" s="400"/>
      <c r="AG73" s="400"/>
      <c r="AH73" s="400"/>
      <c r="AI73" s="400"/>
      <c r="AJ73" s="400"/>
      <c r="AK73" s="400"/>
      <c r="AL73" s="400"/>
      <c r="AM73" s="400"/>
    </row>
    <row r="75" spans="1:42" ht="15.75" x14ac:dyDescent="0.2">
      <c r="A75" s="215"/>
      <c r="B75" s="222" t="s">
        <v>174</v>
      </c>
      <c r="C75" s="215"/>
      <c r="D75" s="215"/>
      <c r="G75" s="215"/>
      <c r="H75" s="215"/>
      <c r="I75" s="215"/>
      <c r="J75" s="215"/>
      <c r="K75" s="215"/>
    </row>
  </sheetData>
  <dataConsolidate/>
  <mergeCells count="280">
    <mergeCell ref="H67:H72"/>
    <mergeCell ref="H61:H66"/>
    <mergeCell ref="H55:H60"/>
    <mergeCell ref="H49:H54"/>
    <mergeCell ref="H43:H48"/>
    <mergeCell ref="H37:H42"/>
    <mergeCell ref="H11:H12"/>
    <mergeCell ref="AN61:AN66"/>
    <mergeCell ref="AO61:AO66"/>
    <mergeCell ref="N11:N12"/>
    <mergeCell ref="Q11:Q12"/>
    <mergeCell ref="R11:R12"/>
    <mergeCell ref="AJ11:AJ12"/>
    <mergeCell ref="AM11:AM12"/>
    <mergeCell ref="AK11:AK12"/>
    <mergeCell ref="O31:O36"/>
    <mergeCell ref="P31:P36"/>
    <mergeCell ref="Q31:Q36"/>
    <mergeCell ref="R31:R36"/>
    <mergeCell ref="S31:S36"/>
    <mergeCell ref="P19:P24"/>
    <mergeCell ref="Q19:Q24"/>
    <mergeCell ref="R19:R24"/>
    <mergeCell ref="S19:S24"/>
    <mergeCell ref="AP61:AP66"/>
    <mergeCell ref="AN67:AN72"/>
    <mergeCell ref="AO67:AO72"/>
    <mergeCell ref="AP67:AP72"/>
    <mergeCell ref="K13:K18"/>
    <mergeCell ref="I13:I18"/>
    <mergeCell ref="J13:J18"/>
    <mergeCell ref="I19:I24"/>
    <mergeCell ref="J19:J24"/>
    <mergeCell ref="K19:K24"/>
    <mergeCell ref="I25:I30"/>
    <mergeCell ref="J25:J30"/>
    <mergeCell ref="K25:K30"/>
    <mergeCell ref="I31:I36"/>
    <mergeCell ref="J31:J36"/>
    <mergeCell ref="K31:K36"/>
    <mergeCell ref="I37:I42"/>
    <mergeCell ref="J37:J42"/>
    <mergeCell ref="K37:K42"/>
    <mergeCell ref="I43:I48"/>
    <mergeCell ref="J43:J48"/>
    <mergeCell ref="K43:K48"/>
    <mergeCell ref="AN43:AN48"/>
    <mergeCell ref="AO43:AO48"/>
    <mergeCell ref="AN19:AN24"/>
    <mergeCell ref="AO19:AO24"/>
    <mergeCell ref="AP19:AP24"/>
    <mergeCell ref="AP43:AP48"/>
    <mergeCell ref="AN49:AN54"/>
    <mergeCell ref="AO49:AO54"/>
    <mergeCell ref="AP49:AP54"/>
    <mergeCell ref="AN55:AN60"/>
    <mergeCell ref="AO55:AO60"/>
    <mergeCell ref="AP55:AP60"/>
    <mergeCell ref="AN31:AN36"/>
    <mergeCell ref="AO31:AO36"/>
    <mergeCell ref="AP31:AP36"/>
    <mergeCell ref="AN37:AN42"/>
    <mergeCell ref="AO37:AO42"/>
    <mergeCell ref="AP37:AP42"/>
    <mergeCell ref="AN10:AP10"/>
    <mergeCell ref="AN11:AN12"/>
    <mergeCell ref="AO11:AO12"/>
    <mergeCell ref="AP11:AP12"/>
    <mergeCell ref="AN13:AN18"/>
    <mergeCell ref="AO13:AO18"/>
    <mergeCell ref="AP13:AP18"/>
    <mergeCell ref="I11:I12"/>
    <mergeCell ref="J11:J12"/>
    <mergeCell ref="K11:K12"/>
    <mergeCell ref="AI11:AI12"/>
    <mergeCell ref="AL11:AL12"/>
    <mergeCell ref="T11:T12"/>
    <mergeCell ref="AH11:AH12"/>
    <mergeCell ref="AG11:AG12"/>
    <mergeCell ref="AC11:AC12"/>
    <mergeCell ref="U11:U12"/>
    <mergeCell ref="AF11:AF12"/>
    <mergeCell ref="AD11:AD12"/>
    <mergeCell ref="AE11:AE12"/>
    <mergeCell ref="V11:V12"/>
    <mergeCell ref="W11:AB11"/>
    <mergeCell ref="B11:B12"/>
    <mergeCell ref="F13:F18"/>
    <mergeCell ref="S13:S18"/>
    <mergeCell ref="N13:N18"/>
    <mergeCell ref="O13:O18"/>
    <mergeCell ref="P13:P18"/>
    <mergeCell ref="Q13:Q18"/>
    <mergeCell ref="R13:R18"/>
    <mergeCell ref="H13:H18"/>
    <mergeCell ref="L11:L12"/>
    <mergeCell ref="M11:M12"/>
    <mergeCell ref="S11:S12"/>
    <mergeCell ref="O11:O12"/>
    <mergeCell ref="P11:P12"/>
    <mergeCell ref="O19:O24"/>
    <mergeCell ref="A19:A24"/>
    <mergeCell ref="B19:B24"/>
    <mergeCell ref="C19:C24"/>
    <mergeCell ref="D19:D24"/>
    <mergeCell ref="E19:E24"/>
    <mergeCell ref="H19:H24"/>
    <mergeCell ref="F19:F24"/>
    <mergeCell ref="C7:S7"/>
    <mergeCell ref="C8:S8"/>
    <mergeCell ref="F11:F12"/>
    <mergeCell ref="G13:G18"/>
    <mergeCell ref="L13:L18"/>
    <mergeCell ref="M13:M18"/>
    <mergeCell ref="A13:A18"/>
    <mergeCell ref="B13:B18"/>
    <mergeCell ref="C13:C18"/>
    <mergeCell ref="D13:D18"/>
    <mergeCell ref="E13:E18"/>
    <mergeCell ref="A11:A12"/>
    <mergeCell ref="G11:G12"/>
    <mergeCell ref="E11:E12"/>
    <mergeCell ref="D11:D12"/>
    <mergeCell ref="C11:C12"/>
    <mergeCell ref="E25:E30"/>
    <mergeCell ref="G25:G30"/>
    <mergeCell ref="L25:L30"/>
    <mergeCell ref="M25:M30"/>
    <mergeCell ref="N25:N30"/>
    <mergeCell ref="H25:H30"/>
    <mergeCell ref="F25:F30"/>
    <mergeCell ref="G19:G24"/>
    <mergeCell ref="L19:L24"/>
    <mergeCell ref="M19:M24"/>
    <mergeCell ref="N19:N24"/>
    <mergeCell ref="A31:A36"/>
    <mergeCell ref="B31:B36"/>
    <mergeCell ref="C31:C36"/>
    <mergeCell ref="D31:D36"/>
    <mergeCell ref="E31:E36"/>
    <mergeCell ref="G31:G36"/>
    <mergeCell ref="L31:L36"/>
    <mergeCell ref="M31:M36"/>
    <mergeCell ref="N31:N36"/>
    <mergeCell ref="H31:H36"/>
    <mergeCell ref="F31:F36"/>
    <mergeCell ref="A37:A42"/>
    <mergeCell ref="B37:B42"/>
    <mergeCell ref="C37:C42"/>
    <mergeCell ref="A43:A48"/>
    <mergeCell ref="B43:B48"/>
    <mergeCell ref="C43:C48"/>
    <mergeCell ref="D43:D48"/>
    <mergeCell ref="E43:E48"/>
    <mergeCell ref="G43:G48"/>
    <mergeCell ref="D37:D42"/>
    <mergeCell ref="E37:E42"/>
    <mergeCell ref="G37:G42"/>
    <mergeCell ref="F37:F42"/>
    <mergeCell ref="F43:F48"/>
    <mergeCell ref="B55:B60"/>
    <mergeCell ref="C55:C60"/>
    <mergeCell ref="D55:D60"/>
    <mergeCell ref="E55:E60"/>
    <mergeCell ref="A49:A54"/>
    <mergeCell ref="B49:B54"/>
    <mergeCell ref="C49:C54"/>
    <mergeCell ref="D49:D54"/>
    <mergeCell ref="E49:E54"/>
    <mergeCell ref="I67:I72"/>
    <mergeCell ref="J67:J72"/>
    <mergeCell ref="K67:K72"/>
    <mergeCell ref="F67:F72"/>
    <mergeCell ref="R49:R54"/>
    <mergeCell ref="S49:S54"/>
    <mergeCell ref="G55:G60"/>
    <mergeCell ref="L55:L60"/>
    <mergeCell ref="M55:M60"/>
    <mergeCell ref="N55:N60"/>
    <mergeCell ref="O55:O60"/>
    <mergeCell ref="G49:G54"/>
    <mergeCell ref="L49:L54"/>
    <mergeCell ref="M49:M54"/>
    <mergeCell ref="N49:N54"/>
    <mergeCell ref="P55:P60"/>
    <mergeCell ref="Q55:Q60"/>
    <mergeCell ref="R55:R60"/>
    <mergeCell ref="S55:S60"/>
    <mergeCell ref="I49:I54"/>
    <mergeCell ref="J49:J54"/>
    <mergeCell ref="K49:K54"/>
    <mergeCell ref="I55:I60"/>
    <mergeCell ref="J55:J60"/>
    <mergeCell ref="B73:AM73"/>
    <mergeCell ref="R61:R66"/>
    <mergeCell ref="S61:S66"/>
    <mergeCell ref="A67:A72"/>
    <mergeCell ref="B67:B72"/>
    <mergeCell ref="C67:C72"/>
    <mergeCell ref="D67:D72"/>
    <mergeCell ref="E67:E72"/>
    <mergeCell ref="G67:G72"/>
    <mergeCell ref="L67:L72"/>
    <mergeCell ref="M67:M72"/>
    <mergeCell ref="N67:N72"/>
    <mergeCell ref="O67:O72"/>
    <mergeCell ref="P67:P72"/>
    <mergeCell ref="Q67:Q72"/>
    <mergeCell ref="R67:R72"/>
    <mergeCell ref="S67:S72"/>
    <mergeCell ref="O61:O66"/>
    <mergeCell ref="P61:P66"/>
    <mergeCell ref="Q61:Q66"/>
    <mergeCell ref="A61:A66"/>
    <mergeCell ref="B61:B66"/>
    <mergeCell ref="C61:C66"/>
    <mergeCell ref="D61:D66"/>
    <mergeCell ref="F61:F66"/>
    <mergeCell ref="C6:S6"/>
    <mergeCell ref="T6:V6"/>
    <mergeCell ref="A10:L10"/>
    <mergeCell ref="M10:S10"/>
    <mergeCell ref="T10:AB10"/>
    <mergeCell ref="AC10:AI10"/>
    <mergeCell ref="AJ10:AM10"/>
    <mergeCell ref="E61:E66"/>
    <mergeCell ref="G61:G66"/>
    <mergeCell ref="L61:L66"/>
    <mergeCell ref="M61:M66"/>
    <mergeCell ref="N61:N66"/>
    <mergeCell ref="I61:I66"/>
    <mergeCell ref="J61:J66"/>
    <mergeCell ref="K61:K66"/>
    <mergeCell ref="N37:N42"/>
    <mergeCell ref="O37:O42"/>
    <mergeCell ref="L43:L48"/>
    <mergeCell ref="M43:M48"/>
    <mergeCell ref="N43:N48"/>
    <mergeCell ref="P37:P42"/>
    <mergeCell ref="Q37:Q42"/>
    <mergeCell ref="A55:A60"/>
    <mergeCell ref="F49:F54"/>
    <mergeCell ref="F55:F60"/>
    <mergeCell ref="K55:K60"/>
    <mergeCell ref="R37:R42"/>
    <mergeCell ref="S37:S42"/>
    <mergeCell ref="R43:R48"/>
    <mergeCell ref="S43:S48"/>
    <mergeCell ref="O49:O54"/>
    <mergeCell ref="P49:P54"/>
    <mergeCell ref="Q49:Q54"/>
    <mergeCell ref="O43:O48"/>
    <mergeCell ref="P43:P48"/>
    <mergeCell ref="Q43:Q48"/>
    <mergeCell ref="L37:L42"/>
    <mergeCell ref="M37:M42"/>
    <mergeCell ref="R25:R30"/>
    <mergeCell ref="S25:S30"/>
    <mergeCell ref="A1:C4"/>
    <mergeCell ref="D1:S2"/>
    <mergeCell ref="D3:K3"/>
    <mergeCell ref="L3:S3"/>
    <mergeCell ref="D4:S4"/>
    <mergeCell ref="W6:AP6"/>
    <mergeCell ref="W7:AP7"/>
    <mergeCell ref="W8:AP8"/>
    <mergeCell ref="U1:AP2"/>
    <mergeCell ref="U3:AI3"/>
    <mergeCell ref="U4:AP4"/>
    <mergeCell ref="AJ3:AP3"/>
    <mergeCell ref="A6:B6"/>
    <mergeCell ref="A7:B7"/>
    <mergeCell ref="A8:B8"/>
    <mergeCell ref="O25:O30"/>
    <mergeCell ref="P25:P30"/>
    <mergeCell ref="Q25:Q30"/>
    <mergeCell ref="A25:A30"/>
    <mergeCell ref="B25:B30"/>
    <mergeCell ref="C25:C30"/>
    <mergeCell ref="D25:D30"/>
  </mergeCells>
  <conditionalFormatting sqref="M13 M19">
    <cfRule type="cellIs" dxfId="238" priority="324" operator="equal">
      <formula>"Muy Alta"</formula>
    </cfRule>
    <cfRule type="cellIs" dxfId="237" priority="325" operator="equal">
      <formula>"Alta"</formula>
    </cfRule>
    <cfRule type="cellIs" dxfId="236" priority="326" operator="equal">
      <formula>"Media"</formula>
    </cfRule>
    <cfRule type="cellIs" dxfId="235" priority="327" operator="equal">
      <formula>"Baja"</formula>
    </cfRule>
    <cfRule type="cellIs" dxfId="234" priority="328" operator="equal">
      <formula>"Muy Baja"</formula>
    </cfRule>
  </conditionalFormatting>
  <conditionalFormatting sqref="Q13 Q19 Q25 Q31 Q37 Q43 Q49 Q55 Q61 Q67">
    <cfRule type="cellIs" dxfId="233" priority="319" operator="equal">
      <formula>"Catastrófico"</formula>
    </cfRule>
    <cfRule type="cellIs" dxfId="232" priority="320" operator="equal">
      <formula>"Mayor"</formula>
    </cfRule>
    <cfRule type="cellIs" dxfId="231" priority="321" operator="equal">
      <formula>"Moderado"</formula>
    </cfRule>
    <cfRule type="cellIs" dxfId="230" priority="322" operator="equal">
      <formula>"Menor"</formula>
    </cfRule>
    <cfRule type="cellIs" dxfId="229" priority="323" operator="equal">
      <formula>"Leve"</formula>
    </cfRule>
  </conditionalFormatting>
  <conditionalFormatting sqref="S13">
    <cfRule type="cellIs" dxfId="228" priority="315" operator="equal">
      <formula>"Extremo"</formula>
    </cfRule>
    <cfRule type="cellIs" dxfId="227" priority="316" operator="equal">
      <formula>"Alto"</formula>
    </cfRule>
    <cfRule type="cellIs" dxfId="226" priority="317" operator="equal">
      <formula>"Moderado"</formula>
    </cfRule>
    <cfRule type="cellIs" dxfId="225" priority="318" operator="equal">
      <formula>"Bajo"</formula>
    </cfRule>
  </conditionalFormatting>
  <conditionalFormatting sqref="AD13:AD18">
    <cfRule type="cellIs" dxfId="224" priority="310" operator="equal">
      <formula>"Muy Alta"</formula>
    </cfRule>
    <cfRule type="cellIs" dxfId="223" priority="311" operator="equal">
      <formula>"Alta"</formula>
    </cfRule>
    <cfRule type="cellIs" dxfId="222" priority="312" operator="equal">
      <formula>"Media"</formula>
    </cfRule>
    <cfRule type="cellIs" dxfId="221" priority="313" operator="equal">
      <formula>"Baja"</formula>
    </cfRule>
    <cfRule type="cellIs" dxfId="220" priority="314" operator="equal">
      <formula>"Muy Baja"</formula>
    </cfRule>
  </conditionalFormatting>
  <conditionalFormatting sqref="AF13:AF18">
    <cfRule type="cellIs" dxfId="219" priority="305" operator="equal">
      <formula>"Catastrófico"</formula>
    </cfRule>
    <cfRule type="cellIs" dxfId="218" priority="306" operator="equal">
      <formula>"Mayor"</formula>
    </cfRule>
    <cfRule type="cellIs" dxfId="217" priority="307" operator="equal">
      <formula>"Moderado"</formula>
    </cfRule>
    <cfRule type="cellIs" dxfId="216" priority="308" operator="equal">
      <formula>"Menor"</formula>
    </cfRule>
    <cfRule type="cellIs" dxfId="215" priority="309" operator="equal">
      <formula>"Leve"</formula>
    </cfRule>
  </conditionalFormatting>
  <conditionalFormatting sqref="AH13:AH18">
    <cfRule type="cellIs" dxfId="214" priority="301" operator="equal">
      <formula>"Extremo"</formula>
    </cfRule>
    <cfRule type="cellIs" dxfId="213" priority="302" operator="equal">
      <formula>"Alto"</formula>
    </cfRule>
    <cfRule type="cellIs" dxfId="212" priority="303" operator="equal">
      <formula>"Moderado"</formula>
    </cfRule>
    <cfRule type="cellIs" dxfId="211" priority="304" operator="equal">
      <formula>"Bajo"</formula>
    </cfRule>
  </conditionalFormatting>
  <conditionalFormatting sqref="M61">
    <cfRule type="cellIs" dxfId="210" priority="58" operator="equal">
      <formula>"Muy Alta"</formula>
    </cfRule>
    <cfRule type="cellIs" dxfId="209" priority="59" operator="equal">
      <formula>"Alta"</formula>
    </cfRule>
    <cfRule type="cellIs" dxfId="208" priority="60" operator="equal">
      <formula>"Media"</formula>
    </cfRule>
    <cfRule type="cellIs" dxfId="207" priority="61" operator="equal">
      <formula>"Baja"</formula>
    </cfRule>
    <cfRule type="cellIs" dxfId="206" priority="62" operator="equal">
      <formula>"Muy Baja"</formula>
    </cfRule>
  </conditionalFormatting>
  <conditionalFormatting sqref="S19">
    <cfRule type="cellIs" dxfId="205" priority="245" operator="equal">
      <formula>"Extremo"</formula>
    </cfRule>
    <cfRule type="cellIs" dxfId="204" priority="246" operator="equal">
      <formula>"Alto"</formula>
    </cfRule>
    <cfRule type="cellIs" dxfId="203" priority="247" operator="equal">
      <formula>"Moderado"</formula>
    </cfRule>
    <cfRule type="cellIs" dxfId="202" priority="248" operator="equal">
      <formula>"Bajo"</formula>
    </cfRule>
  </conditionalFormatting>
  <conditionalFormatting sqref="AD19:AD24">
    <cfRule type="cellIs" dxfId="201" priority="240" operator="equal">
      <formula>"Muy Alta"</formula>
    </cfRule>
    <cfRule type="cellIs" dxfId="200" priority="241" operator="equal">
      <formula>"Alta"</formula>
    </cfRule>
    <cfRule type="cellIs" dxfId="199" priority="242" operator="equal">
      <formula>"Media"</formula>
    </cfRule>
    <cfRule type="cellIs" dxfId="198" priority="243" operator="equal">
      <formula>"Baja"</formula>
    </cfRule>
    <cfRule type="cellIs" dxfId="197" priority="244" operator="equal">
      <formula>"Muy Baja"</formula>
    </cfRule>
  </conditionalFormatting>
  <conditionalFormatting sqref="AF19:AF24">
    <cfRule type="cellIs" dxfId="196" priority="235" operator="equal">
      <formula>"Catastrófico"</formula>
    </cfRule>
    <cfRule type="cellIs" dxfId="195" priority="236" operator="equal">
      <formula>"Mayor"</formula>
    </cfRule>
    <cfRule type="cellIs" dxfId="194" priority="237" operator="equal">
      <formula>"Moderado"</formula>
    </cfRule>
    <cfRule type="cellIs" dxfId="193" priority="238" operator="equal">
      <formula>"Menor"</formula>
    </cfRule>
    <cfRule type="cellIs" dxfId="192" priority="239" operator="equal">
      <formula>"Leve"</formula>
    </cfRule>
  </conditionalFormatting>
  <conditionalFormatting sqref="AH19:AH24">
    <cfRule type="cellIs" dxfId="191" priority="231" operator="equal">
      <formula>"Extremo"</formula>
    </cfRule>
    <cfRule type="cellIs" dxfId="190" priority="232" operator="equal">
      <formula>"Alto"</formula>
    </cfRule>
    <cfRule type="cellIs" dxfId="189" priority="233" operator="equal">
      <formula>"Moderado"</formula>
    </cfRule>
    <cfRule type="cellIs" dxfId="188" priority="234" operator="equal">
      <formula>"Bajo"</formula>
    </cfRule>
  </conditionalFormatting>
  <conditionalFormatting sqref="M25">
    <cfRule type="cellIs" dxfId="187" priority="226" operator="equal">
      <formula>"Muy Alta"</formula>
    </cfRule>
    <cfRule type="cellIs" dxfId="186" priority="227" operator="equal">
      <formula>"Alta"</formula>
    </cfRule>
    <cfRule type="cellIs" dxfId="185" priority="228" operator="equal">
      <formula>"Media"</formula>
    </cfRule>
    <cfRule type="cellIs" dxfId="184" priority="229" operator="equal">
      <formula>"Baja"</formula>
    </cfRule>
    <cfRule type="cellIs" dxfId="183" priority="230" operator="equal">
      <formula>"Muy Baja"</formula>
    </cfRule>
  </conditionalFormatting>
  <conditionalFormatting sqref="S25">
    <cfRule type="cellIs" dxfId="182" priority="217" operator="equal">
      <formula>"Extremo"</formula>
    </cfRule>
    <cfRule type="cellIs" dxfId="181" priority="218" operator="equal">
      <formula>"Alto"</formula>
    </cfRule>
    <cfRule type="cellIs" dxfId="180" priority="219" operator="equal">
      <formula>"Moderado"</formula>
    </cfRule>
    <cfRule type="cellIs" dxfId="179" priority="220" operator="equal">
      <formula>"Bajo"</formula>
    </cfRule>
  </conditionalFormatting>
  <conditionalFormatting sqref="AD25:AD30">
    <cfRule type="cellIs" dxfId="178" priority="212" operator="equal">
      <formula>"Muy Alta"</formula>
    </cfRule>
    <cfRule type="cellIs" dxfId="177" priority="213" operator="equal">
      <formula>"Alta"</formula>
    </cfRule>
    <cfRule type="cellIs" dxfId="176" priority="214" operator="equal">
      <formula>"Media"</formula>
    </cfRule>
    <cfRule type="cellIs" dxfId="175" priority="215" operator="equal">
      <formula>"Baja"</formula>
    </cfRule>
    <cfRule type="cellIs" dxfId="174" priority="216" operator="equal">
      <formula>"Muy Baja"</formula>
    </cfRule>
  </conditionalFormatting>
  <conditionalFormatting sqref="AF25:AF30">
    <cfRule type="cellIs" dxfId="173" priority="207" operator="equal">
      <formula>"Catastrófico"</formula>
    </cfRule>
    <cfRule type="cellIs" dxfId="172" priority="208" operator="equal">
      <formula>"Mayor"</formula>
    </cfRule>
    <cfRule type="cellIs" dxfId="171" priority="209" operator="equal">
      <formula>"Moderado"</formula>
    </cfRule>
    <cfRule type="cellIs" dxfId="170" priority="210" operator="equal">
      <formula>"Menor"</formula>
    </cfRule>
    <cfRule type="cellIs" dxfId="169" priority="211" operator="equal">
      <formula>"Leve"</formula>
    </cfRule>
  </conditionalFormatting>
  <conditionalFormatting sqref="AH25:AH30">
    <cfRule type="cellIs" dxfId="168" priority="203" operator="equal">
      <formula>"Extremo"</formula>
    </cfRule>
    <cfRule type="cellIs" dxfId="167" priority="204" operator="equal">
      <formula>"Alto"</formula>
    </cfRule>
    <cfRule type="cellIs" dxfId="166" priority="205" operator="equal">
      <formula>"Moderado"</formula>
    </cfRule>
    <cfRule type="cellIs" dxfId="165" priority="206" operator="equal">
      <formula>"Bajo"</formula>
    </cfRule>
  </conditionalFormatting>
  <conditionalFormatting sqref="M31">
    <cfRule type="cellIs" dxfId="164" priority="198" operator="equal">
      <formula>"Muy Alta"</formula>
    </cfRule>
    <cfRule type="cellIs" dxfId="163" priority="199" operator="equal">
      <formula>"Alta"</formula>
    </cfRule>
    <cfRule type="cellIs" dxfId="162" priority="200" operator="equal">
      <formula>"Media"</formula>
    </cfRule>
    <cfRule type="cellIs" dxfId="161" priority="201" operator="equal">
      <formula>"Baja"</formula>
    </cfRule>
    <cfRule type="cellIs" dxfId="160" priority="202" operator="equal">
      <formula>"Muy Baja"</formula>
    </cfRule>
  </conditionalFormatting>
  <conditionalFormatting sqref="S31">
    <cfRule type="cellIs" dxfId="159" priority="189" operator="equal">
      <formula>"Extremo"</formula>
    </cfRule>
    <cfRule type="cellIs" dxfId="158" priority="190" operator="equal">
      <formula>"Alto"</formula>
    </cfRule>
    <cfRule type="cellIs" dxfId="157" priority="191" operator="equal">
      <formula>"Moderado"</formula>
    </cfRule>
    <cfRule type="cellIs" dxfId="156" priority="192" operator="equal">
      <formula>"Bajo"</formula>
    </cfRule>
  </conditionalFormatting>
  <conditionalFormatting sqref="AD31:AD36">
    <cfRule type="cellIs" dxfId="155" priority="184" operator="equal">
      <formula>"Muy Alta"</formula>
    </cfRule>
    <cfRule type="cellIs" dxfId="154" priority="185" operator="equal">
      <formula>"Alta"</formula>
    </cfRule>
    <cfRule type="cellIs" dxfId="153" priority="186" operator="equal">
      <formula>"Media"</formula>
    </cfRule>
    <cfRule type="cellIs" dxfId="152" priority="187" operator="equal">
      <formula>"Baja"</formula>
    </cfRule>
    <cfRule type="cellIs" dxfId="151" priority="188" operator="equal">
      <formula>"Muy Baja"</formula>
    </cfRule>
  </conditionalFormatting>
  <conditionalFormatting sqref="AF31:AF36">
    <cfRule type="cellIs" dxfId="150" priority="179" operator="equal">
      <formula>"Catastrófico"</formula>
    </cfRule>
    <cfRule type="cellIs" dxfId="149" priority="180" operator="equal">
      <formula>"Mayor"</formula>
    </cfRule>
    <cfRule type="cellIs" dxfId="148" priority="181" operator="equal">
      <formula>"Moderado"</formula>
    </cfRule>
    <cfRule type="cellIs" dxfId="147" priority="182" operator="equal">
      <formula>"Menor"</formula>
    </cfRule>
    <cfRule type="cellIs" dxfId="146" priority="183" operator="equal">
      <formula>"Leve"</formula>
    </cfRule>
  </conditionalFormatting>
  <conditionalFormatting sqref="AH31:AH36">
    <cfRule type="cellIs" dxfId="145" priority="175" operator="equal">
      <formula>"Extremo"</formula>
    </cfRule>
    <cfRule type="cellIs" dxfId="144" priority="176" operator="equal">
      <formula>"Alto"</formula>
    </cfRule>
    <cfRule type="cellIs" dxfId="143" priority="177" operator="equal">
      <formula>"Moderado"</formula>
    </cfRule>
    <cfRule type="cellIs" dxfId="142" priority="178" operator="equal">
      <formula>"Bajo"</formula>
    </cfRule>
  </conditionalFormatting>
  <conditionalFormatting sqref="M37">
    <cfRule type="cellIs" dxfId="141" priority="170" operator="equal">
      <formula>"Muy Alta"</formula>
    </cfRule>
    <cfRule type="cellIs" dxfId="140" priority="171" operator="equal">
      <formula>"Alta"</formula>
    </cfRule>
    <cfRule type="cellIs" dxfId="139" priority="172" operator="equal">
      <formula>"Media"</formula>
    </cfRule>
    <cfRule type="cellIs" dxfId="138" priority="173" operator="equal">
      <formula>"Baja"</formula>
    </cfRule>
    <cfRule type="cellIs" dxfId="137" priority="174" operator="equal">
      <formula>"Muy Baja"</formula>
    </cfRule>
  </conditionalFormatting>
  <conditionalFormatting sqref="S37">
    <cfRule type="cellIs" dxfId="136" priority="161" operator="equal">
      <formula>"Extremo"</formula>
    </cfRule>
    <cfRule type="cellIs" dxfId="135" priority="162" operator="equal">
      <formula>"Alto"</formula>
    </cfRule>
    <cfRule type="cellIs" dxfId="134" priority="163" operator="equal">
      <formula>"Moderado"</formula>
    </cfRule>
    <cfRule type="cellIs" dxfId="133" priority="164" operator="equal">
      <formula>"Bajo"</formula>
    </cfRule>
  </conditionalFormatting>
  <conditionalFormatting sqref="AD37:AD42">
    <cfRule type="cellIs" dxfId="132" priority="156" operator="equal">
      <formula>"Muy Alta"</formula>
    </cfRule>
    <cfRule type="cellIs" dxfId="131" priority="157" operator="equal">
      <formula>"Alta"</formula>
    </cfRule>
    <cfRule type="cellIs" dxfId="130" priority="158" operator="equal">
      <formula>"Media"</formula>
    </cfRule>
    <cfRule type="cellIs" dxfId="129" priority="159" operator="equal">
      <formula>"Baja"</formula>
    </cfRule>
    <cfRule type="cellIs" dxfId="128" priority="160" operator="equal">
      <formula>"Muy Baja"</formula>
    </cfRule>
  </conditionalFormatting>
  <conditionalFormatting sqref="AF37:AF42">
    <cfRule type="cellIs" dxfId="127" priority="151" operator="equal">
      <formula>"Catastrófico"</formula>
    </cfRule>
    <cfRule type="cellIs" dxfId="126" priority="152" operator="equal">
      <formula>"Mayor"</formula>
    </cfRule>
    <cfRule type="cellIs" dxfId="125" priority="153" operator="equal">
      <formula>"Moderado"</formula>
    </cfRule>
    <cfRule type="cellIs" dxfId="124" priority="154" operator="equal">
      <formula>"Menor"</formula>
    </cfRule>
    <cfRule type="cellIs" dxfId="123" priority="155" operator="equal">
      <formula>"Leve"</formula>
    </cfRule>
  </conditionalFormatting>
  <conditionalFormatting sqref="AH37:AH42">
    <cfRule type="cellIs" dxfId="122" priority="147" operator="equal">
      <formula>"Extremo"</formula>
    </cfRule>
    <cfRule type="cellIs" dxfId="121" priority="148" operator="equal">
      <formula>"Alto"</formula>
    </cfRule>
    <cfRule type="cellIs" dxfId="120" priority="149" operator="equal">
      <formula>"Moderado"</formula>
    </cfRule>
    <cfRule type="cellIs" dxfId="119" priority="150" operator="equal">
      <formula>"Bajo"</formula>
    </cfRule>
  </conditionalFormatting>
  <conditionalFormatting sqref="M43">
    <cfRule type="cellIs" dxfId="118" priority="142" operator="equal">
      <formula>"Muy Alta"</formula>
    </cfRule>
    <cfRule type="cellIs" dxfId="117" priority="143" operator="equal">
      <formula>"Alta"</formula>
    </cfRule>
    <cfRule type="cellIs" dxfId="116" priority="144" operator="equal">
      <formula>"Media"</formula>
    </cfRule>
    <cfRule type="cellIs" dxfId="115" priority="145" operator="equal">
      <formula>"Baja"</formula>
    </cfRule>
    <cfRule type="cellIs" dxfId="114" priority="146" operator="equal">
      <formula>"Muy Baja"</formula>
    </cfRule>
  </conditionalFormatting>
  <conditionalFormatting sqref="S43">
    <cfRule type="cellIs" dxfId="113" priority="133" operator="equal">
      <formula>"Extremo"</formula>
    </cfRule>
    <cfRule type="cellIs" dxfId="112" priority="134" operator="equal">
      <formula>"Alto"</formula>
    </cfRule>
    <cfRule type="cellIs" dxfId="111" priority="135" operator="equal">
      <formula>"Moderado"</formula>
    </cfRule>
    <cfRule type="cellIs" dxfId="110" priority="136" operator="equal">
      <formula>"Bajo"</formula>
    </cfRule>
  </conditionalFormatting>
  <conditionalFormatting sqref="AD43:AD48">
    <cfRule type="cellIs" dxfId="109" priority="128" operator="equal">
      <formula>"Muy Alta"</formula>
    </cfRule>
    <cfRule type="cellIs" dxfId="108" priority="129" operator="equal">
      <formula>"Alta"</formula>
    </cfRule>
    <cfRule type="cellIs" dxfId="107" priority="130" operator="equal">
      <formula>"Media"</formula>
    </cfRule>
    <cfRule type="cellIs" dxfId="106" priority="131" operator="equal">
      <formula>"Baja"</formula>
    </cfRule>
    <cfRule type="cellIs" dxfId="105" priority="132" operator="equal">
      <formula>"Muy Baja"</formula>
    </cfRule>
  </conditionalFormatting>
  <conditionalFormatting sqref="AF43:AF48">
    <cfRule type="cellIs" dxfId="104" priority="123" operator="equal">
      <formula>"Catastrófico"</formula>
    </cfRule>
    <cfRule type="cellIs" dxfId="103" priority="124" operator="equal">
      <formula>"Mayor"</formula>
    </cfRule>
    <cfRule type="cellIs" dxfId="102" priority="125" operator="equal">
      <formula>"Moderado"</formula>
    </cfRule>
    <cfRule type="cellIs" dxfId="101" priority="126" operator="equal">
      <formula>"Menor"</formula>
    </cfRule>
    <cfRule type="cellIs" dxfId="100" priority="127" operator="equal">
      <formula>"Leve"</formula>
    </cfRule>
  </conditionalFormatting>
  <conditionalFormatting sqref="AH43:AH48">
    <cfRule type="cellIs" dxfId="99" priority="119" operator="equal">
      <formula>"Extremo"</formula>
    </cfRule>
    <cfRule type="cellIs" dxfId="98" priority="120" operator="equal">
      <formula>"Alto"</formula>
    </cfRule>
    <cfRule type="cellIs" dxfId="97" priority="121" operator="equal">
      <formula>"Moderado"</formula>
    </cfRule>
    <cfRule type="cellIs" dxfId="96" priority="122" operator="equal">
      <formula>"Bajo"</formula>
    </cfRule>
  </conditionalFormatting>
  <conditionalFormatting sqref="M49">
    <cfRule type="cellIs" dxfId="95" priority="114" operator="equal">
      <formula>"Muy Alta"</formula>
    </cfRule>
    <cfRule type="cellIs" dxfId="94" priority="115" operator="equal">
      <formula>"Alta"</formula>
    </cfRule>
    <cfRule type="cellIs" dxfId="93" priority="116" operator="equal">
      <formula>"Media"</formula>
    </cfRule>
    <cfRule type="cellIs" dxfId="92" priority="117" operator="equal">
      <formula>"Baja"</formula>
    </cfRule>
    <cfRule type="cellIs" dxfId="91" priority="118" operator="equal">
      <formula>"Muy Baja"</formula>
    </cfRule>
  </conditionalFormatting>
  <conditionalFormatting sqref="S49">
    <cfRule type="cellIs" dxfId="90" priority="105" operator="equal">
      <formula>"Extremo"</formula>
    </cfRule>
    <cfRule type="cellIs" dxfId="89" priority="106" operator="equal">
      <formula>"Alto"</formula>
    </cfRule>
    <cfRule type="cellIs" dxfId="88" priority="107" operator="equal">
      <formula>"Moderado"</formula>
    </cfRule>
    <cfRule type="cellIs" dxfId="87" priority="108" operator="equal">
      <formula>"Bajo"</formula>
    </cfRule>
  </conditionalFormatting>
  <conditionalFormatting sqref="AD49:AD54">
    <cfRule type="cellIs" dxfId="86" priority="100" operator="equal">
      <formula>"Muy Alta"</formula>
    </cfRule>
    <cfRule type="cellIs" dxfId="85" priority="101" operator="equal">
      <formula>"Alta"</formula>
    </cfRule>
    <cfRule type="cellIs" dxfId="84" priority="102" operator="equal">
      <formula>"Media"</formula>
    </cfRule>
    <cfRule type="cellIs" dxfId="83" priority="103" operator="equal">
      <formula>"Baja"</formula>
    </cfRule>
    <cfRule type="cellIs" dxfId="82" priority="104" operator="equal">
      <formula>"Muy Baja"</formula>
    </cfRule>
  </conditionalFormatting>
  <conditionalFormatting sqref="AF49:AF54">
    <cfRule type="cellIs" dxfId="81" priority="95" operator="equal">
      <formula>"Catastrófico"</formula>
    </cfRule>
    <cfRule type="cellIs" dxfId="80" priority="96" operator="equal">
      <formula>"Mayor"</formula>
    </cfRule>
    <cfRule type="cellIs" dxfId="79" priority="97" operator="equal">
      <formula>"Moderado"</formula>
    </cfRule>
    <cfRule type="cellIs" dxfId="78" priority="98" operator="equal">
      <formula>"Menor"</formula>
    </cfRule>
    <cfRule type="cellIs" dxfId="77" priority="99" operator="equal">
      <formula>"Leve"</formula>
    </cfRule>
  </conditionalFormatting>
  <conditionalFormatting sqref="AH49:AH54">
    <cfRule type="cellIs" dxfId="76" priority="91" operator="equal">
      <formula>"Extremo"</formula>
    </cfRule>
    <cfRule type="cellIs" dxfId="75" priority="92" operator="equal">
      <formula>"Alto"</formula>
    </cfRule>
    <cfRule type="cellIs" dxfId="74" priority="93" operator="equal">
      <formula>"Moderado"</formula>
    </cfRule>
    <cfRule type="cellIs" dxfId="73" priority="94" operator="equal">
      <formula>"Bajo"</formula>
    </cfRule>
  </conditionalFormatting>
  <conditionalFormatting sqref="S55">
    <cfRule type="cellIs" dxfId="72" priority="77" operator="equal">
      <formula>"Extremo"</formula>
    </cfRule>
    <cfRule type="cellIs" dxfId="71" priority="78" operator="equal">
      <formula>"Alto"</formula>
    </cfRule>
    <cfRule type="cellIs" dxfId="70" priority="79" operator="equal">
      <formula>"Moderado"</formula>
    </cfRule>
    <cfRule type="cellIs" dxfId="69" priority="80" operator="equal">
      <formula>"Bajo"</formula>
    </cfRule>
  </conditionalFormatting>
  <conditionalFormatting sqref="AD55:AD60">
    <cfRule type="cellIs" dxfId="68" priority="72" operator="equal">
      <formula>"Muy Alta"</formula>
    </cfRule>
    <cfRule type="cellIs" dxfId="67" priority="73" operator="equal">
      <formula>"Alta"</formula>
    </cfRule>
    <cfRule type="cellIs" dxfId="66" priority="74" operator="equal">
      <formula>"Media"</formula>
    </cfRule>
    <cfRule type="cellIs" dxfId="65" priority="75" operator="equal">
      <formula>"Baja"</formula>
    </cfRule>
    <cfRule type="cellIs" dxfId="64" priority="76" operator="equal">
      <formula>"Muy Baja"</formula>
    </cfRule>
  </conditionalFormatting>
  <conditionalFormatting sqref="AF55:AF60">
    <cfRule type="cellIs" dxfId="63" priority="67" operator="equal">
      <formula>"Catastrófico"</formula>
    </cfRule>
    <cfRule type="cellIs" dxfId="62" priority="68" operator="equal">
      <formula>"Mayor"</formula>
    </cfRule>
    <cfRule type="cellIs" dxfId="61" priority="69" operator="equal">
      <formula>"Moderado"</formula>
    </cfRule>
    <cfRule type="cellIs" dxfId="60" priority="70" operator="equal">
      <formula>"Menor"</formula>
    </cfRule>
    <cfRule type="cellIs" dxfId="59" priority="71" operator="equal">
      <formula>"Leve"</formula>
    </cfRule>
  </conditionalFormatting>
  <conditionalFormatting sqref="AH55:AH60">
    <cfRule type="cellIs" dxfId="58" priority="63" operator="equal">
      <formula>"Extremo"</formula>
    </cfRule>
    <cfRule type="cellIs" dxfId="57" priority="64" operator="equal">
      <formula>"Alto"</formula>
    </cfRule>
    <cfRule type="cellIs" dxfId="56" priority="65" operator="equal">
      <formula>"Moderado"</formula>
    </cfRule>
    <cfRule type="cellIs" dxfId="55" priority="66" operator="equal">
      <formula>"Bajo"</formula>
    </cfRule>
  </conditionalFormatting>
  <conditionalFormatting sqref="S61">
    <cfRule type="cellIs" dxfId="54" priority="49" operator="equal">
      <formula>"Extremo"</formula>
    </cfRule>
    <cfRule type="cellIs" dxfId="53" priority="50" operator="equal">
      <formula>"Alto"</formula>
    </cfRule>
    <cfRule type="cellIs" dxfId="52" priority="51" operator="equal">
      <formula>"Moderado"</formula>
    </cfRule>
    <cfRule type="cellIs" dxfId="51" priority="52" operator="equal">
      <formula>"Bajo"</formula>
    </cfRule>
  </conditionalFormatting>
  <conditionalFormatting sqref="AD61:AD66">
    <cfRule type="cellIs" dxfId="50" priority="44" operator="equal">
      <formula>"Muy Alta"</formula>
    </cfRule>
    <cfRule type="cellIs" dxfId="49" priority="45" operator="equal">
      <formula>"Alta"</formula>
    </cfRule>
    <cfRule type="cellIs" dxfId="48" priority="46" operator="equal">
      <formula>"Media"</formula>
    </cfRule>
    <cfRule type="cellIs" dxfId="47" priority="47" operator="equal">
      <formula>"Baja"</formula>
    </cfRule>
    <cfRule type="cellIs" dxfId="46" priority="48" operator="equal">
      <formula>"Muy Baja"</formula>
    </cfRule>
  </conditionalFormatting>
  <conditionalFormatting sqref="AF61:AF66">
    <cfRule type="cellIs" dxfId="45" priority="39" operator="equal">
      <formula>"Catastrófico"</formula>
    </cfRule>
    <cfRule type="cellIs" dxfId="44" priority="40" operator="equal">
      <formula>"Mayor"</formula>
    </cfRule>
    <cfRule type="cellIs" dxfId="43" priority="41" operator="equal">
      <formula>"Moderado"</formula>
    </cfRule>
    <cfRule type="cellIs" dxfId="42" priority="42" operator="equal">
      <formula>"Menor"</formula>
    </cfRule>
    <cfRule type="cellIs" dxfId="41" priority="43" operator="equal">
      <formula>"Leve"</formula>
    </cfRule>
  </conditionalFormatting>
  <conditionalFormatting sqref="AH61:AH66">
    <cfRule type="cellIs" dxfId="40" priority="35" operator="equal">
      <formula>"Extremo"</formula>
    </cfRule>
    <cfRule type="cellIs" dxfId="39" priority="36" operator="equal">
      <formula>"Alto"</formula>
    </cfRule>
    <cfRule type="cellIs" dxfId="38" priority="37" operator="equal">
      <formula>"Moderado"</formula>
    </cfRule>
    <cfRule type="cellIs" dxfId="37" priority="38" operator="equal">
      <formula>"Bajo"</formula>
    </cfRule>
  </conditionalFormatting>
  <conditionalFormatting sqref="M67">
    <cfRule type="cellIs" dxfId="36" priority="30" operator="equal">
      <formula>"Muy Alta"</formula>
    </cfRule>
    <cfRule type="cellIs" dxfId="35" priority="31" operator="equal">
      <formula>"Alta"</formula>
    </cfRule>
    <cfRule type="cellIs" dxfId="34" priority="32" operator="equal">
      <formula>"Media"</formula>
    </cfRule>
    <cfRule type="cellIs" dxfId="33" priority="33" operator="equal">
      <formula>"Baja"</formula>
    </cfRule>
    <cfRule type="cellIs" dxfId="32" priority="34" operator="equal">
      <formula>"Muy Baja"</formula>
    </cfRule>
  </conditionalFormatting>
  <conditionalFormatting sqref="S67">
    <cfRule type="cellIs" dxfId="31" priority="21" operator="equal">
      <formula>"Extremo"</formula>
    </cfRule>
    <cfRule type="cellIs" dxfId="30" priority="22" operator="equal">
      <formula>"Alto"</formula>
    </cfRule>
    <cfRule type="cellIs" dxfId="29" priority="23" operator="equal">
      <formula>"Moderado"</formula>
    </cfRule>
    <cfRule type="cellIs" dxfId="28" priority="24" operator="equal">
      <formula>"Bajo"</formula>
    </cfRule>
  </conditionalFormatting>
  <conditionalFormatting sqref="AD67:AD72">
    <cfRule type="cellIs" dxfId="27" priority="16" operator="equal">
      <formula>"Muy Alta"</formula>
    </cfRule>
    <cfRule type="cellIs" dxfId="26" priority="17" operator="equal">
      <formula>"Alta"</formula>
    </cfRule>
    <cfRule type="cellIs" dxfId="25" priority="18" operator="equal">
      <formula>"Media"</formula>
    </cfRule>
    <cfRule type="cellIs" dxfId="24" priority="19" operator="equal">
      <formula>"Baja"</formula>
    </cfRule>
    <cfRule type="cellIs" dxfId="23" priority="20" operator="equal">
      <formula>"Muy Baja"</formula>
    </cfRule>
  </conditionalFormatting>
  <conditionalFormatting sqref="AF67:AF72">
    <cfRule type="cellIs" dxfId="22" priority="11" operator="equal">
      <formula>"Catastrófico"</formula>
    </cfRule>
    <cfRule type="cellIs" dxfId="21" priority="12" operator="equal">
      <formula>"Mayor"</formula>
    </cfRule>
    <cfRule type="cellIs" dxfId="20" priority="13" operator="equal">
      <formula>"Moderado"</formula>
    </cfRule>
    <cfRule type="cellIs" dxfId="19" priority="14" operator="equal">
      <formula>"Menor"</formula>
    </cfRule>
    <cfRule type="cellIs" dxfId="18" priority="15" operator="equal">
      <formula>"Leve"</formula>
    </cfRule>
  </conditionalFormatting>
  <conditionalFormatting sqref="AH67:AH72">
    <cfRule type="cellIs" dxfId="17" priority="7" operator="equal">
      <formula>"Extremo"</formula>
    </cfRule>
    <cfRule type="cellIs" dxfId="16" priority="8" operator="equal">
      <formula>"Alto"</formula>
    </cfRule>
    <cfRule type="cellIs" dxfId="15" priority="9" operator="equal">
      <formula>"Moderado"</formula>
    </cfRule>
    <cfRule type="cellIs" dxfId="14" priority="10" operator="equal">
      <formula>"Bajo"</formula>
    </cfRule>
  </conditionalFormatting>
  <conditionalFormatting sqref="P13:P72">
    <cfRule type="containsText" dxfId="13" priority="6" operator="containsText" text="❌">
      <formula>NOT(ISERROR(SEARCH("❌",P13)))</formula>
    </cfRule>
  </conditionalFormatting>
  <conditionalFormatting sqref="M55">
    <cfRule type="cellIs" dxfId="12" priority="1" operator="equal">
      <formula>"Muy Alta"</formula>
    </cfRule>
    <cfRule type="cellIs" dxfId="11" priority="2" operator="equal">
      <formula>"Alta"</formula>
    </cfRule>
    <cfRule type="cellIs" dxfId="10" priority="3" operator="equal">
      <formula>"Media"</formula>
    </cfRule>
    <cfRule type="cellIs" dxfId="9" priority="4" operator="equal">
      <formula>"Baja"</formula>
    </cfRule>
    <cfRule type="cellIs" dxfId="8" priority="5" operator="equal">
      <formula>"Muy Baja"</formula>
    </cfRule>
  </conditionalFormatting>
  <dataValidations count="1">
    <dataValidation type="list" allowBlank="1" showInputMessage="1" showErrorMessage="1" sqref="J67 J55 J61">
      <formula1>$B$31:$B$38</formula1>
    </dataValidation>
  </dataValidations>
  <pageMargins left="0.70866141732283472" right="0.70866141732283472" top="0.74803149606299213" bottom="0.74803149606299213" header="0.31496062992125984" footer="0.31496062992125984"/>
  <pageSetup scale="40" orientation="landscape" r:id="rId1"/>
  <headerFooter>
    <oddFooter>&amp;LAvenida Calle 26 No. 57-83 Torre 8, Piso 8 CEMSA - C.P. 111321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19" max="73" man="1"/>
  </colBreaks>
  <ignoredErrors>
    <ignoredError sqref="AG15" formula="1"/>
  </ignoredErrors>
  <drawing r:id="rId2"/>
  <extLst>
    <ext xmlns:x14="http://schemas.microsoft.com/office/spreadsheetml/2009/9/main" uri="{CCE6A557-97BC-4b89-ADB6-D9C93CAAB3DF}">
      <x14:dataValidations xmlns:xm="http://schemas.microsoft.com/office/excel/2006/main" count="16">
        <x14:dataValidation type="list" allowBlank="1" showInputMessage="1" showErrorMessage="1">
          <x14:formula1>
            <xm:f>'Tabla Valoración controles'!$D$4:$D$6</xm:f>
          </x14:formula1>
          <xm:sqref>W13:W72</xm:sqref>
        </x14:dataValidation>
        <x14:dataValidation type="list" allowBlank="1" showInputMessage="1" showErrorMessage="1">
          <x14:formula1>
            <xm:f>'Tabla Valoración controles'!$D$7:$D$8</xm:f>
          </x14:formula1>
          <xm:sqref>X13:X72</xm:sqref>
        </x14:dataValidation>
        <x14:dataValidation type="list" allowBlank="1" showInputMessage="1" showErrorMessage="1">
          <x14:formula1>
            <xm:f>'Tabla Valoración controles'!$D$9:$D$10</xm:f>
          </x14:formula1>
          <xm:sqref>Z13:Z72</xm:sqref>
        </x14:dataValidation>
        <x14:dataValidation type="list" allowBlank="1" showInputMessage="1" showErrorMessage="1">
          <x14:formula1>
            <xm:f>'Tabla Valoración controles'!$D$11:$D$12</xm:f>
          </x14:formula1>
          <xm:sqref>AA13:AA72</xm:sqref>
        </x14:dataValidation>
        <x14:dataValidation type="list" allowBlank="1" showInputMessage="1" showErrorMessage="1">
          <x14:formula1>
            <xm:f>'Tabla Valoración controles'!$D$13:$D$14</xm:f>
          </x14:formula1>
          <xm:sqref>AB13:AB72</xm:sqref>
        </x14:dataValidation>
        <x14:dataValidation type="list" allowBlank="1" showInputMessage="1" showErrorMessage="1">
          <x14:formula1>
            <xm:f>'Opciones Tratamiento'!$E$2:$E$4</xm:f>
          </x14:formula1>
          <xm:sqref>B13:B72</xm:sqref>
        </x14:dataValidation>
        <x14:dataValidation type="list" allowBlank="1" showInputMessage="1" showErrorMessage="1">
          <x14:formula1>
            <xm:f>'Opciones Tratamiento'!$B$2:$B$5</xm:f>
          </x14:formula1>
          <xm:sqref>AI13:AI72</xm:sqref>
        </x14:dataValidation>
        <x14:dataValidation type="list" allowBlank="1" showInputMessage="1" showErrorMessage="1">
          <x14:formula1>
            <xm:f>'Tabla Impacto'!$F$211:$F$222</xm:f>
          </x14:formula1>
          <xm:sqref>O13:O72</xm:sqref>
        </x14:dataValidation>
        <x14:dataValidation type="custom" allowBlank="1" showInputMessage="1" showErrorMessage="1" error="Recuerde que las acciones se generan bajo la medida de mitigar el riesgo">
          <x14:formula1>
            <xm:f>IF(OR(AI14='Opciones Tratamiento'!$B$2,AI14='Opciones Tratamiento'!$B$3,AI14='Opciones Tratamiento'!$B$4),ISBLANK(AI14),ISTEXT(AI14))</xm:f>
          </x14:formula1>
          <xm:sqref>AJ14:AJ18 AJ20:AJ72</xm:sqref>
        </x14:dataValidation>
        <x14:dataValidation type="custom" allowBlank="1" showInputMessage="1" showErrorMessage="1" error="Recuerde que las acciones se generan bajo la medida de mitigar el riesgo">
          <x14:formula1>
            <xm:f>IF(OR(AI14='Opciones Tratamiento'!$B$2,AI14='Opciones Tratamiento'!$B$3,AI14='Opciones Tratamiento'!$B$4),ISBLANK(AI14),ISTEXT(AI14))</xm:f>
          </x14:formula1>
          <xm:sqref>AK14:AL18 AK20:AL72</xm:sqref>
        </x14:dataValidation>
        <x14:dataValidation type="custom" allowBlank="1" showInputMessage="1" showErrorMessage="1" error="Recuerde que las acciones se generan bajo la medida de mitigar el riesgo">
          <x14:formula1>
            <xm:f>IF(OR(AI14='Opciones Tratamiento'!$B$2,AI14='Opciones Tratamiento'!$B$3,AI14='Opciones Tratamiento'!$B$4),ISBLANK(AI14),ISTEXT(AI14))</xm:f>
          </x14:formula1>
          <xm:sqref>AM14:AM18 AM20:AM72</xm:sqref>
        </x14:dataValidation>
        <x14:dataValidation type="list" allowBlank="1" showInputMessage="1" showErrorMessage="1">
          <x14:formula1>
            <xm:f>'Opciones Tratamiento'!$B$13:$B$23</xm:f>
          </x14:formula1>
          <xm:sqref>G13:G72</xm:sqref>
        </x14:dataValidation>
        <x14:dataValidation type="list" allowBlank="1" showInputMessage="1" showErrorMessage="1">
          <x14:formula1>
            <xm:f>'Opciones Tratamiento'!$B$28:$B$35</xm:f>
          </x14:formula1>
          <xm:sqref>J13 J31 J19 J25 J37 J49 J43</xm:sqref>
        </x14:dataValidation>
        <x14:dataValidation type="list" allowBlank="1" showInputMessage="1" showErrorMessage="1">
          <x14:formula1>
            <xm:f>'Tipo de riesgos'!$AX$3:$AX$5</xm:f>
          </x14:formula1>
          <xm:sqref>F13:F72</xm:sqref>
        </x14:dataValidation>
        <x14:dataValidation type="custom" allowBlank="1" showInputMessage="1" showErrorMessage="1" error="Recuerde que las acciones se generan bajo la medida de mitigar el riesgo">
          <x14:formula1>
            <xm:f>IF(OR(#REF!='Opciones Tratamiento'!$B$2,#REF!='Opciones Tratamiento'!$B$3,#REF!='Opciones Tratamiento'!$B$4),ISBLANK(#REF!),ISTEXT(#REF!))</xm:f>
          </x14:formula1>
          <xm:sqref>AN19:AP19 AN67:AP67 AN61:AP61 AN55:AP55 AN49:AP49 AN43:AP43 AN37:AP37 AN25:AP25</xm:sqref>
        </x14:dataValidation>
        <x14:dataValidation type="list" allowBlank="1" showInputMessage="1" showErrorMessage="1">
          <x14:formula1>
            <xm:f>Amenazas!$C$2:$C$10</xm:f>
          </x14:formula1>
          <xm:sqref>H13:H72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40" zoomScaleNormal="40" workbookViewId="0">
      <selection activeCell="BB42" sqref="BB42"/>
    </sheetView>
  </sheetViews>
  <sheetFormatPr baseColWidth="10" defaultColWidth="11.42578125" defaultRowHeight="15" x14ac:dyDescent="0.25"/>
  <cols>
    <col min="2" max="39" width="5.7109375" customWidth="1"/>
    <col min="41" max="46" width="5.7109375" customWidth="1"/>
  </cols>
  <sheetData>
    <row r="1" spans="1:99"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25">
      <c r="A2" s="66"/>
      <c r="B2" s="514" t="s">
        <v>175</v>
      </c>
      <c r="C2" s="514"/>
      <c r="D2" s="514"/>
      <c r="E2" s="514"/>
      <c r="F2" s="514"/>
      <c r="G2" s="514"/>
      <c r="H2" s="514"/>
      <c r="I2" s="514"/>
      <c r="J2" s="482" t="s">
        <v>15</v>
      </c>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25">
      <c r="A3" s="66"/>
      <c r="B3" s="514"/>
      <c r="C3" s="514"/>
      <c r="D3" s="514"/>
      <c r="E3" s="514"/>
      <c r="F3" s="514"/>
      <c r="G3" s="514"/>
      <c r="H3" s="514"/>
      <c r="I3" s="514"/>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25">
      <c r="A4" s="66"/>
      <c r="B4" s="514"/>
      <c r="C4" s="514"/>
      <c r="D4" s="514"/>
      <c r="E4" s="514"/>
      <c r="F4" s="514"/>
      <c r="G4" s="514"/>
      <c r="H4" s="514"/>
      <c r="I4" s="514"/>
      <c r="J4" s="482"/>
      <c r="K4" s="482"/>
      <c r="L4" s="482"/>
      <c r="M4" s="482"/>
      <c r="N4" s="482"/>
      <c r="O4" s="482"/>
      <c r="P4" s="482"/>
      <c r="Q4" s="482"/>
      <c r="R4" s="482"/>
      <c r="S4" s="482"/>
      <c r="T4" s="482"/>
      <c r="U4" s="482"/>
      <c r="V4" s="482"/>
      <c r="W4" s="482"/>
      <c r="X4" s="482"/>
      <c r="Y4" s="482"/>
      <c r="Z4" s="482"/>
      <c r="AA4" s="482"/>
      <c r="AB4" s="482"/>
      <c r="AC4" s="482"/>
      <c r="AD4" s="482"/>
      <c r="AE4" s="482"/>
      <c r="AF4" s="482"/>
      <c r="AG4" s="482"/>
      <c r="AH4" s="482"/>
      <c r="AI4" s="482"/>
      <c r="AJ4" s="482"/>
      <c r="AK4" s="482"/>
      <c r="AL4" s="482"/>
      <c r="AM4" s="482"/>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25">
      <c r="A6" s="66"/>
      <c r="B6" s="429" t="s">
        <v>176</v>
      </c>
      <c r="C6" s="429"/>
      <c r="D6" s="430"/>
      <c r="E6" s="467" t="s">
        <v>177</v>
      </c>
      <c r="F6" s="468"/>
      <c r="G6" s="468"/>
      <c r="H6" s="468"/>
      <c r="I6" s="469"/>
      <c r="J6" s="478" t="str">
        <f>IF(AND('Mapa riesgos'!$M$13="Muy Alta",'Mapa riesgos'!$Q$13="Leve"),CONCATENATE("R",'Mapa riesgos'!$A$13),"")</f>
        <v/>
      </c>
      <c r="K6" s="479"/>
      <c r="L6" s="479" t="str">
        <f>IF(AND('Mapa riesgos'!$M$19="Muy Alta",'Mapa riesgos'!$Q$19="Leve"),CONCATENATE("R",'Mapa riesgos'!$A$19),"")</f>
        <v/>
      </c>
      <c r="M6" s="479"/>
      <c r="N6" s="479" t="str">
        <f>IF(AND('Mapa riesgos'!$M$25="Muy Alta",'Mapa riesgos'!$Q$25="Leve"),CONCATENATE("R",'Mapa riesgos'!$A$25),"")</f>
        <v/>
      </c>
      <c r="O6" s="481"/>
      <c r="P6" s="478" t="str">
        <f>IF(AND('Mapa riesgos'!$M$13="Muy Alta",'Mapa riesgos'!$Q$13="Menor"),CONCATENATE("R",'Mapa riesgos'!$A$13),"")</f>
        <v/>
      </c>
      <c r="Q6" s="479"/>
      <c r="R6" s="479" t="str">
        <f>IF(AND('Mapa riesgos'!$M$19="Muy Alta",'Mapa riesgos'!$Q$19="Menor"),CONCATENATE("R",'Mapa riesgos'!$A$19),"")</f>
        <v/>
      </c>
      <c r="S6" s="479"/>
      <c r="T6" s="479" t="str">
        <f>IF(AND('Mapa riesgos'!$M$25="Muy Alta",'Mapa riesgos'!$Q$25="Menor"),CONCATENATE("R",'Mapa riesgos'!$A$25),"")</f>
        <v/>
      </c>
      <c r="U6" s="481"/>
      <c r="V6" s="478" t="str">
        <f>IF(AND('Mapa riesgos'!$M$13="Muy Alta",'Mapa riesgos'!$Q$13="Moderado"),CONCATENATE("R",'Mapa riesgos'!$A$13),"")</f>
        <v/>
      </c>
      <c r="W6" s="479"/>
      <c r="X6" s="479" t="str">
        <f>IF(AND('Mapa riesgos'!$M$19="Muy Alta",'Mapa riesgos'!$Q$19="Moderado"),CONCATENATE("R",'Mapa riesgos'!$A$19),"")</f>
        <v/>
      </c>
      <c r="Y6" s="479"/>
      <c r="Z6" s="479" t="str">
        <f>IF(AND('Mapa riesgos'!$M$25="Muy Alta",'Mapa riesgos'!$Q$25="Moderado"),CONCATENATE("R",'Mapa riesgos'!$A$25),"")</f>
        <v/>
      </c>
      <c r="AA6" s="481"/>
      <c r="AB6" s="478" t="str">
        <f>IF(AND('Mapa riesgos'!$M$13="Muy Alta",'Mapa riesgos'!$Q$13="Mayor"),CONCATENATE("R",'Mapa riesgos'!$A$13),"")</f>
        <v/>
      </c>
      <c r="AC6" s="479"/>
      <c r="AD6" s="479" t="str">
        <f>IF(AND('Mapa riesgos'!$M$19="Muy Alta",'Mapa riesgos'!$Q$19="Mayor"),CONCATENATE("R",'Mapa riesgos'!$A$19),"")</f>
        <v/>
      </c>
      <c r="AE6" s="479"/>
      <c r="AF6" s="479" t="str">
        <f>IF(AND('Mapa riesgos'!$M$25="Muy Alta",'Mapa riesgos'!$Q$25="Mayor"),CONCATENATE("R",'Mapa riesgos'!$A$25),"")</f>
        <v/>
      </c>
      <c r="AG6" s="481"/>
      <c r="AH6" s="493" t="str">
        <f>IF(AND('Mapa riesgos'!$M$13="Muy Alta",'Mapa riesgos'!$Q$13="Catastrófico"),CONCATENATE("R",'Mapa riesgos'!$A$13),"")</f>
        <v/>
      </c>
      <c r="AI6" s="494"/>
      <c r="AJ6" s="494" t="str">
        <f>IF(AND('Mapa riesgos'!$M$19="Muy Alta",'Mapa riesgos'!$Q$19="Catastrófico"),CONCATENATE("R",'Mapa riesgos'!$A$19),"")</f>
        <v/>
      </c>
      <c r="AK6" s="494"/>
      <c r="AL6" s="494" t="str">
        <f>IF(AND('Mapa riesgos'!$M$25="Muy Alta",'Mapa riesgos'!$Q$25="Catastrófico"),CONCATENATE("R",'Mapa riesgos'!$A$25),"")</f>
        <v/>
      </c>
      <c r="AM6" s="495"/>
      <c r="AO6" s="431" t="s">
        <v>178</v>
      </c>
      <c r="AP6" s="432"/>
      <c r="AQ6" s="432"/>
      <c r="AR6" s="432"/>
      <c r="AS6" s="432"/>
      <c r="AT6" s="433"/>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25">
      <c r="A7" s="66"/>
      <c r="B7" s="429"/>
      <c r="C7" s="429"/>
      <c r="D7" s="430"/>
      <c r="E7" s="470"/>
      <c r="F7" s="471"/>
      <c r="G7" s="471"/>
      <c r="H7" s="471"/>
      <c r="I7" s="472"/>
      <c r="J7" s="480"/>
      <c r="K7" s="476"/>
      <c r="L7" s="476"/>
      <c r="M7" s="476"/>
      <c r="N7" s="476"/>
      <c r="O7" s="477"/>
      <c r="P7" s="480"/>
      <c r="Q7" s="476"/>
      <c r="R7" s="476"/>
      <c r="S7" s="476"/>
      <c r="T7" s="476"/>
      <c r="U7" s="477"/>
      <c r="V7" s="480"/>
      <c r="W7" s="476"/>
      <c r="X7" s="476"/>
      <c r="Y7" s="476"/>
      <c r="Z7" s="476"/>
      <c r="AA7" s="477"/>
      <c r="AB7" s="480"/>
      <c r="AC7" s="476"/>
      <c r="AD7" s="476"/>
      <c r="AE7" s="476"/>
      <c r="AF7" s="476"/>
      <c r="AG7" s="477"/>
      <c r="AH7" s="487"/>
      <c r="AI7" s="488"/>
      <c r="AJ7" s="488"/>
      <c r="AK7" s="488"/>
      <c r="AL7" s="488"/>
      <c r="AM7" s="489"/>
      <c r="AN7" s="66"/>
      <c r="AO7" s="434"/>
      <c r="AP7" s="435"/>
      <c r="AQ7" s="435"/>
      <c r="AR7" s="435"/>
      <c r="AS7" s="435"/>
      <c r="AT7" s="43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25">
      <c r="A8" s="66"/>
      <c r="B8" s="429"/>
      <c r="C8" s="429"/>
      <c r="D8" s="430"/>
      <c r="E8" s="470"/>
      <c r="F8" s="471"/>
      <c r="G8" s="471"/>
      <c r="H8" s="471"/>
      <c r="I8" s="472"/>
      <c r="J8" s="480" t="str">
        <f>IF(AND('Mapa riesgos'!$M$31="Muy Alta",'Mapa riesgos'!$Q$31="Leve"),CONCATENATE("R",'Mapa riesgos'!$A$31),"")</f>
        <v/>
      </c>
      <c r="K8" s="476"/>
      <c r="L8" s="476" t="str">
        <f>IF(AND('Mapa riesgos'!$M$37="Muy Alta",'Mapa riesgos'!$Q$37="Leve"),CONCATENATE("R",'Mapa riesgos'!$A$37),"")</f>
        <v/>
      </c>
      <c r="M8" s="476"/>
      <c r="N8" s="476" t="str">
        <f>IF(AND('Mapa riesgos'!$M$43="Muy Alta",'Mapa riesgos'!$Q$43="Leve"),CONCATENATE("R",'Mapa riesgos'!$A$43),"")</f>
        <v/>
      </c>
      <c r="O8" s="477"/>
      <c r="P8" s="480" t="str">
        <f>IF(AND('Mapa riesgos'!$M$31="Muy Alta",'Mapa riesgos'!$Q$31="Menor"),CONCATENATE("R",'Mapa riesgos'!$A$31),"")</f>
        <v/>
      </c>
      <c r="Q8" s="476"/>
      <c r="R8" s="476" t="str">
        <f>IF(AND('Mapa riesgos'!$M$37="Muy Alta",'Mapa riesgos'!$Q$37="Menor"),CONCATENATE("R",'Mapa riesgos'!$A$37),"")</f>
        <v/>
      </c>
      <c r="S8" s="476"/>
      <c r="T8" s="476" t="str">
        <f>IF(AND('Mapa riesgos'!$M$43="Muy Alta",'Mapa riesgos'!$Q$43="Menor"),CONCATENATE("R",'Mapa riesgos'!$A$43),"")</f>
        <v/>
      </c>
      <c r="U8" s="477"/>
      <c r="V8" s="480" t="str">
        <f>IF(AND('Mapa riesgos'!$M$31="Muy Alta",'Mapa riesgos'!$Q$31="Moderado"),CONCATENATE("R",'Mapa riesgos'!$A$31),"")</f>
        <v/>
      </c>
      <c r="W8" s="476"/>
      <c r="X8" s="476" t="str">
        <f>IF(AND('Mapa riesgos'!$M$37="Muy Alta",'Mapa riesgos'!$Q$37="Moderado"),CONCATENATE("R",'Mapa riesgos'!$A$37),"")</f>
        <v/>
      </c>
      <c r="Y8" s="476"/>
      <c r="Z8" s="476" t="str">
        <f>IF(AND('Mapa riesgos'!$M$43="Muy Alta",'Mapa riesgos'!$Q$43="Moderado"),CONCATENATE("R",'Mapa riesgos'!$A$43),"")</f>
        <v/>
      </c>
      <c r="AA8" s="477"/>
      <c r="AB8" s="480" t="str">
        <f>IF(AND('Mapa riesgos'!$M$31="Muy Alta",'Mapa riesgos'!$Q$31="Mayor"),CONCATENATE("R",'Mapa riesgos'!$A$31),"")</f>
        <v/>
      </c>
      <c r="AC8" s="476"/>
      <c r="AD8" s="476" t="str">
        <f>IF(AND('Mapa riesgos'!$M$37="Muy Alta",'Mapa riesgos'!$Q$37="Mayor"),CONCATENATE("R",'Mapa riesgos'!$A$37),"")</f>
        <v/>
      </c>
      <c r="AE8" s="476"/>
      <c r="AF8" s="476" t="str">
        <f>IF(AND('Mapa riesgos'!$M$43="Muy Alta",'Mapa riesgos'!$Q$43="Mayor"),CONCATENATE("R",'Mapa riesgos'!$A$43),"")</f>
        <v/>
      </c>
      <c r="AG8" s="477"/>
      <c r="AH8" s="487" t="str">
        <f>IF(AND('Mapa riesgos'!$M$31="Muy Alta",'Mapa riesgos'!$Q$31="Catastrófico"),CONCATENATE("R",'Mapa riesgos'!$A$31),"")</f>
        <v/>
      </c>
      <c r="AI8" s="488"/>
      <c r="AJ8" s="488" t="str">
        <f>IF(AND('Mapa riesgos'!$M$37="Muy Alta",'Mapa riesgos'!$Q$37="Catastrófico"),CONCATENATE("R",'Mapa riesgos'!$A$37),"")</f>
        <v/>
      </c>
      <c r="AK8" s="488"/>
      <c r="AL8" s="488" t="str">
        <f>IF(AND('Mapa riesgos'!$M$43="Muy Alta",'Mapa riesgos'!$Q$43="Catastrófico"),CONCATENATE("R",'Mapa riesgos'!$A$43),"")</f>
        <v/>
      </c>
      <c r="AM8" s="489"/>
      <c r="AN8" s="66"/>
      <c r="AO8" s="434"/>
      <c r="AP8" s="435"/>
      <c r="AQ8" s="435"/>
      <c r="AR8" s="435"/>
      <c r="AS8" s="435"/>
      <c r="AT8" s="43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25">
      <c r="A9" s="66"/>
      <c r="B9" s="429"/>
      <c r="C9" s="429"/>
      <c r="D9" s="430"/>
      <c r="E9" s="470"/>
      <c r="F9" s="471"/>
      <c r="G9" s="471"/>
      <c r="H9" s="471"/>
      <c r="I9" s="472"/>
      <c r="J9" s="480"/>
      <c r="K9" s="476"/>
      <c r="L9" s="476"/>
      <c r="M9" s="476"/>
      <c r="N9" s="476"/>
      <c r="O9" s="477"/>
      <c r="P9" s="480"/>
      <c r="Q9" s="476"/>
      <c r="R9" s="476"/>
      <c r="S9" s="476"/>
      <c r="T9" s="476"/>
      <c r="U9" s="477"/>
      <c r="V9" s="480"/>
      <c r="W9" s="476"/>
      <c r="X9" s="476"/>
      <c r="Y9" s="476"/>
      <c r="Z9" s="476"/>
      <c r="AA9" s="477"/>
      <c r="AB9" s="480"/>
      <c r="AC9" s="476"/>
      <c r="AD9" s="476"/>
      <c r="AE9" s="476"/>
      <c r="AF9" s="476"/>
      <c r="AG9" s="477"/>
      <c r="AH9" s="487"/>
      <c r="AI9" s="488"/>
      <c r="AJ9" s="488"/>
      <c r="AK9" s="488"/>
      <c r="AL9" s="488"/>
      <c r="AM9" s="489"/>
      <c r="AN9" s="66"/>
      <c r="AO9" s="434"/>
      <c r="AP9" s="435"/>
      <c r="AQ9" s="435"/>
      <c r="AR9" s="435"/>
      <c r="AS9" s="435"/>
      <c r="AT9" s="43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25">
      <c r="A10" s="66"/>
      <c r="B10" s="429"/>
      <c r="C10" s="429"/>
      <c r="D10" s="430"/>
      <c r="E10" s="470"/>
      <c r="F10" s="471"/>
      <c r="G10" s="471"/>
      <c r="H10" s="471"/>
      <c r="I10" s="472"/>
      <c r="J10" s="480" t="str">
        <f>IF(AND('Mapa riesgos'!$M$49="Muy Alta",'Mapa riesgos'!$Q$49="Leve"),CONCATENATE("R",'Mapa riesgos'!$A$49),"")</f>
        <v/>
      </c>
      <c r="K10" s="476"/>
      <c r="L10" s="476" t="str">
        <f>IF(AND('Mapa riesgos'!$M$55="Muy Alta",'Mapa riesgos'!$Q$55="Leve"),CONCATENATE("R",'Mapa riesgos'!$A$55),"")</f>
        <v/>
      </c>
      <c r="M10" s="476"/>
      <c r="N10" s="476" t="str">
        <f>IF(AND('Mapa riesgos'!$M$61="Muy Alta",'Mapa riesgos'!$Q$61="Leve"),CONCATENATE("R",'Mapa riesgos'!$A$61),"")</f>
        <v/>
      </c>
      <c r="O10" s="477"/>
      <c r="P10" s="480" t="str">
        <f>IF(AND('Mapa riesgos'!$M$49="Muy Alta",'Mapa riesgos'!$Q$49="Menor"),CONCATENATE("R",'Mapa riesgos'!$A$49),"")</f>
        <v/>
      </c>
      <c r="Q10" s="476"/>
      <c r="R10" s="476" t="str">
        <f>IF(AND('Mapa riesgos'!$M$55="Muy Alta",'Mapa riesgos'!$Q$55="Menor"),CONCATENATE("R",'Mapa riesgos'!$A$55),"")</f>
        <v/>
      </c>
      <c r="S10" s="476"/>
      <c r="T10" s="476" t="str">
        <f>IF(AND('Mapa riesgos'!$M$61="Muy Alta",'Mapa riesgos'!$Q$61="Menor"),CONCATENATE("R",'Mapa riesgos'!$A$61),"")</f>
        <v/>
      </c>
      <c r="U10" s="477"/>
      <c r="V10" s="480" t="str">
        <f>IF(AND('Mapa riesgos'!$M$49="Muy Alta",'Mapa riesgos'!$Q$49="Moderado"),CONCATENATE("R",'Mapa riesgos'!$A$49),"")</f>
        <v/>
      </c>
      <c r="W10" s="476"/>
      <c r="X10" s="476" t="str">
        <f>IF(AND('Mapa riesgos'!$M$55="Muy Alta",'Mapa riesgos'!$Q$55="Moderado"),CONCATENATE("R",'Mapa riesgos'!$A$55),"")</f>
        <v/>
      </c>
      <c r="Y10" s="476"/>
      <c r="Z10" s="476" t="str">
        <f>IF(AND('Mapa riesgos'!$M$61="Muy Alta",'Mapa riesgos'!$Q$61="Moderado"),CONCATENATE("R",'Mapa riesgos'!$A$61),"")</f>
        <v/>
      </c>
      <c r="AA10" s="477"/>
      <c r="AB10" s="480" t="str">
        <f>IF(AND('Mapa riesgos'!$M$49="Muy Alta",'Mapa riesgos'!$Q$49="Mayor"),CONCATENATE("R",'Mapa riesgos'!$A$49),"")</f>
        <v/>
      </c>
      <c r="AC10" s="476"/>
      <c r="AD10" s="476" t="str">
        <f>IF(AND('Mapa riesgos'!$M$55="Muy Alta",'Mapa riesgos'!$Q$55="Mayor"),CONCATENATE("R",'Mapa riesgos'!$A$55),"")</f>
        <v/>
      </c>
      <c r="AE10" s="476"/>
      <c r="AF10" s="476" t="str">
        <f>IF(AND('Mapa riesgos'!$M$61="Muy Alta",'Mapa riesgos'!$Q$61="Mayor"),CONCATENATE("R",'Mapa riesgos'!$A$61),"")</f>
        <v/>
      </c>
      <c r="AG10" s="477"/>
      <c r="AH10" s="487" t="str">
        <f>IF(AND('Mapa riesgos'!$M$49="Muy Alta",'Mapa riesgos'!$Q$49="Catastrófico"),CONCATENATE("R",'Mapa riesgos'!$A$49),"")</f>
        <v/>
      </c>
      <c r="AI10" s="488"/>
      <c r="AJ10" s="488" t="str">
        <f>IF(AND('Mapa riesgos'!$M$55="Muy Alta",'Mapa riesgos'!$Q$55="Catastrófico"),CONCATENATE("R",'Mapa riesgos'!$A$55),"")</f>
        <v/>
      </c>
      <c r="AK10" s="488"/>
      <c r="AL10" s="488" t="str">
        <f>IF(AND('Mapa riesgos'!$M$61="Muy Alta",'Mapa riesgos'!$Q$61="Catastrófico"),CONCATENATE("R",'Mapa riesgos'!$A$61),"")</f>
        <v/>
      </c>
      <c r="AM10" s="489"/>
      <c r="AN10" s="66"/>
      <c r="AO10" s="434"/>
      <c r="AP10" s="435"/>
      <c r="AQ10" s="435"/>
      <c r="AR10" s="435"/>
      <c r="AS10" s="435"/>
      <c r="AT10" s="43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25">
      <c r="A11" s="66"/>
      <c r="B11" s="429"/>
      <c r="C11" s="429"/>
      <c r="D11" s="430"/>
      <c r="E11" s="470"/>
      <c r="F11" s="471"/>
      <c r="G11" s="471"/>
      <c r="H11" s="471"/>
      <c r="I11" s="472"/>
      <c r="J11" s="480"/>
      <c r="K11" s="476"/>
      <c r="L11" s="476"/>
      <c r="M11" s="476"/>
      <c r="N11" s="476"/>
      <c r="O11" s="477"/>
      <c r="P11" s="480"/>
      <c r="Q11" s="476"/>
      <c r="R11" s="476"/>
      <c r="S11" s="476"/>
      <c r="T11" s="476"/>
      <c r="U11" s="477"/>
      <c r="V11" s="480"/>
      <c r="W11" s="476"/>
      <c r="X11" s="476"/>
      <c r="Y11" s="476"/>
      <c r="Z11" s="476"/>
      <c r="AA11" s="477"/>
      <c r="AB11" s="480"/>
      <c r="AC11" s="476"/>
      <c r="AD11" s="476"/>
      <c r="AE11" s="476"/>
      <c r="AF11" s="476"/>
      <c r="AG11" s="477"/>
      <c r="AH11" s="487"/>
      <c r="AI11" s="488"/>
      <c r="AJ11" s="488"/>
      <c r="AK11" s="488"/>
      <c r="AL11" s="488"/>
      <c r="AM11" s="489"/>
      <c r="AN11" s="66"/>
      <c r="AO11" s="434"/>
      <c r="AP11" s="435"/>
      <c r="AQ11" s="435"/>
      <c r="AR11" s="435"/>
      <c r="AS11" s="435"/>
      <c r="AT11" s="43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25">
      <c r="A12" s="66"/>
      <c r="B12" s="429"/>
      <c r="C12" s="429"/>
      <c r="D12" s="430"/>
      <c r="E12" s="470"/>
      <c r="F12" s="471"/>
      <c r="G12" s="471"/>
      <c r="H12" s="471"/>
      <c r="I12" s="472"/>
      <c r="J12" s="480" t="str">
        <f>IF(AND('Mapa riesgos'!$M$67="Muy Alta",'Mapa riesgos'!$Q$67="Leve"),CONCATENATE("R",'Mapa riesgos'!$A$67),"")</f>
        <v/>
      </c>
      <c r="K12" s="476"/>
      <c r="L12" s="476" t="str">
        <f>IF(AND('Mapa riesgos'!$M$73="Muy Alta",'Mapa riesgos'!$Q$73="Leve"),CONCATENATE("R",'Mapa riesgos'!$A$73),"")</f>
        <v/>
      </c>
      <c r="M12" s="476"/>
      <c r="N12" s="476" t="str">
        <f>IF(AND('Mapa riesgos'!$M$79="Muy Alta",'Mapa riesgos'!$Q$79="Leve"),CONCATENATE("R",'Mapa riesgos'!$A$79),"")</f>
        <v/>
      </c>
      <c r="O12" s="477"/>
      <c r="P12" s="480" t="str">
        <f>IF(AND('Mapa riesgos'!$M$67="Muy Alta",'Mapa riesgos'!$Q$67="Menor"),CONCATENATE("R",'Mapa riesgos'!$A$67),"")</f>
        <v/>
      </c>
      <c r="Q12" s="476"/>
      <c r="R12" s="476" t="str">
        <f>IF(AND('Mapa riesgos'!$M$73="Muy Alta",'Mapa riesgos'!$Q$73="Menor"),CONCATENATE("R",'Mapa riesgos'!$A$73),"")</f>
        <v/>
      </c>
      <c r="S12" s="476"/>
      <c r="T12" s="476" t="str">
        <f>IF(AND('Mapa riesgos'!$M$79="Muy Alta",'Mapa riesgos'!$Q$79="Menor"),CONCATENATE("R",'Mapa riesgos'!$A$79),"")</f>
        <v/>
      </c>
      <c r="U12" s="477"/>
      <c r="V12" s="480" t="str">
        <f>IF(AND('Mapa riesgos'!$M$67="Muy Alta",'Mapa riesgos'!$Q$67="Moderado"),CONCATENATE("R",'Mapa riesgos'!$A$67),"")</f>
        <v/>
      </c>
      <c r="W12" s="476"/>
      <c r="X12" s="476" t="str">
        <f>IF(AND('Mapa riesgos'!$M$73="Muy Alta",'Mapa riesgos'!$Q$73="Moderado"),CONCATENATE("R",'Mapa riesgos'!$A$73),"")</f>
        <v/>
      </c>
      <c r="Y12" s="476"/>
      <c r="Z12" s="476" t="str">
        <f>IF(AND('Mapa riesgos'!$M$79="Muy Alta",'Mapa riesgos'!$Q$79="Moderado"),CONCATENATE("R",'Mapa riesgos'!$A$79),"")</f>
        <v/>
      </c>
      <c r="AA12" s="477"/>
      <c r="AB12" s="480" t="str">
        <f>IF(AND('Mapa riesgos'!$M$67="Muy Alta",'Mapa riesgos'!$Q$67="Mayor"),CONCATENATE("R",'Mapa riesgos'!$A$67),"")</f>
        <v/>
      </c>
      <c r="AC12" s="476"/>
      <c r="AD12" s="476" t="str">
        <f>IF(AND('Mapa riesgos'!$M$73="Muy Alta",'Mapa riesgos'!$Q$73="Mayor"),CONCATENATE("R",'Mapa riesgos'!$A$73),"")</f>
        <v/>
      </c>
      <c r="AE12" s="476"/>
      <c r="AF12" s="476" t="str">
        <f>IF(AND('Mapa riesgos'!$M$79="Muy Alta",'Mapa riesgos'!$Q$79="Mayor"),CONCATENATE("R",'Mapa riesgos'!$A$79),"")</f>
        <v/>
      </c>
      <c r="AG12" s="477"/>
      <c r="AH12" s="487" t="str">
        <f>IF(AND('Mapa riesgos'!$M$67="Muy Alta",'Mapa riesgos'!$Q$67="Catastrófico"),CONCATENATE("R",'Mapa riesgos'!$A$67),"")</f>
        <v/>
      </c>
      <c r="AI12" s="488"/>
      <c r="AJ12" s="488" t="str">
        <f>IF(AND('Mapa riesgos'!$M$73="Muy Alta",'Mapa riesgos'!$Q$73="Catastrófico"),CONCATENATE("R",'Mapa riesgos'!$A$73),"")</f>
        <v/>
      </c>
      <c r="AK12" s="488"/>
      <c r="AL12" s="488" t="str">
        <f>IF(AND('Mapa riesgos'!$M$79="Muy Alta",'Mapa riesgos'!$Q$79="Catastrófico"),CONCATENATE("R",'Mapa riesgos'!$A$79),"")</f>
        <v/>
      </c>
      <c r="AM12" s="489"/>
      <c r="AN12" s="66"/>
      <c r="AO12" s="434"/>
      <c r="AP12" s="435"/>
      <c r="AQ12" s="435"/>
      <c r="AR12" s="435"/>
      <c r="AS12" s="435"/>
      <c r="AT12" s="43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
      <c r="A13" s="66"/>
      <c r="B13" s="429"/>
      <c r="C13" s="429"/>
      <c r="D13" s="430"/>
      <c r="E13" s="473"/>
      <c r="F13" s="474"/>
      <c r="G13" s="474"/>
      <c r="H13" s="474"/>
      <c r="I13" s="475"/>
      <c r="J13" s="480"/>
      <c r="K13" s="476"/>
      <c r="L13" s="476"/>
      <c r="M13" s="476"/>
      <c r="N13" s="476"/>
      <c r="O13" s="477"/>
      <c r="P13" s="480"/>
      <c r="Q13" s="476"/>
      <c r="R13" s="476"/>
      <c r="S13" s="476"/>
      <c r="T13" s="476"/>
      <c r="U13" s="477"/>
      <c r="V13" s="480"/>
      <c r="W13" s="476"/>
      <c r="X13" s="476"/>
      <c r="Y13" s="476"/>
      <c r="Z13" s="476"/>
      <c r="AA13" s="477"/>
      <c r="AB13" s="480"/>
      <c r="AC13" s="476"/>
      <c r="AD13" s="476"/>
      <c r="AE13" s="476"/>
      <c r="AF13" s="476"/>
      <c r="AG13" s="477"/>
      <c r="AH13" s="490"/>
      <c r="AI13" s="491"/>
      <c r="AJ13" s="491"/>
      <c r="AK13" s="491"/>
      <c r="AL13" s="491"/>
      <c r="AM13" s="492"/>
      <c r="AN13" s="66"/>
      <c r="AO13" s="437"/>
      <c r="AP13" s="438"/>
      <c r="AQ13" s="438"/>
      <c r="AR13" s="438"/>
      <c r="AS13" s="438"/>
      <c r="AT13" s="439"/>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25">
      <c r="A14" s="66"/>
      <c r="B14" s="429"/>
      <c r="C14" s="429"/>
      <c r="D14" s="430"/>
      <c r="E14" s="467" t="s">
        <v>179</v>
      </c>
      <c r="F14" s="468"/>
      <c r="G14" s="468"/>
      <c r="H14" s="468"/>
      <c r="I14" s="468"/>
      <c r="J14" s="502" t="str">
        <f>IF(AND('Mapa riesgos'!$M$13="Alta",'Mapa riesgos'!$Q$13="Leve"),CONCATENATE("R",'Mapa riesgos'!$A$13),"")</f>
        <v/>
      </c>
      <c r="K14" s="503"/>
      <c r="L14" s="503" t="str">
        <f>IF(AND('Mapa riesgos'!$M$19="Alta",'Mapa riesgos'!$Q$19="Leve"),CONCATENATE("R",'Mapa riesgos'!$A$19),"")</f>
        <v/>
      </c>
      <c r="M14" s="503"/>
      <c r="N14" s="503" t="str">
        <f>IF(AND('Mapa riesgos'!$M$25="Alta",'Mapa riesgos'!$Q$25="Leve"),CONCATENATE("R",'Mapa riesgos'!$A$25),"")</f>
        <v/>
      </c>
      <c r="O14" s="504"/>
      <c r="P14" s="502" t="str">
        <f>IF(AND('Mapa riesgos'!$M$13="Alta",'Mapa riesgos'!$Q$13="Menor"),CONCATENATE("R",'Mapa riesgos'!$A$13),"")</f>
        <v/>
      </c>
      <c r="Q14" s="503"/>
      <c r="R14" s="503" t="str">
        <f>IF(AND('Mapa riesgos'!$M$19="Alta",'Mapa riesgos'!$Q$19="Menor"),CONCATENATE("R",'Mapa riesgos'!$A$19),"")</f>
        <v/>
      </c>
      <c r="S14" s="503"/>
      <c r="T14" s="503" t="str">
        <f>IF(AND('Mapa riesgos'!$M$25="Alta",'Mapa riesgos'!$Q$25="Menor"),CONCATENATE("R",'Mapa riesgos'!$A$25),"")</f>
        <v/>
      </c>
      <c r="U14" s="504"/>
      <c r="V14" s="478" t="str">
        <f>IF(AND('Mapa riesgos'!$M$13="Alta",'Mapa riesgos'!$Q$13="Moderado"),CONCATENATE("R",'Mapa riesgos'!$A$13),"")</f>
        <v>R1</v>
      </c>
      <c r="W14" s="479"/>
      <c r="X14" s="479" t="str">
        <f>IF(AND('Mapa riesgos'!$M$19="Alta",'Mapa riesgos'!$Q$19="Moderado"),CONCATENATE("R",'Mapa riesgos'!$A$19),"")</f>
        <v/>
      </c>
      <c r="Y14" s="479"/>
      <c r="Z14" s="479" t="str">
        <f>IF(AND('Mapa riesgos'!$M$25="Alta",'Mapa riesgos'!$Q$25="Moderado"),CONCATENATE("R",'Mapa riesgos'!$A$25),"")</f>
        <v/>
      </c>
      <c r="AA14" s="481"/>
      <c r="AB14" s="478" t="str">
        <f>IF(AND('Mapa riesgos'!$M$13="Alta",'Mapa riesgos'!$Q$13="Mayor"),CONCATENATE("R",'Mapa riesgos'!$A$13),"")</f>
        <v/>
      </c>
      <c r="AC14" s="479"/>
      <c r="AD14" s="479" t="str">
        <f>IF(AND('Mapa riesgos'!$M$19="Alta",'Mapa riesgos'!$Q$19="Mayor"),CONCATENATE("R",'Mapa riesgos'!$A$19),"")</f>
        <v/>
      </c>
      <c r="AE14" s="479"/>
      <c r="AF14" s="479" t="str">
        <f>IF(AND('Mapa riesgos'!$M$25="Alta",'Mapa riesgos'!$Q$25="Mayor"),CONCATENATE("R",'Mapa riesgos'!$A$25),"")</f>
        <v/>
      </c>
      <c r="AG14" s="481"/>
      <c r="AH14" s="493" t="str">
        <f>IF(AND('Mapa riesgos'!$M$13="Alta",'Mapa riesgos'!$Q$13="Catastrófico"),CONCATENATE("R",'Mapa riesgos'!$A$13),"")</f>
        <v/>
      </c>
      <c r="AI14" s="494"/>
      <c r="AJ14" s="494" t="str">
        <f>IF(AND('Mapa riesgos'!$M$19="Alta",'Mapa riesgos'!$Q$19="Catastrófico"),CONCATENATE("R",'Mapa riesgos'!$A$19),"")</f>
        <v/>
      </c>
      <c r="AK14" s="494"/>
      <c r="AL14" s="494" t="str">
        <f>IF(AND('Mapa riesgos'!$M$25="Alta",'Mapa riesgos'!$Q$25="Catastrófico"),CONCATENATE("R",'Mapa riesgos'!$A$25),"")</f>
        <v/>
      </c>
      <c r="AM14" s="495"/>
      <c r="AN14" s="66"/>
      <c r="AO14" s="440" t="s">
        <v>180</v>
      </c>
      <c r="AP14" s="441"/>
      <c r="AQ14" s="441"/>
      <c r="AR14" s="441"/>
      <c r="AS14" s="441"/>
      <c r="AT14" s="442"/>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25">
      <c r="A15" s="66"/>
      <c r="B15" s="429"/>
      <c r="C15" s="429"/>
      <c r="D15" s="430"/>
      <c r="E15" s="470"/>
      <c r="F15" s="471"/>
      <c r="G15" s="471"/>
      <c r="H15" s="471"/>
      <c r="I15" s="471"/>
      <c r="J15" s="496"/>
      <c r="K15" s="497"/>
      <c r="L15" s="497"/>
      <c r="M15" s="497"/>
      <c r="N15" s="497"/>
      <c r="O15" s="498"/>
      <c r="P15" s="496"/>
      <c r="Q15" s="497"/>
      <c r="R15" s="497"/>
      <c r="S15" s="497"/>
      <c r="T15" s="497"/>
      <c r="U15" s="498"/>
      <c r="V15" s="480"/>
      <c r="W15" s="476"/>
      <c r="X15" s="476"/>
      <c r="Y15" s="476"/>
      <c r="Z15" s="476"/>
      <c r="AA15" s="477"/>
      <c r="AB15" s="480"/>
      <c r="AC15" s="476"/>
      <c r="AD15" s="476"/>
      <c r="AE15" s="476"/>
      <c r="AF15" s="476"/>
      <c r="AG15" s="477"/>
      <c r="AH15" s="487"/>
      <c r="AI15" s="488"/>
      <c r="AJ15" s="488"/>
      <c r="AK15" s="488"/>
      <c r="AL15" s="488"/>
      <c r="AM15" s="489"/>
      <c r="AN15" s="66"/>
      <c r="AO15" s="443"/>
      <c r="AP15" s="444"/>
      <c r="AQ15" s="444"/>
      <c r="AR15" s="444"/>
      <c r="AS15" s="444"/>
      <c r="AT15" s="445"/>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25">
      <c r="A16" s="66"/>
      <c r="B16" s="429"/>
      <c r="C16" s="429"/>
      <c r="D16" s="430"/>
      <c r="E16" s="470"/>
      <c r="F16" s="471"/>
      <c r="G16" s="471"/>
      <c r="H16" s="471"/>
      <c r="I16" s="471"/>
      <c r="J16" s="496" t="str">
        <f>IF(AND('Mapa riesgos'!$M$31="Alta",'Mapa riesgos'!$Q$31="Leve"),CONCATENATE("R",'Mapa riesgos'!$A$31),"")</f>
        <v/>
      </c>
      <c r="K16" s="497"/>
      <c r="L16" s="497" t="str">
        <f>IF(AND('Mapa riesgos'!$M$37="Alta",'Mapa riesgos'!$Q$37="Leve"),CONCATENATE("R",'Mapa riesgos'!$A$37),"")</f>
        <v/>
      </c>
      <c r="M16" s="497"/>
      <c r="N16" s="497" t="str">
        <f>IF(AND('Mapa riesgos'!$M$43="Alta",'Mapa riesgos'!$Q$43="Leve"),CONCATENATE("R",'Mapa riesgos'!$A$43),"")</f>
        <v/>
      </c>
      <c r="O16" s="498"/>
      <c r="P16" s="496" t="str">
        <f>IF(AND('Mapa riesgos'!$M$31="Alta",'Mapa riesgos'!$Q$31="Menor"),CONCATENATE("R",'Mapa riesgos'!$A$31),"")</f>
        <v/>
      </c>
      <c r="Q16" s="497"/>
      <c r="R16" s="497" t="str">
        <f>IF(AND('Mapa riesgos'!$M$37="Alta",'Mapa riesgos'!$Q$37="Menor"),CONCATENATE("R",'Mapa riesgos'!$A$37),"")</f>
        <v/>
      </c>
      <c r="S16" s="497"/>
      <c r="T16" s="497" t="str">
        <f>IF(AND('Mapa riesgos'!$M$43="Alta",'Mapa riesgos'!$Q$43="Menor"),CONCATENATE("R",'Mapa riesgos'!$A$43),"")</f>
        <v/>
      </c>
      <c r="U16" s="498"/>
      <c r="V16" s="480" t="str">
        <f>IF(AND('Mapa riesgos'!$M$31="Alta",'Mapa riesgos'!$Q$31="Moderado"),CONCATENATE("R",'Mapa riesgos'!$A$31),"")</f>
        <v/>
      </c>
      <c r="W16" s="476"/>
      <c r="X16" s="476" t="str">
        <f>IF(AND('Mapa riesgos'!$M$37="Alta",'Mapa riesgos'!$Q$37="Moderado"),CONCATENATE("R",'Mapa riesgos'!$A$37),"")</f>
        <v/>
      </c>
      <c r="Y16" s="476"/>
      <c r="Z16" s="476" t="str">
        <f>IF(AND('Mapa riesgos'!$M$43="Alta",'Mapa riesgos'!$Q$43="Moderado"),CONCATENATE("R",'Mapa riesgos'!$A$43),"")</f>
        <v/>
      </c>
      <c r="AA16" s="477"/>
      <c r="AB16" s="480" t="str">
        <f>IF(AND('Mapa riesgos'!$M$31="Alta",'Mapa riesgos'!$Q$31="Mayor"),CONCATENATE("R",'Mapa riesgos'!$A$31),"")</f>
        <v/>
      </c>
      <c r="AC16" s="476"/>
      <c r="AD16" s="476" t="str">
        <f>IF(AND('Mapa riesgos'!$M$37="Alta",'Mapa riesgos'!$Q$37="Mayor"),CONCATENATE("R",'Mapa riesgos'!$A$37),"")</f>
        <v/>
      </c>
      <c r="AE16" s="476"/>
      <c r="AF16" s="476" t="str">
        <f>IF(AND('Mapa riesgos'!$M$43="Alta",'Mapa riesgos'!$Q$43="Mayor"),CONCATENATE("R",'Mapa riesgos'!$A$43),"")</f>
        <v/>
      </c>
      <c r="AG16" s="477"/>
      <c r="AH16" s="487" t="str">
        <f>IF(AND('Mapa riesgos'!$M$31="Alta",'Mapa riesgos'!$Q$31="Catastrófico"),CONCATENATE("R",'Mapa riesgos'!$A$31),"")</f>
        <v/>
      </c>
      <c r="AI16" s="488"/>
      <c r="AJ16" s="488" t="str">
        <f>IF(AND('Mapa riesgos'!$M$37="Alta",'Mapa riesgos'!$Q$37="Catastrófico"),CONCATENATE("R",'Mapa riesgos'!$A$37),"")</f>
        <v/>
      </c>
      <c r="AK16" s="488"/>
      <c r="AL16" s="488" t="str">
        <f>IF(AND('Mapa riesgos'!$M$43="Alta",'Mapa riesgos'!$Q$43="Catastrófico"),CONCATENATE("R",'Mapa riesgos'!$A$43),"")</f>
        <v/>
      </c>
      <c r="AM16" s="489"/>
      <c r="AN16" s="66"/>
      <c r="AO16" s="443"/>
      <c r="AP16" s="444"/>
      <c r="AQ16" s="444"/>
      <c r="AR16" s="444"/>
      <c r="AS16" s="444"/>
      <c r="AT16" s="445"/>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25">
      <c r="A17" s="66"/>
      <c r="B17" s="429"/>
      <c r="C17" s="429"/>
      <c r="D17" s="430"/>
      <c r="E17" s="470"/>
      <c r="F17" s="471"/>
      <c r="G17" s="471"/>
      <c r="H17" s="471"/>
      <c r="I17" s="471"/>
      <c r="J17" s="496"/>
      <c r="K17" s="497"/>
      <c r="L17" s="497"/>
      <c r="M17" s="497"/>
      <c r="N17" s="497"/>
      <c r="O17" s="498"/>
      <c r="P17" s="496"/>
      <c r="Q17" s="497"/>
      <c r="R17" s="497"/>
      <c r="S17" s="497"/>
      <c r="T17" s="497"/>
      <c r="U17" s="498"/>
      <c r="V17" s="480"/>
      <c r="W17" s="476"/>
      <c r="X17" s="476"/>
      <c r="Y17" s="476"/>
      <c r="Z17" s="476"/>
      <c r="AA17" s="477"/>
      <c r="AB17" s="480"/>
      <c r="AC17" s="476"/>
      <c r="AD17" s="476"/>
      <c r="AE17" s="476"/>
      <c r="AF17" s="476"/>
      <c r="AG17" s="477"/>
      <c r="AH17" s="487"/>
      <c r="AI17" s="488"/>
      <c r="AJ17" s="488"/>
      <c r="AK17" s="488"/>
      <c r="AL17" s="488"/>
      <c r="AM17" s="489"/>
      <c r="AN17" s="66"/>
      <c r="AO17" s="443"/>
      <c r="AP17" s="444"/>
      <c r="AQ17" s="444"/>
      <c r="AR17" s="444"/>
      <c r="AS17" s="444"/>
      <c r="AT17" s="445"/>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25">
      <c r="A18" s="66"/>
      <c r="B18" s="429"/>
      <c r="C18" s="429"/>
      <c r="D18" s="430"/>
      <c r="E18" s="470"/>
      <c r="F18" s="471"/>
      <c r="G18" s="471"/>
      <c r="H18" s="471"/>
      <c r="I18" s="471"/>
      <c r="J18" s="496" t="str">
        <f>IF(AND('Mapa riesgos'!$M$49="Alta",'Mapa riesgos'!$Q$49="Leve"),CONCATENATE("R",'Mapa riesgos'!$A$49),"")</f>
        <v/>
      </c>
      <c r="K18" s="497"/>
      <c r="L18" s="497" t="str">
        <f>IF(AND('Mapa riesgos'!$M$55="Alta",'Mapa riesgos'!$Q$55="Leve"),CONCATENATE("R",'Mapa riesgos'!$A$55),"")</f>
        <v/>
      </c>
      <c r="M18" s="497"/>
      <c r="N18" s="497" t="str">
        <f>IF(AND('Mapa riesgos'!$M$61="Alta",'Mapa riesgos'!$Q$61="Leve"),CONCATENATE("R",'Mapa riesgos'!$A$61),"")</f>
        <v/>
      </c>
      <c r="O18" s="498"/>
      <c r="P18" s="496" t="str">
        <f>IF(AND('Mapa riesgos'!$M$49="Alta",'Mapa riesgos'!$Q$49="Menor"),CONCATENATE("R",'Mapa riesgos'!$A$49),"")</f>
        <v/>
      </c>
      <c r="Q18" s="497"/>
      <c r="R18" s="497" t="str">
        <f>IF(AND('Mapa riesgos'!$M$55="Alta",'Mapa riesgos'!$Q$55="Menor"),CONCATENATE("R",'Mapa riesgos'!$A$55),"")</f>
        <v/>
      </c>
      <c r="S18" s="497"/>
      <c r="T18" s="497" t="str">
        <f>IF(AND('Mapa riesgos'!$M$61="Alta",'Mapa riesgos'!$Q$61="Menor"),CONCATENATE("R",'Mapa riesgos'!$A$61),"")</f>
        <v/>
      </c>
      <c r="U18" s="498"/>
      <c r="V18" s="480" t="str">
        <f>IF(AND('Mapa riesgos'!$M$49="Alta",'Mapa riesgos'!$Q$49="Moderado"),CONCATENATE("R",'Mapa riesgos'!$A$49),"")</f>
        <v/>
      </c>
      <c r="W18" s="476"/>
      <c r="X18" s="476" t="str">
        <f>IF(AND('Mapa riesgos'!$M$55="Alta",'Mapa riesgos'!$Q$55="Moderado"),CONCATENATE("R",'Mapa riesgos'!$A$55),"")</f>
        <v/>
      </c>
      <c r="Y18" s="476"/>
      <c r="Z18" s="476" t="str">
        <f>IF(AND('Mapa riesgos'!$M$61="Alta",'Mapa riesgos'!$Q$61="Moderado"),CONCATENATE("R",'Mapa riesgos'!$A$61),"")</f>
        <v/>
      </c>
      <c r="AA18" s="477"/>
      <c r="AB18" s="480" t="str">
        <f>IF(AND('Mapa riesgos'!$M$49="Alta",'Mapa riesgos'!$Q$49="Mayor"),CONCATENATE("R",'Mapa riesgos'!$A$49),"")</f>
        <v/>
      </c>
      <c r="AC18" s="476"/>
      <c r="AD18" s="476" t="str">
        <f>IF(AND('Mapa riesgos'!$M$55="Alta",'Mapa riesgos'!$Q$55="Mayor"),CONCATENATE("R",'Mapa riesgos'!$A$55),"")</f>
        <v/>
      </c>
      <c r="AE18" s="476"/>
      <c r="AF18" s="476" t="str">
        <f>IF(AND('Mapa riesgos'!$M$61="Alta",'Mapa riesgos'!$Q$61="Mayor"),CONCATENATE("R",'Mapa riesgos'!$A$61),"")</f>
        <v/>
      </c>
      <c r="AG18" s="477"/>
      <c r="AH18" s="487" t="str">
        <f>IF(AND('Mapa riesgos'!$M$49="Alta",'Mapa riesgos'!$Q$49="Catastrófico"),CONCATENATE("R",'Mapa riesgos'!$A$49),"")</f>
        <v/>
      </c>
      <c r="AI18" s="488"/>
      <c r="AJ18" s="488" t="str">
        <f>IF(AND('Mapa riesgos'!$M$55="Alta",'Mapa riesgos'!$Q$55="Catastrófico"),CONCATENATE("R",'Mapa riesgos'!$A$55),"")</f>
        <v/>
      </c>
      <c r="AK18" s="488"/>
      <c r="AL18" s="488" t="str">
        <f>IF(AND('Mapa riesgos'!$M$61="Alta",'Mapa riesgos'!$Q$61="Catastrófico"),CONCATENATE("R",'Mapa riesgos'!$A$61),"")</f>
        <v/>
      </c>
      <c r="AM18" s="489"/>
      <c r="AN18" s="66"/>
      <c r="AO18" s="443"/>
      <c r="AP18" s="444"/>
      <c r="AQ18" s="444"/>
      <c r="AR18" s="444"/>
      <c r="AS18" s="444"/>
      <c r="AT18" s="445"/>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25">
      <c r="A19" s="66"/>
      <c r="B19" s="429"/>
      <c r="C19" s="429"/>
      <c r="D19" s="430"/>
      <c r="E19" s="470"/>
      <c r="F19" s="471"/>
      <c r="G19" s="471"/>
      <c r="H19" s="471"/>
      <c r="I19" s="471"/>
      <c r="J19" s="496"/>
      <c r="K19" s="497"/>
      <c r="L19" s="497"/>
      <c r="M19" s="497"/>
      <c r="N19" s="497"/>
      <c r="O19" s="498"/>
      <c r="P19" s="496"/>
      <c r="Q19" s="497"/>
      <c r="R19" s="497"/>
      <c r="S19" s="497"/>
      <c r="T19" s="497"/>
      <c r="U19" s="498"/>
      <c r="V19" s="480"/>
      <c r="W19" s="476"/>
      <c r="X19" s="476"/>
      <c r="Y19" s="476"/>
      <c r="Z19" s="476"/>
      <c r="AA19" s="477"/>
      <c r="AB19" s="480"/>
      <c r="AC19" s="476"/>
      <c r="AD19" s="476"/>
      <c r="AE19" s="476"/>
      <c r="AF19" s="476"/>
      <c r="AG19" s="477"/>
      <c r="AH19" s="487"/>
      <c r="AI19" s="488"/>
      <c r="AJ19" s="488"/>
      <c r="AK19" s="488"/>
      <c r="AL19" s="488"/>
      <c r="AM19" s="489"/>
      <c r="AN19" s="66"/>
      <c r="AO19" s="443"/>
      <c r="AP19" s="444"/>
      <c r="AQ19" s="444"/>
      <c r="AR19" s="444"/>
      <c r="AS19" s="444"/>
      <c r="AT19" s="445"/>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25">
      <c r="A20" s="66"/>
      <c r="B20" s="429"/>
      <c r="C20" s="429"/>
      <c r="D20" s="430"/>
      <c r="E20" s="470"/>
      <c r="F20" s="471"/>
      <c r="G20" s="471"/>
      <c r="H20" s="471"/>
      <c r="I20" s="471"/>
      <c r="J20" s="496" t="str">
        <f>IF(AND('Mapa riesgos'!$M$67="Alta",'Mapa riesgos'!$Q$67="Leve"),CONCATENATE("R",'Mapa riesgos'!$A$67),"")</f>
        <v/>
      </c>
      <c r="K20" s="497"/>
      <c r="L20" s="497" t="str">
        <f>IF(AND('Mapa riesgos'!$M$73="Alta",'Mapa riesgos'!$Q$73="Leve"),CONCATENATE("R",'Mapa riesgos'!$A$73),"")</f>
        <v/>
      </c>
      <c r="M20" s="497"/>
      <c r="N20" s="497" t="str">
        <f>IF(AND('Mapa riesgos'!$M$79="Alta",'Mapa riesgos'!$Q$79="Leve"),CONCATENATE("R",'Mapa riesgos'!$A$79),"")</f>
        <v/>
      </c>
      <c r="O20" s="498"/>
      <c r="P20" s="496" t="str">
        <f>IF(AND('Mapa riesgos'!$M$67="Alta",'Mapa riesgos'!$Q$67="Menor"),CONCATENATE("R",'Mapa riesgos'!$A$67),"")</f>
        <v/>
      </c>
      <c r="Q20" s="497"/>
      <c r="R20" s="497" t="str">
        <f>IF(AND('Mapa riesgos'!$M$73="Alta",'Mapa riesgos'!$Q$73="Menor"),CONCATENATE("R",'Mapa riesgos'!$A$73),"")</f>
        <v/>
      </c>
      <c r="S20" s="497"/>
      <c r="T20" s="497" t="str">
        <f>IF(AND('Mapa riesgos'!$M$79="Alta",'Mapa riesgos'!$Q$79="Menor"),CONCATENATE("R",'Mapa riesgos'!$A$79),"")</f>
        <v/>
      </c>
      <c r="U20" s="498"/>
      <c r="V20" s="480" t="str">
        <f>IF(AND('Mapa riesgos'!$M$67="Alta",'Mapa riesgos'!$Q$67="Moderado"),CONCATENATE("R",'Mapa riesgos'!$A$67),"")</f>
        <v/>
      </c>
      <c r="W20" s="476"/>
      <c r="X20" s="476" t="str">
        <f>IF(AND('Mapa riesgos'!$M$73="Alta",'Mapa riesgos'!$Q$73="Moderado"),CONCATENATE("R",'Mapa riesgos'!$A$73),"")</f>
        <v/>
      </c>
      <c r="Y20" s="476"/>
      <c r="Z20" s="476" t="str">
        <f>IF(AND('Mapa riesgos'!$M$79="Alta",'Mapa riesgos'!$Q$79="Moderado"),CONCATENATE("R",'Mapa riesgos'!$A$79),"")</f>
        <v/>
      </c>
      <c r="AA20" s="477"/>
      <c r="AB20" s="480" t="str">
        <f>IF(AND('Mapa riesgos'!$M$67="Alta",'Mapa riesgos'!$Q$67="Mayor"),CONCATENATE("R",'Mapa riesgos'!$A$67),"")</f>
        <v/>
      </c>
      <c r="AC20" s="476"/>
      <c r="AD20" s="476" t="str">
        <f>IF(AND('Mapa riesgos'!$M$73="Alta",'Mapa riesgos'!$Q$73="Mayor"),CONCATENATE("R",'Mapa riesgos'!$A$73),"")</f>
        <v/>
      </c>
      <c r="AE20" s="476"/>
      <c r="AF20" s="476" t="str">
        <f>IF(AND('Mapa riesgos'!$M$79="Alta",'Mapa riesgos'!$Q$79="Mayor"),CONCATENATE("R",'Mapa riesgos'!$A$79),"")</f>
        <v/>
      </c>
      <c r="AG20" s="477"/>
      <c r="AH20" s="487" t="str">
        <f>IF(AND('Mapa riesgos'!$M$67="Alta",'Mapa riesgos'!$Q$67="Catastrófico"),CONCATENATE("R",'Mapa riesgos'!$A$67),"")</f>
        <v/>
      </c>
      <c r="AI20" s="488"/>
      <c r="AJ20" s="488" t="str">
        <f>IF(AND('Mapa riesgos'!$M$73="Alta",'Mapa riesgos'!$Q$73="Catastrófico"),CONCATENATE("R",'Mapa riesgos'!$A$73),"")</f>
        <v/>
      </c>
      <c r="AK20" s="488"/>
      <c r="AL20" s="488" t="str">
        <f>IF(AND('Mapa riesgos'!$M$79="Alta",'Mapa riesgos'!$Q$79="Catastrófico"),CONCATENATE("R",'Mapa riesgos'!$A$79),"")</f>
        <v/>
      </c>
      <c r="AM20" s="489"/>
      <c r="AN20" s="66"/>
      <c r="AO20" s="443"/>
      <c r="AP20" s="444"/>
      <c r="AQ20" s="444"/>
      <c r="AR20" s="444"/>
      <c r="AS20" s="444"/>
      <c r="AT20" s="445"/>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
      <c r="A21" s="66"/>
      <c r="B21" s="429"/>
      <c r="C21" s="429"/>
      <c r="D21" s="430"/>
      <c r="E21" s="473"/>
      <c r="F21" s="474"/>
      <c r="G21" s="474"/>
      <c r="H21" s="474"/>
      <c r="I21" s="474"/>
      <c r="J21" s="499"/>
      <c r="K21" s="500"/>
      <c r="L21" s="500"/>
      <c r="M21" s="500"/>
      <c r="N21" s="500"/>
      <c r="O21" s="501"/>
      <c r="P21" s="499"/>
      <c r="Q21" s="500"/>
      <c r="R21" s="500"/>
      <c r="S21" s="500"/>
      <c r="T21" s="500"/>
      <c r="U21" s="501"/>
      <c r="V21" s="484"/>
      <c r="W21" s="485"/>
      <c r="X21" s="485"/>
      <c r="Y21" s="485"/>
      <c r="Z21" s="485"/>
      <c r="AA21" s="486"/>
      <c r="AB21" s="484"/>
      <c r="AC21" s="485"/>
      <c r="AD21" s="485"/>
      <c r="AE21" s="485"/>
      <c r="AF21" s="485"/>
      <c r="AG21" s="486"/>
      <c r="AH21" s="490"/>
      <c r="AI21" s="491"/>
      <c r="AJ21" s="491"/>
      <c r="AK21" s="491"/>
      <c r="AL21" s="491"/>
      <c r="AM21" s="492"/>
      <c r="AN21" s="66"/>
      <c r="AO21" s="446"/>
      <c r="AP21" s="447"/>
      <c r="AQ21" s="447"/>
      <c r="AR21" s="447"/>
      <c r="AS21" s="447"/>
      <c r="AT21" s="448"/>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25">
      <c r="A22" s="66"/>
      <c r="B22" s="429"/>
      <c r="C22" s="429"/>
      <c r="D22" s="430"/>
      <c r="E22" s="467" t="s">
        <v>181</v>
      </c>
      <c r="F22" s="468"/>
      <c r="G22" s="468"/>
      <c r="H22" s="468"/>
      <c r="I22" s="469"/>
      <c r="J22" s="502" t="str">
        <f>IF(AND('Mapa riesgos'!$M$13="Media",'Mapa riesgos'!$Q$13="Leve"),CONCATENATE("R",'Mapa riesgos'!$A$13),"")</f>
        <v/>
      </c>
      <c r="K22" s="503"/>
      <c r="L22" s="503" t="str">
        <f>IF(AND('Mapa riesgos'!$M$19="Media",'Mapa riesgos'!$Q$19="Leve"),CONCATENATE("R",'Mapa riesgos'!$A$19),"")</f>
        <v/>
      </c>
      <c r="M22" s="503"/>
      <c r="N22" s="503" t="str">
        <f>IF(AND('Mapa riesgos'!$M$25="Media",'Mapa riesgos'!$Q$25="Leve"),CONCATENATE("R",'Mapa riesgos'!$A$25),"")</f>
        <v/>
      </c>
      <c r="O22" s="504"/>
      <c r="P22" s="502" t="str">
        <f>IF(AND('Mapa riesgos'!$M$13="Media",'Mapa riesgos'!$Q$13="Menor"),CONCATENATE("R",'Mapa riesgos'!$A$13),"")</f>
        <v/>
      </c>
      <c r="Q22" s="503"/>
      <c r="R22" s="503" t="str">
        <f>IF(AND('Mapa riesgos'!$M$19="Media",'Mapa riesgos'!$Q$19="Menor"),CONCATENATE("R",'Mapa riesgos'!$A$19),"")</f>
        <v/>
      </c>
      <c r="S22" s="503"/>
      <c r="T22" s="503" t="str">
        <f>IF(AND('Mapa riesgos'!$M$25="Media",'Mapa riesgos'!$Q$25="Menor"),CONCATENATE("R",'Mapa riesgos'!$A$25),"")</f>
        <v/>
      </c>
      <c r="U22" s="504"/>
      <c r="V22" s="502" t="str">
        <f>IF(AND('Mapa riesgos'!$M$13="Media",'Mapa riesgos'!$Q$13="Moderado"),CONCATENATE("R",'Mapa riesgos'!$A$13),"")</f>
        <v/>
      </c>
      <c r="W22" s="503"/>
      <c r="X22" s="503" t="str">
        <f>IF(AND('Mapa riesgos'!$M$19="Media",'Mapa riesgos'!$Q$19="Moderado"),CONCATENATE("R",'Mapa riesgos'!$A$19),"")</f>
        <v>R2</v>
      </c>
      <c r="Y22" s="503"/>
      <c r="Z22" s="503" t="str">
        <f>IF(AND('Mapa riesgos'!$M$25="Media",'Mapa riesgos'!$Q$25="Moderado"),CONCATENATE("R",'Mapa riesgos'!$A$25),"")</f>
        <v>R3</v>
      </c>
      <c r="AA22" s="504"/>
      <c r="AB22" s="478" t="str">
        <f>IF(AND('Mapa riesgos'!$M$13="Media",'Mapa riesgos'!$Q$13="Mayor"),CONCATENATE("R",'Mapa riesgos'!$A$13),"")</f>
        <v/>
      </c>
      <c r="AC22" s="479"/>
      <c r="AD22" s="479" t="str">
        <f>IF(AND('Mapa riesgos'!$M$19="Media",'Mapa riesgos'!$Q$19="Mayor"),CONCATENATE("R",'Mapa riesgos'!$A$19),"")</f>
        <v/>
      </c>
      <c r="AE22" s="479"/>
      <c r="AF22" s="479" t="str">
        <f>IF(AND('Mapa riesgos'!$M$25="Media",'Mapa riesgos'!$Q$25="Mayor"),CONCATENATE("R",'Mapa riesgos'!$A$25),"")</f>
        <v/>
      </c>
      <c r="AG22" s="481"/>
      <c r="AH22" s="493" t="str">
        <f>IF(AND('Mapa riesgos'!$M$13="Media",'Mapa riesgos'!$Q$13="Catastrófico"),CONCATENATE("R",'Mapa riesgos'!$A$13),"")</f>
        <v/>
      </c>
      <c r="AI22" s="494"/>
      <c r="AJ22" s="494" t="str">
        <f>IF(AND('Mapa riesgos'!$M$19="Media",'Mapa riesgos'!$Q$19="Catastrófico"),CONCATENATE("R",'Mapa riesgos'!$A$19),"")</f>
        <v/>
      </c>
      <c r="AK22" s="494"/>
      <c r="AL22" s="494" t="str">
        <f>IF(AND('Mapa riesgos'!$M$25="Media",'Mapa riesgos'!$Q$25="Catastrófico"),CONCATENATE("R",'Mapa riesgos'!$A$25),"")</f>
        <v/>
      </c>
      <c r="AM22" s="495"/>
      <c r="AN22" s="66"/>
      <c r="AO22" s="449" t="s">
        <v>182</v>
      </c>
      <c r="AP22" s="450"/>
      <c r="AQ22" s="450"/>
      <c r="AR22" s="450"/>
      <c r="AS22" s="450"/>
      <c r="AT22" s="451"/>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25">
      <c r="A23" s="66"/>
      <c r="B23" s="429"/>
      <c r="C23" s="429"/>
      <c r="D23" s="430"/>
      <c r="E23" s="470"/>
      <c r="F23" s="471"/>
      <c r="G23" s="471"/>
      <c r="H23" s="471"/>
      <c r="I23" s="472"/>
      <c r="J23" s="496"/>
      <c r="K23" s="497"/>
      <c r="L23" s="497"/>
      <c r="M23" s="497"/>
      <c r="N23" s="497"/>
      <c r="O23" s="498"/>
      <c r="P23" s="496"/>
      <c r="Q23" s="497"/>
      <c r="R23" s="497"/>
      <c r="S23" s="497"/>
      <c r="T23" s="497"/>
      <c r="U23" s="498"/>
      <c r="V23" s="496"/>
      <c r="W23" s="497"/>
      <c r="X23" s="497"/>
      <c r="Y23" s="497"/>
      <c r="Z23" s="497"/>
      <c r="AA23" s="498"/>
      <c r="AB23" s="480"/>
      <c r="AC23" s="476"/>
      <c r="AD23" s="476"/>
      <c r="AE23" s="476"/>
      <c r="AF23" s="476"/>
      <c r="AG23" s="477"/>
      <c r="AH23" s="487"/>
      <c r="AI23" s="488"/>
      <c r="AJ23" s="488"/>
      <c r="AK23" s="488"/>
      <c r="AL23" s="488"/>
      <c r="AM23" s="489"/>
      <c r="AN23" s="66"/>
      <c r="AO23" s="452"/>
      <c r="AP23" s="453"/>
      <c r="AQ23" s="453"/>
      <c r="AR23" s="453"/>
      <c r="AS23" s="453"/>
      <c r="AT23" s="454"/>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25">
      <c r="A24" s="66"/>
      <c r="B24" s="429"/>
      <c r="C24" s="429"/>
      <c r="D24" s="430"/>
      <c r="E24" s="470"/>
      <c r="F24" s="471"/>
      <c r="G24" s="471"/>
      <c r="H24" s="471"/>
      <c r="I24" s="472"/>
      <c r="J24" s="496" t="str">
        <f>IF(AND('Mapa riesgos'!$M$31="Media",'Mapa riesgos'!$Q$31="Leve"),CONCATENATE("R",'Mapa riesgos'!$A$31),"")</f>
        <v/>
      </c>
      <c r="K24" s="497"/>
      <c r="L24" s="497" t="str">
        <f>IF(AND('Mapa riesgos'!$M$37="Media",'Mapa riesgos'!$Q$37="Leve"),CONCATENATE("R",'Mapa riesgos'!$A$37),"")</f>
        <v/>
      </c>
      <c r="M24" s="497"/>
      <c r="N24" s="497" t="str">
        <f>IF(AND('Mapa riesgos'!$M$43="Media",'Mapa riesgos'!$Q$43="Leve"),CONCATENATE("R",'Mapa riesgos'!$A$43),"")</f>
        <v/>
      </c>
      <c r="O24" s="498"/>
      <c r="P24" s="496" t="str">
        <f>IF(AND('Mapa riesgos'!$M$31="Media",'Mapa riesgos'!$Q$31="Menor"),CONCATENATE("R",'Mapa riesgos'!$A$31),"")</f>
        <v/>
      </c>
      <c r="Q24" s="497"/>
      <c r="R24" s="497" t="str">
        <f>IF(AND('Mapa riesgos'!$M$37="Media",'Mapa riesgos'!$Q$37="Menor"),CONCATENATE("R",'Mapa riesgos'!$A$37),"")</f>
        <v/>
      </c>
      <c r="S24" s="497"/>
      <c r="T24" s="497" t="str">
        <f>IF(AND('Mapa riesgos'!$M$43="Media",'Mapa riesgos'!$Q$43="Menor"),CONCATENATE("R",'Mapa riesgos'!$A$43),"")</f>
        <v/>
      </c>
      <c r="U24" s="498"/>
      <c r="V24" s="496" t="str">
        <f>IF(AND('Mapa riesgos'!$M$31="Media",'Mapa riesgos'!$Q$31="Moderado"),CONCATENATE("R",'Mapa riesgos'!$A$31),"")</f>
        <v>R4</v>
      </c>
      <c r="W24" s="497"/>
      <c r="X24" s="497" t="str">
        <f>IF(AND('Mapa riesgos'!$M$37="Media",'Mapa riesgos'!$Q$37="Moderado"),CONCATENATE("R",'Mapa riesgos'!$A$37),"")</f>
        <v/>
      </c>
      <c r="Y24" s="497"/>
      <c r="Z24" s="497" t="str">
        <f>IF(AND('Mapa riesgos'!$M$43="Media",'Mapa riesgos'!$Q$43="Moderado"),CONCATENATE("R",'Mapa riesgos'!$A$43),"")</f>
        <v/>
      </c>
      <c r="AA24" s="498"/>
      <c r="AB24" s="480" t="str">
        <f>IF(AND('Mapa riesgos'!$M$31="Media",'Mapa riesgos'!$Q$31="Mayor"),CONCATENATE("R",'Mapa riesgos'!$A$31),"")</f>
        <v/>
      </c>
      <c r="AC24" s="476"/>
      <c r="AD24" s="476" t="str">
        <f>IF(AND('Mapa riesgos'!$M$37="Media",'Mapa riesgos'!$Q$37="Mayor"),CONCATENATE("R",'Mapa riesgos'!$A$37),"")</f>
        <v/>
      </c>
      <c r="AE24" s="476"/>
      <c r="AF24" s="476" t="str">
        <f>IF(AND('Mapa riesgos'!$M$43="Media",'Mapa riesgos'!$Q$43="Mayor"),CONCATENATE("R",'Mapa riesgos'!$A$43),"")</f>
        <v/>
      </c>
      <c r="AG24" s="477"/>
      <c r="AH24" s="487" t="str">
        <f>IF(AND('Mapa riesgos'!$M$31="Media",'Mapa riesgos'!$Q$31="Catastrófico"),CONCATENATE("R",'Mapa riesgos'!$A$31),"")</f>
        <v/>
      </c>
      <c r="AI24" s="488"/>
      <c r="AJ24" s="488" t="str">
        <f>IF(AND('Mapa riesgos'!$M$37="Media",'Mapa riesgos'!$Q$37="Catastrófico"),CONCATENATE("R",'Mapa riesgos'!$A$37),"")</f>
        <v/>
      </c>
      <c r="AK24" s="488"/>
      <c r="AL24" s="488" t="str">
        <f>IF(AND('Mapa riesgos'!$M$43="Media",'Mapa riesgos'!$Q$43="Catastrófico"),CONCATENATE("R",'Mapa riesgos'!$A$43),"")</f>
        <v/>
      </c>
      <c r="AM24" s="489"/>
      <c r="AN24" s="66"/>
      <c r="AO24" s="452"/>
      <c r="AP24" s="453"/>
      <c r="AQ24" s="453"/>
      <c r="AR24" s="453"/>
      <c r="AS24" s="453"/>
      <c r="AT24" s="454"/>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25">
      <c r="A25" s="66"/>
      <c r="B25" s="429"/>
      <c r="C25" s="429"/>
      <c r="D25" s="430"/>
      <c r="E25" s="470"/>
      <c r="F25" s="471"/>
      <c r="G25" s="471"/>
      <c r="H25" s="471"/>
      <c r="I25" s="472"/>
      <c r="J25" s="496"/>
      <c r="K25" s="497"/>
      <c r="L25" s="497"/>
      <c r="M25" s="497"/>
      <c r="N25" s="497"/>
      <c r="O25" s="498"/>
      <c r="P25" s="496"/>
      <c r="Q25" s="497"/>
      <c r="R25" s="497"/>
      <c r="S25" s="497"/>
      <c r="T25" s="497"/>
      <c r="U25" s="498"/>
      <c r="V25" s="496"/>
      <c r="W25" s="497"/>
      <c r="X25" s="497"/>
      <c r="Y25" s="497"/>
      <c r="Z25" s="497"/>
      <c r="AA25" s="498"/>
      <c r="AB25" s="480"/>
      <c r="AC25" s="476"/>
      <c r="AD25" s="476"/>
      <c r="AE25" s="476"/>
      <c r="AF25" s="476"/>
      <c r="AG25" s="477"/>
      <c r="AH25" s="487"/>
      <c r="AI25" s="488"/>
      <c r="AJ25" s="488"/>
      <c r="AK25" s="488"/>
      <c r="AL25" s="488"/>
      <c r="AM25" s="489"/>
      <c r="AN25" s="66"/>
      <c r="AO25" s="452"/>
      <c r="AP25" s="453"/>
      <c r="AQ25" s="453"/>
      <c r="AR25" s="453"/>
      <c r="AS25" s="453"/>
      <c r="AT25" s="454"/>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25">
      <c r="A26" s="66"/>
      <c r="B26" s="429"/>
      <c r="C26" s="429"/>
      <c r="D26" s="430"/>
      <c r="E26" s="470"/>
      <c r="F26" s="471"/>
      <c r="G26" s="471"/>
      <c r="H26" s="471"/>
      <c r="I26" s="472"/>
      <c r="J26" s="496" t="str">
        <f>IF(AND('Mapa riesgos'!$M$49="Media",'Mapa riesgos'!$Q$49="Leve"),CONCATENATE("R",'Mapa riesgos'!$A$49),"")</f>
        <v/>
      </c>
      <c r="K26" s="497"/>
      <c r="L26" s="497" t="str">
        <f>IF(AND('Mapa riesgos'!$M$55="Media",'Mapa riesgos'!$Q$55="Leve"),CONCATENATE("R",'Mapa riesgos'!$A$55),"")</f>
        <v/>
      </c>
      <c r="M26" s="497"/>
      <c r="N26" s="497" t="str">
        <f>IF(AND('Mapa riesgos'!$M$61="Media",'Mapa riesgos'!$Q$61="Leve"),CONCATENATE("R",'Mapa riesgos'!$A$61),"")</f>
        <v/>
      </c>
      <c r="O26" s="498"/>
      <c r="P26" s="496" t="str">
        <f>IF(AND('Mapa riesgos'!$M$49="Media",'Mapa riesgos'!$Q$49="Menor"),CONCATENATE("R",'Mapa riesgos'!$A$49),"")</f>
        <v/>
      </c>
      <c r="Q26" s="497"/>
      <c r="R26" s="497" t="str">
        <f>IF(AND('Mapa riesgos'!$M$55="Media",'Mapa riesgos'!$Q$55="Menor"),CONCATENATE("R",'Mapa riesgos'!$A$55),"")</f>
        <v/>
      </c>
      <c r="S26" s="497"/>
      <c r="T26" s="497" t="str">
        <f>IF(AND('Mapa riesgos'!$M$61="Media",'Mapa riesgos'!$Q$61="Menor"),CONCATENATE("R",'Mapa riesgos'!$A$61),"")</f>
        <v/>
      </c>
      <c r="U26" s="498"/>
      <c r="V26" s="496" t="str">
        <f>IF(AND('Mapa riesgos'!$M$49="Media",'Mapa riesgos'!$Q$49="Moderado"),CONCATENATE("R",'Mapa riesgos'!$A$49),"")</f>
        <v/>
      </c>
      <c r="W26" s="497"/>
      <c r="X26" s="497" t="str">
        <f>IF(AND('Mapa riesgos'!$M$55="Media",'Mapa riesgos'!$Q$55="Moderado"),CONCATENATE("R",'Mapa riesgos'!$A$55),"")</f>
        <v/>
      </c>
      <c r="Y26" s="497"/>
      <c r="Z26" s="497" t="str">
        <f>IF(AND('Mapa riesgos'!$M$61="Media",'Mapa riesgos'!$Q$61="Moderado"),CONCATENATE("R",'Mapa riesgos'!$A$61),"")</f>
        <v/>
      </c>
      <c r="AA26" s="498"/>
      <c r="AB26" s="480" t="str">
        <f>IF(AND('Mapa riesgos'!$M$49="Media",'Mapa riesgos'!$Q$49="Mayor"),CONCATENATE("R",'Mapa riesgos'!$A$49),"")</f>
        <v/>
      </c>
      <c r="AC26" s="476"/>
      <c r="AD26" s="476" t="str">
        <f>IF(AND('Mapa riesgos'!$M$55="Media",'Mapa riesgos'!$Q$55="Mayor"),CONCATENATE("R",'Mapa riesgos'!$A$55),"")</f>
        <v/>
      </c>
      <c r="AE26" s="476"/>
      <c r="AF26" s="476" t="str">
        <f>IF(AND('Mapa riesgos'!$M$61="Media",'Mapa riesgos'!$Q$61="Mayor"),CONCATENATE("R",'Mapa riesgos'!$A$61),"")</f>
        <v/>
      </c>
      <c r="AG26" s="477"/>
      <c r="AH26" s="487" t="str">
        <f>IF(AND('Mapa riesgos'!$M$49="Media",'Mapa riesgos'!$Q$49="Catastrófico"),CONCATENATE("R",'Mapa riesgos'!$A$49),"")</f>
        <v/>
      </c>
      <c r="AI26" s="488"/>
      <c r="AJ26" s="488" t="str">
        <f>IF(AND('Mapa riesgos'!$M$55="Media",'Mapa riesgos'!$Q$55="Catastrófico"),CONCATENATE("R",'Mapa riesgos'!$A$55),"")</f>
        <v/>
      </c>
      <c r="AK26" s="488"/>
      <c r="AL26" s="488" t="str">
        <f>IF(AND('Mapa riesgos'!$M$61="Media",'Mapa riesgos'!$Q$61="Catastrófico"),CONCATENATE("R",'Mapa riesgos'!$A$61),"")</f>
        <v/>
      </c>
      <c r="AM26" s="489"/>
      <c r="AN26" s="66"/>
      <c r="AO26" s="452"/>
      <c r="AP26" s="453"/>
      <c r="AQ26" s="453"/>
      <c r="AR26" s="453"/>
      <c r="AS26" s="453"/>
      <c r="AT26" s="454"/>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25">
      <c r="A27" s="66"/>
      <c r="B27" s="429"/>
      <c r="C27" s="429"/>
      <c r="D27" s="430"/>
      <c r="E27" s="470"/>
      <c r="F27" s="471"/>
      <c r="G27" s="471"/>
      <c r="H27" s="471"/>
      <c r="I27" s="472"/>
      <c r="J27" s="496"/>
      <c r="K27" s="497"/>
      <c r="L27" s="497"/>
      <c r="M27" s="497"/>
      <c r="N27" s="497"/>
      <c r="O27" s="498"/>
      <c r="P27" s="496"/>
      <c r="Q27" s="497"/>
      <c r="R27" s="497"/>
      <c r="S27" s="497"/>
      <c r="T27" s="497"/>
      <c r="U27" s="498"/>
      <c r="V27" s="496"/>
      <c r="W27" s="497"/>
      <c r="X27" s="497"/>
      <c r="Y27" s="497"/>
      <c r="Z27" s="497"/>
      <c r="AA27" s="498"/>
      <c r="AB27" s="480"/>
      <c r="AC27" s="476"/>
      <c r="AD27" s="476"/>
      <c r="AE27" s="476"/>
      <c r="AF27" s="476"/>
      <c r="AG27" s="477"/>
      <c r="AH27" s="487"/>
      <c r="AI27" s="488"/>
      <c r="AJ27" s="488"/>
      <c r="AK27" s="488"/>
      <c r="AL27" s="488"/>
      <c r="AM27" s="489"/>
      <c r="AN27" s="66"/>
      <c r="AO27" s="452"/>
      <c r="AP27" s="453"/>
      <c r="AQ27" s="453"/>
      <c r="AR27" s="453"/>
      <c r="AS27" s="453"/>
      <c r="AT27" s="454"/>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25">
      <c r="A28" s="66"/>
      <c r="B28" s="429"/>
      <c r="C28" s="429"/>
      <c r="D28" s="430"/>
      <c r="E28" s="470"/>
      <c r="F28" s="471"/>
      <c r="G28" s="471"/>
      <c r="H28" s="471"/>
      <c r="I28" s="472"/>
      <c r="J28" s="496" t="str">
        <f>IF(AND('Mapa riesgos'!$M$67="Media",'Mapa riesgos'!$Q$67="Leve"),CONCATENATE("R",'Mapa riesgos'!$A$67),"")</f>
        <v/>
      </c>
      <c r="K28" s="497"/>
      <c r="L28" s="497" t="str">
        <f>IF(AND('Mapa riesgos'!$M$73="Media",'Mapa riesgos'!$Q$73="Leve"),CONCATENATE("R",'Mapa riesgos'!$A$73),"")</f>
        <v/>
      </c>
      <c r="M28" s="497"/>
      <c r="N28" s="497" t="str">
        <f>IF(AND('Mapa riesgos'!$M$79="Media",'Mapa riesgos'!$Q$79="Leve"),CONCATENATE("R",'Mapa riesgos'!$A$79),"")</f>
        <v/>
      </c>
      <c r="O28" s="498"/>
      <c r="P28" s="496" t="str">
        <f>IF(AND('Mapa riesgos'!$M$67="Media",'Mapa riesgos'!$Q$67="Menor"),CONCATENATE("R",'Mapa riesgos'!$A$67),"")</f>
        <v/>
      </c>
      <c r="Q28" s="497"/>
      <c r="R28" s="497" t="str">
        <f>IF(AND('Mapa riesgos'!$M$73="Media",'Mapa riesgos'!$Q$73="Menor"),CONCATENATE("R",'Mapa riesgos'!$A$73),"")</f>
        <v/>
      </c>
      <c r="S28" s="497"/>
      <c r="T28" s="497" t="str">
        <f>IF(AND('Mapa riesgos'!$M$79="Media",'Mapa riesgos'!$Q$79="Menor"),CONCATENATE("R",'Mapa riesgos'!$A$79),"")</f>
        <v/>
      </c>
      <c r="U28" s="498"/>
      <c r="V28" s="496" t="str">
        <f>IF(AND('Mapa riesgos'!$M$67="Media",'Mapa riesgos'!$Q$67="Moderado"),CONCATENATE("R",'Mapa riesgos'!$A$67),"")</f>
        <v/>
      </c>
      <c r="W28" s="497"/>
      <c r="X28" s="497" t="str">
        <f>IF(AND('Mapa riesgos'!$M$73="Media",'Mapa riesgos'!$Q$73="Moderado"),CONCATENATE("R",'Mapa riesgos'!$A$73),"")</f>
        <v/>
      </c>
      <c r="Y28" s="497"/>
      <c r="Z28" s="497" t="str">
        <f>IF(AND('Mapa riesgos'!$M$79="Media",'Mapa riesgos'!$Q$79="Moderado"),CONCATENATE("R",'Mapa riesgos'!$A$79),"")</f>
        <v/>
      </c>
      <c r="AA28" s="498"/>
      <c r="AB28" s="480" t="str">
        <f>IF(AND('Mapa riesgos'!$M$67="Media",'Mapa riesgos'!$Q$67="Mayor"),CONCATENATE("R",'Mapa riesgos'!$A$67),"")</f>
        <v/>
      </c>
      <c r="AC28" s="476"/>
      <c r="AD28" s="476" t="str">
        <f>IF(AND('Mapa riesgos'!$M$73="Media",'Mapa riesgos'!$Q$73="Mayor"),CONCATENATE("R",'Mapa riesgos'!$A$73),"")</f>
        <v/>
      </c>
      <c r="AE28" s="476"/>
      <c r="AF28" s="476" t="str">
        <f>IF(AND('Mapa riesgos'!$M$79="Media",'Mapa riesgos'!$Q$79="Mayor"),CONCATENATE("R",'Mapa riesgos'!$A$79),"")</f>
        <v/>
      </c>
      <c r="AG28" s="477"/>
      <c r="AH28" s="487" t="str">
        <f>IF(AND('Mapa riesgos'!$M$67="Media",'Mapa riesgos'!$Q$67="Catastrófico"),CONCATENATE("R",'Mapa riesgos'!$A$67),"")</f>
        <v/>
      </c>
      <c r="AI28" s="488"/>
      <c r="AJ28" s="488" t="str">
        <f>IF(AND('Mapa riesgos'!$M$73="Media",'Mapa riesgos'!$Q$73="Catastrófico"),CONCATENATE("R",'Mapa riesgos'!$A$73),"")</f>
        <v/>
      </c>
      <c r="AK28" s="488"/>
      <c r="AL28" s="488" t="str">
        <f>IF(AND('Mapa riesgos'!$M$79="Media",'Mapa riesgos'!$Q$79="Catastrófico"),CONCATENATE("R",'Mapa riesgos'!$A$79),"")</f>
        <v/>
      </c>
      <c r="AM28" s="489"/>
      <c r="AN28" s="66"/>
      <c r="AO28" s="452"/>
      <c r="AP28" s="453"/>
      <c r="AQ28" s="453"/>
      <c r="AR28" s="453"/>
      <c r="AS28" s="453"/>
      <c r="AT28" s="454"/>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75" thickBot="1" x14ac:dyDescent="0.3">
      <c r="A29" s="66"/>
      <c r="B29" s="429"/>
      <c r="C29" s="429"/>
      <c r="D29" s="430"/>
      <c r="E29" s="473"/>
      <c r="F29" s="474"/>
      <c r="G29" s="474"/>
      <c r="H29" s="474"/>
      <c r="I29" s="475"/>
      <c r="J29" s="496"/>
      <c r="K29" s="497"/>
      <c r="L29" s="497"/>
      <c r="M29" s="497"/>
      <c r="N29" s="497"/>
      <c r="O29" s="498"/>
      <c r="P29" s="499"/>
      <c r="Q29" s="500"/>
      <c r="R29" s="500"/>
      <c r="S29" s="500"/>
      <c r="T29" s="500"/>
      <c r="U29" s="501"/>
      <c r="V29" s="499"/>
      <c r="W29" s="500"/>
      <c r="X29" s="500"/>
      <c r="Y29" s="500"/>
      <c r="Z29" s="500"/>
      <c r="AA29" s="501"/>
      <c r="AB29" s="484"/>
      <c r="AC29" s="485"/>
      <c r="AD29" s="485"/>
      <c r="AE29" s="485"/>
      <c r="AF29" s="485"/>
      <c r="AG29" s="486"/>
      <c r="AH29" s="490"/>
      <c r="AI29" s="491"/>
      <c r="AJ29" s="491"/>
      <c r="AK29" s="491"/>
      <c r="AL29" s="491"/>
      <c r="AM29" s="492"/>
      <c r="AN29" s="66"/>
      <c r="AO29" s="455"/>
      <c r="AP29" s="456"/>
      <c r="AQ29" s="456"/>
      <c r="AR29" s="456"/>
      <c r="AS29" s="456"/>
      <c r="AT29" s="457"/>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25">
      <c r="A30" s="66"/>
      <c r="B30" s="429"/>
      <c r="C30" s="429"/>
      <c r="D30" s="430"/>
      <c r="E30" s="467" t="s">
        <v>183</v>
      </c>
      <c r="F30" s="468"/>
      <c r="G30" s="468"/>
      <c r="H30" s="468"/>
      <c r="I30" s="468"/>
      <c r="J30" s="511" t="str">
        <f>IF(AND('Mapa riesgos'!$M$13="Baja",'Mapa riesgos'!$Q$13="Leve"),CONCATENATE("R",'Mapa riesgos'!$A$13),"")</f>
        <v/>
      </c>
      <c r="K30" s="512"/>
      <c r="L30" s="512" t="str">
        <f>IF(AND('Mapa riesgos'!$M$19="Baja",'Mapa riesgos'!$Q$19="Leve"),CONCATENATE("R",'Mapa riesgos'!$A$19),"")</f>
        <v/>
      </c>
      <c r="M30" s="512"/>
      <c r="N30" s="512" t="str">
        <f>IF(AND('Mapa riesgos'!$M$25="Baja",'Mapa riesgos'!$Q$25="Leve"),CONCATENATE("R",'Mapa riesgos'!$A$25),"")</f>
        <v/>
      </c>
      <c r="O30" s="513"/>
      <c r="P30" s="503" t="str">
        <f>IF(AND('Mapa riesgos'!$M$13="Baja",'Mapa riesgos'!$Q$13="Menor"),CONCATENATE("R",'Mapa riesgos'!$A$13),"")</f>
        <v/>
      </c>
      <c r="Q30" s="503"/>
      <c r="R30" s="503" t="str">
        <f>IF(AND('Mapa riesgos'!$M$19="Baja",'Mapa riesgos'!$Q$19="Menor"),CONCATENATE("R",'Mapa riesgos'!$A$19),"")</f>
        <v/>
      </c>
      <c r="S30" s="503"/>
      <c r="T30" s="503" t="str">
        <f>IF(AND('Mapa riesgos'!$M$25="Baja",'Mapa riesgos'!$Q$25="Menor"),CONCATENATE("R",'Mapa riesgos'!$A$25),"")</f>
        <v/>
      </c>
      <c r="U30" s="504"/>
      <c r="V30" s="502" t="str">
        <f>IF(AND('Mapa riesgos'!$M$13="Baja",'Mapa riesgos'!$Q$13="Moderado"),CONCATENATE("R",'Mapa riesgos'!$A$13),"")</f>
        <v/>
      </c>
      <c r="W30" s="503"/>
      <c r="X30" s="503" t="str">
        <f>IF(AND('Mapa riesgos'!$M$19="Baja",'Mapa riesgos'!$Q$19="Moderado"),CONCATENATE("R",'Mapa riesgos'!$A$19),"")</f>
        <v/>
      </c>
      <c r="Y30" s="503"/>
      <c r="Z30" s="503" t="str">
        <f>IF(AND('Mapa riesgos'!$M$25="Baja",'Mapa riesgos'!$Q$25="Moderado"),CONCATENATE("R",'Mapa riesgos'!$A$25),"")</f>
        <v/>
      </c>
      <c r="AA30" s="504"/>
      <c r="AB30" s="478" t="str">
        <f>IF(AND('Mapa riesgos'!$M$13="Baja",'Mapa riesgos'!$Q$13="Mayor"),CONCATENATE("R",'Mapa riesgos'!$A$13),"")</f>
        <v/>
      </c>
      <c r="AC30" s="479"/>
      <c r="AD30" s="479" t="str">
        <f>IF(AND('Mapa riesgos'!$M$19="Baja",'Mapa riesgos'!$Q$19="Mayor"),CONCATENATE("R",'Mapa riesgos'!$A$19),"")</f>
        <v/>
      </c>
      <c r="AE30" s="479"/>
      <c r="AF30" s="479" t="str">
        <f>IF(AND('Mapa riesgos'!$M$25="Baja",'Mapa riesgos'!$Q$25="Mayor"),CONCATENATE("R",'Mapa riesgos'!$A$25),"")</f>
        <v/>
      </c>
      <c r="AG30" s="481"/>
      <c r="AH30" s="493" t="str">
        <f>IF(AND('Mapa riesgos'!$M$13="Baja",'Mapa riesgos'!$Q$13="Catastrófico"),CONCATENATE("R",'Mapa riesgos'!$A$13),"")</f>
        <v/>
      </c>
      <c r="AI30" s="494"/>
      <c r="AJ30" s="494" t="str">
        <f>IF(AND('Mapa riesgos'!$M$19="Baja",'Mapa riesgos'!$Q$19="Catastrófico"),CONCATENATE("R",'Mapa riesgos'!$A$19),"")</f>
        <v/>
      </c>
      <c r="AK30" s="494"/>
      <c r="AL30" s="494" t="str">
        <f>IF(AND('Mapa riesgos'!$M$25="Baja",'Mapa riesgos'!$Q$25="Catastrófico"),CONCATENATE("R",'Mapa riesgos'!$A$25),"")</f>
        <v/>
      </c>
      <c r="AM30" s="495"/>
      <c r="AN30" s="66"/>
      <c r="AO30" s="458" t="s">
        <v>184</v>
      </c>
      <c r="AP30" s="459"/>
      <c r="AQ30" s="459"/>
      <c r="AR30" s="459"/>
      <c r="AS30" s="459"/>
      <c r="AT30" s="460"/>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25">
      <c r="A31" s="66"/>
      <c r="B31" s="429"/>
      <c r="C31" s="429"/>
      <c r="D31" s="430"/>
      <c r="E31" s="470"/>
      <c r="F31" s="471"/>
      <c r="G31" s="471"/>
      <c r="H31" s="471"/>
      <c r="I31" s="471"/>
      <c r="J31" s="507"/>
      <c r="K31" s="505"/>
      <c r="L31" s="505"/>
      <c r="M31" s="505"/>
      <c r="N31" s="505"/>
      <c r="O31" s="506"/>
      <c r="P31" s="497"/>
      <c r="Q31" s="497"/>
      <c r="R31" s="497"/>
      <c r="S31" s="497"/>
      <c r="T31" s="497"/>
      <c r="U31" s="498"/>
      <c r="V31" s="496"/>
      <c r="W31" s="497"/>
      <c r="X31" s="497"/>
      <c r="Y31" s="497"/>
      <c r="Z31" s="497"/>
      <c r="AA31" s="498"/>
      <c r="AB31" s="480"/>
      <c r="AC31" s="476"/>
      <c r="AD31" s="476"/>
      <c r="AE31" s="476"/>
      <c r="AF31" s="476"/>
      <c r="AG31" s="477"/>
      <c r="AH31" s="487"/>
      <c r="AI31" s="488"/>
      <c r="AJ31" s="488"/>
      <c r="AK31" s="488"/>
      <c r="AL31" s="488"/>
      <c r="AM31" s="489"/>
      <c r="AN31" s="66"/>
      <c r="AO31" s="461"/>
      <c r="AP31" s="462"/>
      <c r="AQ31" s="462"/>
      <c r="AR31" s="462"/>
      <c r="AS31" s="462"/>
      <c r="AT31" s="463"/>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25">
      <c r="A32" s="66"/>
      <c r="B32" s="429"/>
      <c r="C32" s="429"/>
      <c r="D32" s="430"/>
      <c r="E32" s="470"/>
      <c r="F32" s="471"/>
      <c r="G32" s="471"/>
      <c r="H32" s="471"/>
      <c r="I32" s="471"/>
      <c r="J32" s="507" t="str">
        <f>IF(AND('Mapa riesgos'!$M$31="Baja",'Mapa riesgos'!$Q$31="Leve"),CONCATENATE("R",'Mapa riesgos'!$A$31),"")</f>
        <v/>
      </c>
      <c r="K32" s="505"/>
      <c r="L32" s="505" t="str">
        <f>IF(AND('Mapa riesgos'!$M$37="Baja",'Mapa riesgos'!$Q$37="Leve"),CONCATENATE("R",'Mapa riesgos'!$A$37),"")</f>
        <v/>
      </c>
      <c r="M32" s="505"/>
      <c r="N32" s="505" t="str">
        <f>IF(AND('Mapa riesgos'!$M$43="Baja",'Mapa riesgos'!$Q$43="Leve"),CONCATENATE("R",'Mapa riesgos'!$A$43),"")</f>
        <v/>
      </c>
      <c r="O32" s="506"/>
      <c r="P32" s="497" t="str">
        <f>IF(AND('Mapa riesgos'!$M$31="Baja",'Mapa riesgos'!$Q$31="Menor"),CONCATENATE("R",'Mapa riesgos'!$A$31),"")</f>
        <v/>
      </c>
      <c r="Q32" s="497"/>
      <c r="R32" s="497" t="str">
        <f>IF(AND('Mapa riesgos'!$M$37="Baja",'Mapa riesgos'!$Q$37="Menor"),CONCATENATE("R",'Mapa riesgos'!$A$37),"")</f>
        <v/>
      </c>
      <c r="S32" s="497"/>
      <c r="T32" s="497" t="str">
        <f>IF(AND('Mapa riesgos'!$M$43="Baja",'Mapa riesgos'!$Q$43="Menor"),CONCATENATE("R",'Mapa riesgos'!$A$43),"")</f>
        <v/>
      </c>
      <c r="U32" s="498"/>
      <c r="V32" s="496" t="str">
        <f>IF(AND('Mapa riesgos'!$M$31="Baja",'Mapa riesgos'!$Q$31="Moderado"),CONCATENATE("R",'Mapa riesgos'!$A$31),"")</f>
        <v/>
      </c>
      <c r="W32" s="497"/>
      <c r="X32" s="497" t="str">
        <f>IF(AND('Mapa riesgos'!$M$37="Baja",'Mapa riesgos'!$Q$37="Moderado"),CONCATENATE("R",'Mapa riesgos'!$A$37),"")</f>
        <v/>
      </c>
      <c r="Y32" s="497"/>
      <c r="Z32" s="497" t="str">
        <f>IF(AND('Mapa riesgos'!$M$43="Baja",'Mapa riesgos'!$Q$43="Moderado"),CONCATENATE("R",'Mapa riesgos'!$A$43),"")</f>
        <v/>
      </c>
      <c r="AA32" s="498"/>
      <c r="AB32" s="480" t="str">
        <f>IF(AND('Mapa riesgos'!$M$31="Baja",'Mapa riesgos'!$Q$31="Mayor"),CONCATENATE("R",'Mapa riesgos'!$A$31),"")</f>
        <v/>
      </c>
      <c r="AC32" s="476"/>
      <c r="AD32" s="476" t="str">
        <f>IF(AND('Mapa riesgos'!$M$37="Baja",'Mapa riesgos'!$Q$37="Mayor"),CONCATENATE("R",'Mapa riesgos'!$A$37),"")</f>
        <v/>
      </c>
      <c r="AE32" s="476"/>
      <c r="AF32" s="476" t="str">
        <f>IF(AND('Mapa riesgos'!$M$43="Baja",'Mapa riesgos'!$Q$43="Mayor"),CONCATENATE("R",'Mapa riesgos'!$A$43),"")</f>
        <v/>
      </c>
      <c r="AG32" s="477"/>
      <c r="AH32" s="487" t="str">
        <f>IF(AND('Mapa riesgos'!$M$31="Baja",'Mapa riesgos'!$Q$31="Catastrófico"),CONCATENATE("R",'Mapa riesgos'!$A$31),"")</f>
        <v/>
      </c>
      <c r="AI32" s="488"/>
      <c r="AJ32" s="488" t="str">
        <f>IF(AND('Mapa riesgos'!$M$37="Baja",'Mapa riesgos'!$Q$37="Catastrófico"),CONCATENATE("R",'Mapa riesgos'!$A$37),"")</f>
        <v/>
      </c>
      <c r="AK32" s="488"/>
      <c r="AL32" s="488" t="str">
        <f>IF(AND('Mapa riesgos'!$M$43="Baja",'Mapa riesgos'!$Q$43="Catastrófico"),CONCATENATE("R",'Mapa riesgos'!$A$43),"")</f>
        <v/>
      </c>
      <c r="AM32" s="489"/>
      <c r="AN32" s="66"/>
      <c r="AO32" s="461"/>
      <c r="AP32" s="462"/>
      <c r="AQ32" s="462"/>
      <c r="AR32" s="462"/>
      <c r="AS32" s="462"/>
      <c r="AT32" s="463"/>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25">
      <c r="A33" s="66"/>
      <c r="B33" s="429"/>
      <c r="C33" s="429"/>
      <c r="D33" s="430"/>
      <c r="E33" s="470"/>
      <c r="F33" s="471"/>
      <c r="G33" s="471"/>
      <c r="H33" s="471"/>
      <c r="I33" s="471"/>
      <c r="J33" s="507"/>
      <c r="K33" s="505"/>
      <c r="L33" s="505"/>
      <c r="M33" s="505"/>
      <c r="N33" s="505"/>
      <c r="O33" s="506"/>
      <c r="P33" s="497"/>
      <c r="Q33" s="497"/>
      <c r="R33" s="497"/>
      <c r="S33" s="497"/>
      <c r="T33" s="497"/>
      <c r="U33" s="498"/>
      <c r="V33" s="496"/>
      <c r="W33" s="497"/>
      <c r="X33" s="497"/>
      <c r="Y33" s="497"/>
      <c r="Z33" s="497"/>
      <c r="AA33" s="498"/>
      <c r="AB33" s="480"/>
      <c r="AC33" s="476"/>
      <c r="AD33" s="476"/>
      <c r="AE33" s="476"/>
      <c r="AF33" s="476"/>
      <c r="AG33" s="477"/>
      <c r="AH33" s="487"/>
      <c r="AI33" s="488"/>
      <c r="AJ33" s="488"/>
      <c r="AK33" s="488"/>
      <c r="AL33" s="488"/>
      <c r="AM33" s="489"/>
      <c r="AN33" s="66"/>
      <c r="AO33" s="461"/>
      <c r="AP33" s="462"/>
      <c r="AQ33" s="462"/>
      <c r="AR33" s="462"/>
      <c r="AS33" s="462"/>
      <c r="AT33" s="463"/>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25">
      <c r="A34" s="66"/>
      <c r="B34" s="429"/>
      <c r="C34" s="429"/>
      <c r="D34" s="430"/>
      <c r="E34" s="470"/>
      <c r="F34" s="471"/>
      <c r="G34" s="471"/>
      <c r="H34" s="471"/>
      <c r="I34" s="471"/>
      <c r="J34" s="507" t="str">
        <f>IF(AND('Mapa riesgos'!$M$49="Baja",'Mapa riesgos'!$Q$49="Leve"),CONCATENATE("R",'Mapa riesgos'!$A$49),"")</f>
        <v/>
      </c>
      <c r="K34" s="505"/>
      <c r="L34" s="505" t="str">
        <f>IF(AND('Mapa riesgos'!$M$55="Baja",'Mapa riesgos'!$Q$55="Leve"),CONCATENATE("R",'Mapa riesgos'!$A$55),"")</f>
        <v/>
      </c>
      <c r="M34" s="505"/>
      <c r="N34" s="505" t="str">
        <f>IF(AND('Mapa riesgos'!$M$61="Baja",'Mapa riesgos'!$Q$61="Leve"),CONCATENATE("R",'Mapa riesgos'!$A$61),"")</f>
        <v/>
      </c>
      <c r="O34" s="506"/>
      <c r="P34" s="497" t="str">
        <f>IF(AND('Mapa riesgos'!$M$49="Baja",'Mapa riesgos'!$Q$49="Menor"),CONCATENATE("R",'Mapa riesgos'!$A$49),"")</f>
        <v/>
      </c>
      <c r="Q34" s="497"/>
      <c r="R34" s="497" t="str">
        <f>IF(AND('Mapa riesgos'!$M$55="Baja",'Mapa riesgos'!$Q$55="Menor"),CONCATENATE("R",'Mapa riesgos'!$A$55),"")</f>
        <v/>
      </c>
      <c r="S34" s="497"/>
      <c r="T34" s="497" t="str">
        <f>IF(AND('Mapa riesgos'!$M$61="Baja",'Mapa riesgos'!$Q$61="Menor"),CONCATENATE("R",'Mapa riesgos'!$A$61),"")</f>
        <v/>
      </c>
      <c r="U34" s="498"/>
      <c r="V34" s="496" t="str">
        <f>IF(AND('Mapa riesgos'!$M$49="Baja",'Mapa riesgos'!$Q$49="Moderado"),CONCATENATE("R",'Mapa riesgos'!$A$49),"")</f>
        <v/>
      </c>
      <c r="W34" s="497"/>
      <c r="X34" s="497" t="str">
        <f>IF(AND('Mapa riesgos'!$M$55="Baja",'Mapa riesgos'!$Q$55="Moderado"),CONCATENATE("R",'Mapa riesgos'!$A$55),"")</f>
        <v/>
      </c>
      <c r="Y34" s="497"/>
      <c r="Z34" s="497" t="str">
        <f>IF(AND('Mapa riesgos'!$M$61="Baja",'Mapa riesgos'!$Q$61="Moderado"),CONCATENATE("R",'Mapa riesgos'!$A$61),"")</f>
        <v/>
      </c>
      <c r="AA34" s="498"/>
      <c r="AB34" s="480" t="str">
        <f>IF(AND('Mapa riesgos'!$M$49="Baja",'Mapa riesgos'!$Q$49="Mayor"),CONCATENATE("R",'Mapa riesgos'!$A$49),"")</f>
        <v/>
      </c>
      <c r="AC34" s="476"/>
      <c r="AD34" s="476" t="str">
        <f>IF(AND('Mapa riesgos'!$M$55="Baja",'Mapa riesgos'!$Q$55="Mayor"),CONCATENATE("R",'Mapa riesgos'!$A$55),"")</f>
        <v/>
      </c>
      <c r="AE34" s="476"/>
      <c r="AF34" s="476" t="str">
        <f>IF(AND('Mapa riesgos'!$M$61="Baja",'Mapa riesgos'!$Q$61="Mayor"),CONCATENATE("R",'Mapa riesgos'!$A$61),"")</f>
        <v/>
      </c>
      <c r="AG34" s="477"/>
      <c r="AH34" s="487" t="str">
        <f>IF(AND('Mapa riesgos'!$M$49="Baja",'Mapa riesgos'!$Q$49="Catastrófico"),CONCATENATE("R",'Mapa riesgos'!$A$49),"")</f>
        <v/>
      </c>
      <c r="AI34" s="488"/>
      <c r="AJ34" s="488" t="str">
        <f>IF(AND('Mapa riesgos'!$M$55="Baja",'Mapa riesgos'!$Q$55="Catastrófico"),CONCATENATE("R",'Mapa riesgos'!$A$55),"")</f>
        <v/>
      </c>
      <c r="AK34" s="488"/>
      <c r="AL34" s="488" t="str">
        <f>IF(AND('Mapa riesgos'!$M$61="Baja",'Mapa riesgos'!$Q$61="Catastrófico"),CONCATENATE("R",'Mapa riesgos'!$A$61),"")</f>
        <v/>
      </c>
      <c r="AM34" s="489"/>
      <c r="AN34" s="66"/>
      <c r="AO34" s="461"/>
      <c r="AP34" s="462"/>
      <c r="AQ34" s="462"/>
      <c r="AR34" s="462"/>
      <c r="AS34" s="462"/>
      <c r="AT34" s="463"/>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25">
      <c r="A35" s="66"/>
      <c r="B35" s="429"/>
      <c r="C35" s="429"/>
      <c r="D35" s="430"/>
      <c r="E35" s="470"/>
      <c r="F35" s="471"/>
      <c r="G35" s="471"/>
      <c r="H35" s="471"/>
      <c r="I35" s="471"/>
      <c r="J35" s="507"/>
      <c r="K35" s="505"/>
      <c r="L35" s="505"/>
      <c r="M35" s="505"/>
      <c r="N35" s="505"/>
      <c r="O35" s="506"/>
      <c r="P35" s="497"/>
      <c r="Q35" s="497"/>
      <c r="R35" s="497"/>
      <c r="S35" s="497"/>
      <c r="T35" s="497"/>
      <c r="U35" s="498"/>
      <c r="V35" s="496"/>
      <c r="W35" s="497"/>
      <c r="X35" s="497"/>
      <c r="Y35" s="497"/>
      <c r="Z35" s="497"/>
      <c r="AA35" s="498"/>
      <c r="AB35" s="480"/>
      <c r="AC35" s="476"/>
      <c r="AD35" s="476"/>
      <c r="AE35" s="476"/>
      <c r="AF35" s="476"/>
      <c r="AG35" s="477"/>
      <c r="AH35" s="487"/>
      <c r="AI35" s="488"/>
      <c r="AJ35" s="488"/>
      <c r="AK35" s="488"/>
      <c r="AL35" s="488"/>
      <c r="AM35" s="489"/>
      <c r="AN35" s="66"/>
      <c r="AO35" s="461"/>
      <c r="AP35" s="462"/>
      <c r="AQ35" s="462"/>
      <c r="AR35" s="462"/>
      <c r="AS35" s="462"/>
      <c r="AT35" s="463"/>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25">
      <c r="A36" s="66"/>
      <c r="B36" s="429"/>
      <c r="C36" s="429"/>
      <c r="D36" s="430"/>
      <c r="E36" s="470"/>
      <c r="F36" s="471"/>
      <c r="G36" s="471"/>
      <c r="H36" s="471"/>
      <c r="I36" s="471"/>
      <c r="J36" s="507" t="str">
        <f>IF(AND('Mapa riesgos'!$M$67="Baja",'Mapa riesgos'!$Q$67="Leve"),CONCATENATE("R",'Mapa riesgos'!$A$67),"")</f>
        <v/>
      </c>
      <c r="K36" s="505"/>
      <c r="L36" s="505" t="str">
        <f>IF(AND('Mapa riesgos'!$M$73="Baja",'Mapa riesgos'!$Q$73="Leve"),CONCATENATE("R",'Mapa riesgos'!$A$73),"")</f>
        <v/>
      </c>
      <c r="M36" s="505"/>
      <c r="N36" s="505" t="str">
        <f>IF(AND('Mapa riesgos'!$M$79="Baja",'Mapa riesgos'!$Q$79="Leve"),CONCATENATE("R",'Mapa riesgos'!$A$79),"")</f>
        <v/>
      </c>
      <c r="O36" s="506"/>
      <c r="P36" s="497" t="str">
        <f>IF(AND('Mapa riesgos'!$M$67="Baja",'Mapa riesgos'!$Q$67="Menor"),CONCATENATE("R",'Mapa riesgos'!$A$67),"")</f>
        <v/>
      </c>
      <c r="Q36" s="497"/>
      <c r="R36" s="497" t="str">
        <f>IF(AND('Mapa riesgos'!$M$73="Baja",'Mapa riesgos'!$Q$73="Menor"),CONCATENATE("R",'Mapa riesgos'!$A$73),"")</f>
        <v/>
      </c>
      <c r="S36" s="497"/>
      <c r="T36" s="497" t="str">
        <f>IF(AND('Mapa riesgos'!$M$79="Baja",'Mapa riesgos'!$Q$79="Menor"),CONCATENATE("R",'Mapa riesgos'!$A$79),"")</f>
        <v/>
      </c>
      <c r="U36" s="498"/>
      <c r="V36" s="496" t="str">
        <f>IF(AND('Mapa riesgos'!$M$67="Baja",'Mapa riesgos'!$Q$67="Moderado"),CONCATENATE("R",'Mapa riesgos'!$A$67),"")</f>
        <v/>
      </c>
      <c r="W36" s="497"/>
      <c r="X36" s="497" t="str">
        <f>IF(AND('Mapa riesgos'!$M$73="Baja",'Mapa riesgos'!$Q$73="Moderado"),CONCATENATE("R",'Mapa riesgos'!$A$73),"")</f>
        <v/>
      </c>
      <c r="Y36" s="497"/>
      <c r="Z36" s="497" t="str">
        <f>IF(AND('Mapa riesgos'!$M$79="Baja",'Mapa riesgos'!$Q$79="Moderado"),CONCATENATE("R",'Mapa riesgos'!$A$79),"")</f>
        <v/>
      </c>
      <c r="AA36" s="498"/>
      <c r="AB36" s="480" t="str">
        <f>IF(AND('Mapa riesgos'!$M$67="Baja",'Mapa riesgos'!$Q$67="Mayor"),CONCATENATE("R",'Mapa riesgos'!$A$67),"")</f>
        <v/>
      </c>
      <c r="AC36" s="476"/>
      <c r="AD36" s="476" t="str">
        <f>IF(AND('Mapa riesgos'!$M$73="Baja",'Mapa riesgos'!$Q$73="Mayor"),CONCATENATE("R",'Mapa riesgos'!$A$73),"")</f>
        <v/>
      </c>
      <c r="AE36" s="476"/>
      <c r="AF36" s="476" t="str">
        <f>IF(AND('Mapa riesgos'!$M$79="Baja",'Mapa riesgos'!$Q$79="Mayor"),CONCATENATE("R",'Mapa riesgos'!$A$79),"")</f>
        <v/>
      </c>
      <c r="AG36" s="477"/>
      <c r="AH36" s="487" t="str">
        <f>IF(AND('Mapa riesgos'!$M$67="Baja",'Mapa riesgos'!$Q$67="Catastrófico"),CONCATENATE("R",'Mapa riesgos'!$A$67),"")</f>
        <v/>
      </c>
      <c r="AI36" s="488"/>
      <c r="AJ36" s="488" t="str">
        <f>IF(AND('Mapa riesgos'!$M$73="Baja",'Mapa riesgos'!$Q$73="Catastrófico"),CONCATENATE("R",'Mapa riesgos'!$A$73),"")</f>
        <v/>
      </c>
      <c r="AK36" s="488"/>
      <c r="AL36" s="488" t="str">
        <f>IF(AND('Mapa riesgos'!$M$79="Baja",'Mapa riesgos'!$Q$79="Catastrófico"),CONCATENATE("R",'Mapa riesgos'!$A$79),"")</f>
        <v/>
      </c>
      <c r="AM36" s="489"/>
      <c r="AN36" s="66"/>
      <c r="AO36" s="461"/>
      <c r="AP36" s="462"/>
      <c r="AQ36" s="462"/>
      <c r="AR36" s="462"/>
      <c r="AS36" s="462"/>
      <c r="AT36" s="463"/>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75" thickBot="1" x14ac:dyDescent="0.3">
      <c r="A37" s="66"/>
      <c r="B37" s="429"/>
      <c r="C37" s="429"/>
      <c r="D37" s="430"/>
      <c r="E37" s="473"/>
      <c r="F37" s="474"/>
      <c r="G37" s="474"/>
      <c r="H37" s="474"/>
      <c r="I37" s="474"/>
      <c r="J37" s="508"/>
      <c r="K37" s="509"/>
      <c r="L37" s="509"/>
      <c r="M37" s="509"/>
      <c r="N37" s="509"/>
      <c r="O37" s="510"/>
      <c r="P37" s="500"/>
      <c r="Q37" s="500"/>
      <c r="R37" s="500"/>
      <c r="S37" s="500"/>
      <c r="T37" s="500"/>
      <c r="U37" s="501"/>
      <c r="V37" s="499"/>
      <c r="W37" s="500"/>
      <c r="X37" s="500"/>
      <c r="Y37" s="500"/>
      <c r="Z37" s="500"/>
      <c r="AA37" s="501"/>
      <c r="AB37" s="484"/>
      <c r="AC37" s="485"/>
      <c r="AD37" s="485"/>
      <c r="AE37" s="485"/>
      <c r="AF37" s="485"/>
      <c r="AG37" s="486"/>
      <c r="AH37" s="490"/>
      <c r="AI37" s="491"/>
      <c r="AJ37" s="491"/>
      <c r="AK37" s="491"/>
      <c r="AL37" s="491"/>
      <c r="AM37" s="492"/>
      <c r="AN37" s="66"/>
      <c r="AO37" s="464"/>
      <c r="AP37" s="465"/>
      <c r="AQ37" s="465"/>
      <c r="AR37" s="465"/>
      <c r="AS37" s="465"/>
      <c r="AT37" s="466"/>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25">
      <c r="A38" s="66"/>
      <c r="B38" s="429"/>
      <c r="C38" s="429"/>
      <c r="D38" s="430"/>
      <c r="E38" s="467" t="s">
        <v>185</v>
      </c>
      <c r="F38" s="468"/>
      <c r="G38" s="468"/>
      <c r="H38" s="468"/>
      <c r="I38" s="469"/>
      <c r="J38" s="511" t="str">
        <f>IF(AND('Mapa riesgos'!$M$13="Muy Baja",'Mapa riesgos'!$Q$13="Leve"),CONCATENATE("R",'Mapa riesgos'!$A$13),"")</f>
        <v/>
      </c>
      <c r="K38" s="512"/>
      <c r="L38" s="512" t="str">
        <f>IF(AND('Mapa riesgos'!$M$19="Muy Baja",'Mapa riesgos'!$Q$19="Leve"),CONCATENATE("R",'Mapa riesgos'!$A$19),"")</f>
        <v/>
      </c>
      <c r="M38" s="512"/>
      <c r="N38" s="512" t="str">
        <f>IF(AND('Mapa riesgos'!$M$25="Muy Baja",'Mapa riesgos'!$Q$25="Leve"),CONCATENATE("R",'Mapa riesgos'!$A$25),"")</f>
        <v/>
      </c>
      <c r="O38" s="513"/>
      <c r="P38" s="511" t="str">
        <f>IF(AND('Mapa riesgos'!$M$13="Muy Baja",'Mapa riesgos'!$Q$13="Menor"),CONCATENATE("R",'Mapa riesgos'!$A$13),"")</f>
        <v/>
      </c>
      <c r="Q38" s="512"/>
      <c r="R38" s="512" t="str">
        <f>IF(AND('Mapa riesgos'!$M$19="Muy Baja",'Mapa riesgos'!$Q$19="Menor"),CONCATENATE("R",'Mapa riesgos'!$A$19),"")</f>
        <v/>
      </c>
      <c r="S38" s="512"/>
      <c r="T38" s="512" t="str">
        <f>IF(AND('Mapa riesgos'!$M$25="Muy Baja",'Mapa riesgos'!$Q$25="Menor"),CONCATENATE("R",'Mapa riesgos'!$A$25),"")</f>
        <v/>
      </c>
      <c r="U38" s="513"/>
      <c r="V38" s="502" t="str">
        <f>IF(AND('Mapa riesgos'!$M$13="Muy Baja",'Mapa riesgos'!$Q$13="Moderado"),CONCATENATE("R",'Mapa riesgos'!$A$13),"")</f>
        <v/>
      </c>
      <c r="W38" s="503"/>
      <c r="X38" s="503" t="str">
        <f>IF(AND('Mapa riesgos'!$M$19="Muy Baja",'Mapa riesgos'!$Q$19="Moderado"),CONCATENATE("R",'Mapa riesgos'!$A$19),"")</f>
        <v/>
      </c>
      <c r="Y38" s="503"/>
      <c r="Z38" s="503" t="str">
        <f>IF(AND('Mapa riesgos'!$M$25="Muy Baja",'Mapa riesgos'!$Q$25="Moderado"),CONCATENATE("R",'Mapa riesgos'!$A$25),"")</f>
        <v/>
      </c>
      <c r="AA38" s="504"/>
      <c r="AB38" s="478" t="str">
        <f>IF(AND('Mapa riesgos'!$M$13="Muy Baja",'Mapa riesgos'!$Q$13="Mayor"),CONCATENATE("R",'Mapa riesgos'!$A$13),"")</f>
        <v/>
      </c>
      <c r="AC38" s="479"/>
      <c r="AD38" s="479" t="str">
        <f>IF(AND('Mapa riesgos'!$M$19="Muy Baja",'Mapa riesgos'!$Q$19="Mayor"),CONCATENATE("R",'Mapa riesgos'!$A$19),"")</f>
        <v/>
      </c>
      <c r="AE38" s="479"/>
      <c r="AF38" s="479" t="str">
        <f>IF(AND('Mapa riesgos'!$M$25="Muy Baja",'Mapa riesgos'!$Q$25="Mayor"),CONCATENATE("R",'Mapa riesgos'!$A$25),"")</f>
        <v/>
      </c>
      <c r="AG38" s="481"/>
      <c r="AH38" s="493" t="str">
        <f>IF(AND('Mapa riesgos'!$M$13="Muy Baja",'Mapa riesgos'!$Q$13="Catastrófico"),CONCATENATE("R",'Mapa riesgos'!$A$13),"")</f>
        <v/>
      </c>
      <c r="AI38" s="494"/>
      <c r="AJ38" s="494" t="str">
        <f>IF(AND('Mapa riesgos'!$M$19="Muy Baja",'Mapa riesgos'!$Q$19="Catastrófico"),CONCATENATE("R",'Mapa riesgos'!$A$19),"")</f>
        <v/>
      </c>
      <c r="AK38" s="494"/>
      <c r="AL38" s="494" t="str">
        <f>IF(AND('Mapa riesgos'!$M$25="Muy Baja",'Mapa riesgos'!$Q$25="Catastrófico"),CONCATENATE("R",'Mapa riesgos'!$A$25),"")</f>
        <v/>
      </c>
      <c r="AM38" s="495"/>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25">
      <c r="A39" s="66"/>
      <c r="B39" s="429"/>
      <c r="C39" s="429"/>
      <c r="D39" s="430"/>
      <c r="E39" s="470"/>
      <c r="F39" s="471"/>
      <c r="G39" s="471"/>
      <c r="H39" s="471"/>
      <c r="I39" s="472"/>
      <c r="J39" s="507"/>
      <c r="K39" s="505"/>
      <c r="L39" s="505"/>
      <c r="M39" s="505"/>
      <c r="N39" s="505"/>
      <c r="O39" s="506"/>
      <c r="P39" s="507"/>
      <c r="Q39" s="505"/>
      <c r="R39" s="505"/>
      <c r="S39" s="505"/>
      <c r="T39" s="505"/>
      <c r="U39" s="506"/>
      <c r="V39" s="496"/>
      <c r="W39" s="497"/>
      <c r="X39" s="497"/>
      <c r="Y39" s="497"/>
      <c r="Z39" s="497"/>
      <c r="AA39" s="498"/>
      <c r="AB39" s="480"/>
      <c r="AC39" s="476"/>
      <c r="AD39" s="476"/>
      <c r="AE39" s="476"/>
      <c r="AF39" s="476"/>
      <c r="AG39" s="477"/>
      <c r="AH39" s="487"/>
      <c r="AI39" s="488"/>
      <c r="AJ39" s="488"/>
      <c r="AK39" s="488"/>
      <c r="AL39" s="488"/>
      <c r="AM39" s="489"/>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25">
      <c r="A40" s="66"/>
      <c r="B40" s="429"/>
      <c r="C40" s="429"/>
      <c r="D40" s="430"/>
      <c r="E40" s="470"/>
      <c r="F40" s="471"/>
      <c r="G40" s="471"/>
      <c r="H40" s="471"/>
      <c r="I40" s="472"/>
      <c r="J40" s="507" t="str">
        <f>IF(AND('Mapa riesgos'!$M$31="Muy Baja",'Mapa riesgos'!$Q$31="Leve"),CONCATENATE("R",'Mapa riesgos'!$A$31),"")</f>
        <v/>
      </c>
      <c r="K40" s="505"/>
      <c r="L40" s="505" t="str">
        <f>IF(AND('Mapa riesgos'!$M$37="Muy Baja",'Mapa riesgos'!$Q$37="Leve"),CONCATENATE("R",'Mapa riesgos'!$A$37),"")</f>
        <v/>
      </c>
      <c r="M40" s="505"/>
      <c r="N40" s="505" t="str">
        <f>IF(AND('Mapa riesgos'!$M$43="Muy Baja",'Mapa riesgos'!$Q$43="Leve"),CONCATENATE("R",'Mapa riesgos'!$A$43),"")</f>
        <v/>
      </c>
      <c r="O40" s="506"/>
      <c r="P40" s="507" t="str">
        <f>IF(AND('Mapa riesgos'!$M$31="Muy Baja",'Mapa riesgos'!$Q$31="Menor"),CONCATENATE("R",'Mapa riesgos'!$A$31),"")</f>
        <v/>
      </c>
      <c r="Q40" s="505"/>
      <c r="R40" s="505" t="str">
        <f>IF(AND('Mapa riesgos'!$M$37="Muy Baja",'Mapa riesgos'!$Q$37="Menor"),CONCATENATE("R",'Mapa riesgos'!$A$37),"")</f>
        <v/>
      </c>
      <c r="S40" s="505"/>
      <c r="T40" s="505" t="str">
        <f>IF(AND('Mapa riesgos'!$M$43="Muy Baja",'Mapa riesgos'!$Q$43="Menor"),CONCATENATE("R",'Mapa riesgos'!$A$43),"")</f>
        <v/>
      </c>
      <c r="U40" s="506"/>
      <c r="V40" s="496" t="str">
        <f>IF(AND('Mapa riesgos'!$M$31="Muy Baja",'Mapa riesgos'!$Q$31="Moderado"),CONCATENATE("R",'Mapa riesgos'!$A$31),"")</f>
        <v/>
      </c>
      <c r="W40" s="497"/>
      <c r="X40" s="497" t="str">
        <f>IF(AND('Mapa riesgos'!$M$37="Muy Baja",'Mapa riesgos'!$Q$37="Moderado"),CONCATENATE("R",'Mapa riesgos'!$A$37),"")</f>
        <v/>
      </c>
      <c r="Y40" s="497"/>
      <c r="Z40" s="497" t="str">
        <f>IF(AND('Mapa riesgos'!$M$43="Muy Baja",'Mapa riesgos'!$Q$43="Moderado"),CONCATENATE("R",'Mapa riesgos'!$A$43),"")</f>
        <v/>
      </c>
      <c r="AA40" s="498"/>
      <c r="AB40" s="480" t="str">
        <f>IF(AND('Mapa riesgos'!$M$31="Muy Baja",'Mapa riesgos'!$Q$31="Mayor"),CONCATENATE("R",'Mapa riesgos'!$A$31),"")</f>
        <v/>
      </c>
      <c r="AC40" s="476"/>
      <c r="AD40" s="476" t="str">
        <f>IF(AND('Mapa riesgos'!$M$37="Muy Baja",'Mapa riesgos'!$Q$37="Mayor"),CONCATENATE("R",'Mapa riesgos'!$A$37),"")</f>
        <v/>
      </c>
      <c r="AE40" s="476"/>
      <c r="AF40" s="476" t="str">
        <f>IF(AND('Mapa riesgos'!$M$43="Muy Baja",'Mapa riesgos'!$Q$43="Mayor"),CONCATENATE("R",'Mapa riesgos'!$A$43),"")</f>
        <v/>
      </c>
      <c r="AG40" s="477"/>
      <c r="AH40" s="487" t="str">
        <f>IF(AND('Mapa riesgos'!$M$31="Muy Baja",'Mapa riesgos'!$Q$31="Catastrófico"),CONCATENATE("R",'Mapa riesgos'!$A$31),"")</f>
        <v/>
      </c>
      <c r="AI40" s="488"/>
      <c r="AJ40" s="488" t="str">
        <f>IF(AND('Mapa riesgos'!$M$37="Muy Baja",'Mapa riesgos'!$Q$37="Catastrófico"),CONCATENATE("R",'Mapa riesgos'!$A$37),"")</f>
        <v/>
      </c>
      <c r="AK40" s="488"/>
      <c r="AL40" s="488" t="str">
        <f>IF(AND('Mapa riesgos'!$M$43="Muy Baja",'Mapa riesgos'!$Q$43="Catastrófico"),CONCATENATE("R",'Mapa riesgos'!$A$43),"")</f>
        <v/>
      </c>
      <c r="AM40" s="489"/>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25">
      <c r="A41" s="66"/>
      <c r="B41" s="429"/>
      <c r="C41" s="429"/>
      <c r="D41" s="430"/>
      <c r="E41" s="470"/>
      <c r="F41" s="471"/>
      <c r="G41" s="471"/>
      <c r="H41" s="471"/>
      <c r="I41" s="472"/>
      <c r="J41" s="507"/>
      <c r="K41" s="505"/>
      <c r="L41" s="505"/>
      <c r="M41" s="505"/>
      <c r="N41" s="505"/>
      <c r="O41" s="506"/>
      <c r="P41" s="507"/>
      <c r="Q41" s="505"/>
      <c r="R41" s="505"/>
      <c r="S41" s="505"/>
      <c r="T41" s="505"/>
      <c r="U41" s="506"/>
      <c r="V41" s="496"/>
      <c r="W41" s="497"/>
      <c r="X41" s="497"/>
      <c r="Y41" s="497"/>
      <c r="Z41" s="497"/>
      <c r="AA41" s="498"/>
      <c r="AB41" s="480"/>
      <c r="AC41" s="476"/>
      <c r="AD41" s="476"/>
      <c r="AE41" s="476"/>
      <c r="AF41" s="476"/>
      <c r="AG41" s="477"/>
      <c r="AH41" s="487"/>
      <c r="AI41" s="488"/>
      <c r="AJ41" s="488"/>
      <c r="AK41" s="488"/>
      <c r="AL41" s="488"/>
      <c r="AM41" s="489"/>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25">
      <c r="A42" s="66"/>
      <c r="B42" s="429"/>
      <c r="C42" s="429"/>
      <c r="D42" s="430"/>
      <c r="E42" s="470"/>
      <c r="F42" s="471"/>
      <c r="G42" s="471"/>
      <c r="H42" s="471"/>
      <c r="I42" s="472"/>
      <c r="J42" s="507" t="str">
        <f>IF(AND('Mapa riesgos'!$M$49="Muy Baja",'Mapa riesgos'!$Q$49="Leve"),CONCATENATE("R",'Mapa riesgos'!$A$49),"")</f>
        <v/>
      </c>
      <c r="K42" s="505"/>
      <c r="L42" s="505" t="str">
        <f>IF(AND('Mapa riesgos'!$M$55="Muy Baja",'Mapa riesgos'!$Q$55="Leve"),CONCATENATE("R",'Mapa riesgos'!$A$55),"")</f>
        <v/>
      </c>
      <c r="M42" s="505"/>
      <c r="N42" s="505" t="str">
        <f>IF(AND('Mapa riesgos'!$M$61="Muy Baja",'Mapa riesgos'!$Q$61="Leve"),CONCATENATE("R",'Mapa riesgos'!$A$61),"")</f>
        <v/>
      </c>
      <c r="O42" s="506"/>
      <c r="P42" s="507" t="str">
        <f>IF(AND('Mapa riesgos'!$M$49="Muy Baja",'Mapa riesgos'!$Q$49="Menor"),CONCATENATE("R",'Mapa riesgos'!$A$49),"")</f>
        <v/>
      </c>
      <c r="Q42" s="505"/>
      <c r="R42" s="505" t="str">
        <f>IF(AND('Mapa riesgos'!$M$55="Muy Baja",'Mapa riesgos'!$Q$55="Menor"),CONCATENATE("R",'Mapa riesgos'!$A$55),"")</f>
        <v/>
      </c>
      <c r="S42" s="505"/>
      <c r="T42" s="505" t="str">
        <f>IF(AND('Mapa riesgos'!$M$61="Muy Baja",'Mapa riesgos'!$Q$61="Menor"),CONCATENATE("R",'Mapa riesgos'!$A$61),"")</f>
        <v/>
      </c>
      <c r="U42" s="506"/>
      <c r="V42" s="496" t="str">
        <f>IF(AND('Mapa riesgos'!$M$49="Muy Baja",'Mapa riesgos'!$Q$49="Moderado"),CONCATENATE("R",'Mapa riesgos'!$A$49),"")</f>
        <v/>
      </c>
      <c r="W42" s="497"/>
      <c r="X42" s="497" t="str">
        <f>IF(AND('Mapa riesgos'!$M$55="Muy Baja",'Mapa riesgos'!$Q$55="Moderado"),CONCATENATE("R",'Mapa riesgos'!$A$55),"")</f>
        <v/>
      </c>
      <c r="Y42" s="497"/>
      <c r="Z42" s="497" t="str">
        <f>IF(AND('Mapa riesgos'!$M$61="Muy Baja",'Mapa riesgos'!$Q$61="Moderado"),CONCATENATE("R",'Mapa riesgos'!$A$61),"")</f>
        <v/>
      </c>
      <c r="AA42" s="498"/>
      <c r="AB42" s="480" t="str">
        <f>IF(AND('Mapa riesgos'!$M$49="Muy Baja",'Mapa riesgos'!$Q$49="Mayor"),CONCATENATE("R",'Mapa riesgos'!$A$49),"")</f>
        <v/>
      </c>
      <c r="AC42" s="476"/>
      <c r="AD42" s="476" t="str">
        <f>IF(AND('Mapa riesgos'!$M$55="Muy Baja",'Mapa riesgos'!$Q$55="Mayor"),CONCATENATE("R",'Mapa riesgos'!$A$55),"")</f>
        <v/>
      </c>
      <c r="AE42" s="476"/>
      <c r="AF42" s="476" t="str">
        <f>IF(AND('Mapa riesgos'!$M$61="Muy Baja",'Mapa riesgos'!$Q$61="Mayor"),CONCATENATE("R",'Mapa riesgos'!$A$61),"")</f>
        <v/>
      </c>
      <c r="AG42" s="477"/>
      <c r="AH42" s="487" t="str">
        <f>IF(AND('Mapa riesgos'!$M$49="Muy Baja",'Mapa riesgos'!$Q$49="Catastrófico"),CONCATENATE("R",'Mapa riesgos'!$A$49),"")</f>
        <v/>
      </c>
      <c r="AI42" s="488"/>
      <c r="AJ42" s="488" t="str">
        <f>IF(AND('Mapa riesgos'!$M$55="Muy Baja",'Mapa riesgos'!$Q$55="Catastrófico"),CONCATENATE("R",'Mapa riesgos'!$A$55),"")</f>
        <v/>
      </c>
      <c r="AK42" s="488"/>
      <c r="AL42" s="488" t="str">
        <f>IF(AND('Mapa riesgos'!$M$61="Muy Baja",'Mapa riesgos'!$Q$61="Catastrófico"),CONCATENATE("R",'Mapa riesgos'!$A$61),"")</f>
        <v/>
      </c>
      <c r="AM42" s="489"/>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25">
      <c r="A43" s="66"/>
      <c r="B43" s="429"/>
      <c r="C43" s="429"/>
      <c r="D43" s="430"/>
      <c r="E43" s="470"/>
      <c r="F43" s="471"/>
      <c r="G43" s="471"/>
      <c r="H43" s="471"/>
      <c r="I43" s="472"/>
      <c r="J43" s="507"/>
      <c r="K43" s="505"/>
      <c r="L43" s="505"/>
      <c r="M43" s="505"/>
      <c r="N43" s="505"/>
      <c r="O43" s="506"/>
      <c r="P43" s="507"/>
      <c r="Q43" s="505"/>
      <c r="R43" s="505"/>
      <c r="S43" s="505"/>
      <c r="T43" s="505"/>
      <c r="U43" s="506"/>
      <c r="V43" s="496"/>
      <c r="W43" s="497"/>
      <c r="X43" s="497"/>
      <c r="Y43" s="497"/>
      <c r="Z43" s="497"/>
      <c r="AA43" s="498"/>
      <c r="AB43" s="480"/>
      <c r="AC43" s="476"/>
      <c r="AD43" s="476"/>
      <c r="AE43" s="476"/>
      <c r="AF43" s="476"/>
      <c r="AG43" s="477"/>
      <c r="AH43" s="487"/>
      <c r="AI43" s="488"/>
      <c r="AJ43" s="488"/>
      <c r="AK43" s="488"/>
      <c r="AL43" s="488"/>
      <c r="AM43" s="489"/>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25">
      <c r="A44" s="66"/>
      <c r="B44" s="429"/>
      <c r="C44" s="429"/>
      <c r="D44" s="430"/>
      <c r="E44" s="470"/>
      <c r="F44" s="471"/>
      <c r="G44" s="471"/>
      <c r="H44" s="471"/>
      <c r="I44" s="472"/>
      <c r="J44" s="507" t="str">
        <f>IF(AND('Mapa riesgos'!$M$67="Muy Baja",'Mapa riesgos'!$Q$67="Leve"),CONCATENATE("R",'Mapa riesgos'!$A$67),"")</f>
        <v/>
      </c>
      <c r="K44" s="505"/>
      <c r="L44" s="505" t="str">
        <f>IF(AND('Mapa riesgos'!$M$73="Muy Baja",'Mapa riesgos'!$Q$73="Leve"),CONCATENATE("R",'Mapa riesgos'!$A$73),"")</f>
        <v/>
      </c>
      <c r="M44" s="505"/>
      <c r="N44" s="505" t="str">
        <f>IF(AND('Mapa riesgos'!$M$79="Muy Baja",'Mapa riesgos'!$Q$79="Leve"),CONCATENATE("R",'Mapa riesgos'!$A$79),"")</f>
        <v/>
      </c>
      <c r="O44" s="506"/>
      <c r="P44" s="507" t="str">
        <f>IF(AND('Mapa riesgos'!$M$67="Muy Baja",'Mapa riesgos'!$Q$67="Menor"),CONCATENATE("R",'Mapa riesgos'!$A$67),"")</f>
        <v/>
      </c>
      <c r="Q44" s="505"/>
      <c r="R44" s="505" t="str">
        <f>IF(AND('Mapa riesgos'!$M$73="Muy Baja",'Mapa riesgos'!$Q$73="Menor"),CONCATENATE("R",'Mapa riesgos'!$A$73),"")</f>
        <v/>
      </c>
      <c r="S44" s="505"/>
      <c r="T44" s="505" t="str">
        <f>IF(AND('Mapa riesgos'!$M$79="Muy Baja",'Mapa riesgos'!$Q$79="Menor"),CONCATENATE("R",'Mapa riesgos'!$A$79),"")</f>
        <v/>
      </c>
      <c r="U44" s="506"/>
      <c r="V44" s="496" t="str">
        <f>IF(AND('Mapa riesgos'!$M$67="Muy Baja",'Mapa riesgos'!$Q$67="Moderado"),CONCATENATE("R",'Mapa riesgos'!$A$67),"")</f>
        <v/>
      </c>
      <c r="W44" s="497"/>
      <c r="X44" s="497" t="str">
        <f>IF(AND('Mapa riesgos'!$M$73="Muy Baja",'Mapa riesgos'!$Q$73="Moderado"),CONCATENATE("R",'Mapa riesgos'!$A$73),"")</f>
        <v/>
      </c>
      <c r="Y44" s="497"/>
      <c r="Z44" s="497" t="str">
        <f>IF(AND('Mapa riesgos'!$M$79="Muy Baja",'Mapa riesgos'!$Q$79="Moderado"),CONCATENATE("R",'Mapa riesgos'!$A$79),"")</f>
        <v/>
      </c>
      <c r="AA44" s="498"/>
      <c r="AB44" s="480" t="str">
        <f>IF(AND('Mapa riesgos'!$M$67="Muy Baja",'Mapa riesgos'!$Q$67="Mayor"),CONCATENATE("R",'Mapa riesgos'!$A$67),"")</f>
        <v/>
      </c>
      <c r="AC44" s="476"/>
      <c r="AD44" s="476" t="str">
        <f>IF(AND('Mapa riesgos'!$M$73="Muy Baja",'Mapa riesgos'!$Q$73="Mayor"),CONCATENATE("R",'Mapa riesgos'!$A$73),"")</f>
        <v/>
      </c>
      <c r="AE44" s="476"/>
      <c r="AF44" s="476" t="str">
        <f>IF(AND('Mapa riesgos'!$M$79="Muy Baja",'Mapa riesgos'!$Q$79="Mayor"),CONCATENATE("R",'Mapa riesgos'!$A$79),"")</f>
        <v/>
      </c>
      <c r="AG44" s="477"/>
      <c r="AH44" s="487" t="str">
        <f>IF(AND('Mapa riesgos'!$M$67="Muy Baja",'Mapa riesgos'!$Q$67="Catastrófico"),CONCATENATE("R",'Mapa riesgos'!$A$67),"")</f>
        <v/>
      </c>
      <c r="AI44" s="488"/>
      <c r="AJ44" s="488" t="str">
        <f>IF(AND('Mapa riesgos'!$M$73="Muy Baja",'Mapa riesgos'!$Q$73="Catastrófico"),CONCATENATE("R",'Mapa riesgos'!$A$73),"")</f>
        <v/>
      </c>
      <c r="AK44" s="488"/>
      <c r="AL44" s="488" t="str">
        <f>IF(AND('Mapa riesgos'!$M$79="Muy Baja",'Mapa riesgos'!$Q$79="Catastrófico"),CONCATENATE("R",'Mapa riesgos'!$A$79),"")</f>
        <v/>
      </c>
      <c r="AM44" s="489"/>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75" thickBot="1" x14ac:dyDescent="0.3">
      <c r="A45" s="66"/>
      <c r="B45" s="429"/>
      <c r="C45" s="429"/>
      <c r="D45" s="430"/>
      <c r="E45" s="473"/>
      <c r="F45" s="474"/>
      <c r="G45" s="474"/>
      <c r="H45" s="474"/>
      <c r="I45" s="475"/>
      <c r="J45" s="508"/>
      <c r="K45" s="509"/>
      <c r="L45" s="509"/>
      <c r="M45" s="509"/>
      <c r="N45" s="509"/>
      <c r="O45" s="510"/>
      <c r="P45" s="508"/>
      <c r="Q45" s="509"/>
      <c r="R45" s="509"/>
      <c r="S45" s="509"/>
      <c r="T45" s="509"/>
      <c r="U45" s="510"/>
      <c r="V45" s="499"/>
      <c r="W45" s="500"/>
      <c r="X45" s="500"/>
      <c r="Y45" s="500"/>
      <c r="Z45" s="500"/>
      <c r="AA45" s="501"/>
      <c r="AB45" s="484"/>
      <c r="AC45" s="485"/>
      <c r="AD45" s="485"/>
      <c r="AE45" s="485"/>
      <c r="AF45" s="485"/>
      <c r="AG45" s="486"/>
      <c r="AH45" s="490"/>
      <c r="AI45" s="491"/>
      <c r="AJ45" s="491"/>
      <c r="AK45" s="491"/>
      <c r="AL45" s="491"/>
      <c r="AM45" s="492"/>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25">
      <c r="A46" s="66"/>
      <c r="B46" s="66"/>
      <c r="C46" s="66"/>
      <c r="D46" s="66"/>
      <c r="E46" s="66"/>
      <c r="F46" s="66"/>
      <c r="G46" s="66"/>
      <c r="H46" s="66"/>
      <c r="I46" s="66"/>
      <c r="J46" s="467" t="s">
        <v>186</v>
      </c>
      <c r="K46" s="468"/>
      <c r="L46" s="468"/>
      <c r="M46" s="468"/>
      <c r="N46" s="468"/>
      <c r="O46" s="469"/>
      <c r="P46" s="467" t="s">
        <v>187</v>
      </c>
      <c r="Q46" s="468"/>
      <c r="R46" s="468"/>
      <c r="S46" s="468"/>
      <c r="T46" s="468"/>
      <c r="U46" s="469"/>
      <c r="V46" s="467" t="s">
        <v>188</v>
      </c>
      <c r="W46" s="468"/>
      <c r="X46" s="468"/>
      <c r="Y46" s="468"/>
      <c r="Z46" s="468"/>
      <c r="AA46" s="469"/>
      <c r="AB46" s="467" t="s">
        <v>189</v>
      </c>
      <c r="AC46" s="483"/>
      <c r="AD46" s="468"/>
      <c r="AE46" s="468"/>
      <c r="AF46" s="468"/>
      <c r="AG46" s="469"/>
      <c r="AH46" s="467" t="s">
        <v>190</v>
      </c>
      <c r="AI46" s="468"/>
      <c r="AJ46" s="468"/>
      <c r="AK46" s="468"/>
      <c r="AL46" s="468"/>
      <c r="AM46" s="469"/>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25">
      <c r="A47" s="66"/>
      <c r="B47" s="66"/>
      <c r="C47" s="66"/>
      <c r="D47" s="66"/>
      <c r="E47" s="66"/>
      <c r="F47" s="66"/>
      <c r="G47" s="66"/>
      <c r="H47" s="66"/>
      <c r="I47" s="66"/>
      <c r="J47" s="470"/>
      <c r="K47" s="471"/>
      <c r="L47" s="471"/>
      <c r="M47" s="471"/>
      <c r="N47" s="471"/>
      <c r="O47" s="472"/>
      <c r="P47" s="470"/>
      <c r="Q47" s="471"/>
      <c r="R47" s="471"/>
      <c r="S47" s="471"/>
      <c r="T47" s="471"/>
      <c r="U47" s="472"/>
      <c r="V47" s="470"/>
      <c r="W47" s="471"/>
      <c r="X47" s="471"/>
      <c r="Y47" s="471"/>
      <c r="Z47" s="471"/>
      <c r="AA47" s="472"/>
      <c r="AB47" s="470"/>
      <c r="AC47" s="471"/>
      <c r="AD47" s="471"/>
      <c r="AE47" s="471"/>
      <c r="AF47" s="471"/>
      <c r="AG47" s="472"/>
      <c r="AH47" s="470"/>
      <c r="AI47" s="471"/>
      <c r="AJ47" s="471"/>
      <c r="AK47" s="471"/>
      <c r="AL47" s="471"/>
      <c r="AM47" s="472"/>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25">
      <c r="A48" s="66"/>
      <c r="B48" s="66"/>
      <c r="C48" s="66"/>
      <c r="D48" s="66"/>
      <c r="E48" s="66"/>
      <c r="F48" s="66"/>
      <c r="G48" s="66"/>
      <c r="H48" s="66"/>
      <c r="I48" s="66"/>
      <c r="J48" s="470"/>
      <c r="K48" s="471"/>
      <c r="L48" s="471"/>
      <c r="M48" s="471"/>
      <c r="N48" s="471"/>
      <c r="O48" s="472"/>
      <c r="P48" s="470"/>
      <c r="Q48" s="471"/>
      <c r="R48" s="471"/>
      <c r="S48" s="471"/>
      <c r="T48" s="471"/>
      <c r="U48" s="472"/>
      <c r="V48" s="470"/>
      <c r="W48" s="471"/>
      <c r="X48" s="471"/>
      <c r="Y48" s="471"/>
      <c r="Z48" s="471"/>
      <c r="AA48" s="472"/>
      <c r="AB48" s="470"/>
      <c r="AC48" s="471"/>
      <c r="AD48" s="471"/>
      <c r="AE48" s="471"/>
      <c r="AF48" s="471"/>
      <c r="AG48" s="472"/>
      <c r="AH48" s="470"/>
      <c r="AI48" s="471"/>
      <c r="AJ48" s="471"/>
      <c r="AK48" s="471"/>
      <c r="AL48" s="471"/>
      <c r="AM48" s="472"/>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25">
      <c r="A49" s="66"/>
      <c r="B49" s="66"/>
      <c r="C49" s="66"/>
      <c r="D49" s="66"/>
      <c r="E49" s="66"/>
      <c r="F49" s="66"/>
      <c r="G49" s="66"/>
      <c r="H49" s="66"/>
      <c r="I49" s="66"/>
      <c r="J49" s="470"/>
      <c r="K49" s="471"/>
      <c r="L49" s="471"/>
      <c r="M49" s="471"/>
      <c r="N49" s="471"/>
      <c r="O49" s="472"/>
      <c r="P49" s="470"/>
      <c r="Q49" s="471"/>
      <c r="R49" s="471"/>
      <c r="S49" s="471"/>
      <c r="T49" s="471"/>
      <c r="U49" s="472"/>
      <c r="V49" s="470"/>
      <c r="W49" s="471"/>
      <c r="X49" s="471"/>
      <c r="Y49" s="471"/>
      <c r="Z49" s="471"/>
      <c r="AA49" s="472"/>
      <c r="AB49" s="470"/>
      <c r="AC49" s="471"/>
      <c r="AD49" s="471"/>
      <c r="AE49" s="471"/>
      <c r="AF49" s="471"/>
      <c r="AG49" s="472"/>
      <c r="AH49" s="470"/>
      <c r="AI49" s="471"/>
      <c r="AJ49" s="471"/>
      <c r="AK49" s="471"/>
      <c r="AL49" s="471"/>
      <c r="AM49" s="472"/>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25">
      <c r="A50" s="66"/>
      <c r="B50" s="66"/>
      <c r="C50" s="66"/>
      <c r="D50" s="66"/>
      <c r="E50" s="66"/>
      <c r="F50" s="66"/>
      <c r="G50" s="66"/>
      <c r="H50" s="66"/>
      <c r="I50" s="66"/>
      <c r="J50" s="470"/>
      <c r="K50" s="471"/>
      <c r="L50" s="471"/>
      <c r="M50" s="471"/>
      <c r="N50" s="471"/>
      <c r="O50" s="472"/>
      <c r="P50" s="470"/>
      <c r="Q50" s="471"/>
      <c r="R50" s="471"/>
      <c r="S50" s="471"/>
      <c r="T50" s="471"/>
      <c r="U50" s="472"/>
      <c r="V50" s="470"/>
      <c r="W50" s="471"/>
      <c r="X50" s="471"/>
      <c r="Y50" s="471"/>
      <c r="Z50" s="471"/>
      <c r="AA50" s="472"/>
      <c r="AB50" s="470"/>
      <c r="AC50" s="471"/>
      <c r="AD50" s="471"/>
      <c r="AE50" s="471"/>
      <c r="AF50" s="471"/>
      <c r="AG50" s="472"/>
      <c r="AH50" s="470"/>
      <c r="AI50" s="471"/>
      <c r="AJ50" s="471"/>
      <c r="AK50" s="471"/>
      <c r="AL50" s="471"/>
      <c r="AM50" s="472"/>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75" thickBot="1" x14ac:dyDescent="0.3">
      <c r="A51" s="66"/>
      <c r="B51" s="66"/>
      <c r="C51" s="66"/>
      <c r="D51" s="66"/>
      <c r="E51" s="66"/>
      <c r="F51" s="66"/>
      <c r="G51" s="66"/>
      <c r="H51" s="66"/>
      <c r="I51" s="66"/>
      <c r="J51" s="473"/>
      <c r="K51" s="474"/>
      <c r="L51" s="474"/>
      <c r="M51" s="474"/>
      <c r="N51" s="474"/>
      <c r="O51" s="475"/>
      <c r="P51" s="473"/>
      <c r="Q51" s="474"/>
      <c r="R51" s="474"/>
      <c r="S51" s="474"/>
      <c r="T51" s="474"/>
      <c r="U51" s="475"/>
      <c r="V51" s="473"/>
      <c r="W51" s="474"/>
      <c r="X51" s="474"/>
      <c r="Y51" s="474"/>
      <c r="Z51" s="474"/>
      <c r="AA51" s="475"/>
      <c r="AB51" s="473"/>
      <c r="AC51" s="474"/>
      <c r="AD51" s="474"/>
      <c r="AE51" s="474"/>
      <c r="AF51" s="474"/>
      <c r="AG51" s="475"/>
      <c r="AH51" s="473"/>
      <c r="AI51" s="474"/>
      <c r="AJ51" s="474"/>
      <c r="AK51" s="474"/>
      <c r="AL51" s="474"/>
      <c r="AM51" s="475"/>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25">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2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25">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25">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25">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25">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25">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25">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25">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25">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25">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25">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25">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25">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2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25">
      <c r="B137" s="66"/>
      <c r="C137" s="66"/>
      <c r="D137" s="66"/>
      <c r="E137" s="66"/>
      <c r="F137" s="66"/>
      <c r="G137" s="66"/>
      <c r="H137" s="66"/>
      <c r="I137" s="66"/>
    </row>
    <row r="138" spans="2:63" x14ac:dyDescent="0.25">
      <c r="B138" s="66"/>
      <c r="C138" s="66"/>
      <c r="D138" s="66"/>
      <c r="E138" s="66"/>
      <c r="F138" s="66"/>
      <c r="G138" s="66"/>
      <c r="H138" s="66"/>
      <c r="I138" s="66"/>
    </row>
    <row r="139" spans="2:63" x14ac:dyDescent="0.25">
      <c r="B139" s="66"/>
      <c r="C139" s="66"/>
      <c r="D139" s="66"/>
      <c r="E139" s="66"/>
      <c r="F139" s="66"/>
      <c r="G139" s="66"/>
      <c r="H139" s="66"/>
      <c r="I139" s="66"/>
    </row>
    <row r="140" spans="2:63" x14ac:dyDescent="0.25">
      <c r="B140" s="66"/>
      <c r="C140" s="66"/>
      <c r="D140" s="66"/>
      <c r="E140" s="66"/>
      <c r="F140" s="66"/>
      <c r="G140" s="66"/>
      <c r="H140" s="66"/>
      <c r="I140" s="66"/>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zoomScale="40" zoomScaleNormal="40" workbookViewId="0">
      <selection activeCell="W45" sqref="W45"/>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25">
      <c r="A2" s="66"/>
      <c r="B2" s="540" t="s">
        <v>191</v>
      </c>
      <c r="C2" s="541"/>
      <c r="D2" s="541"/>
      <c r="E2" s="541"/>
      <c r="F2" s="541"/>
      <c r="G2" s="541"/>
      <c r="H2" s="541"/>
      <c r="I2" s="541"/>
      <c r="J2" s="482" t="s">
        <v>15</v>
      </c>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25">
      <c r="A3" s="66"/>
      <c r="B3" s="541"/>
      <c r="C3" s="541"/>
      <c r="D3" s="541"/>
      <c r="E3" s="541"/>
      <c r="F3" s="541"/>
      <c r="G3" s="541"/>
      <c r="H3" s="541"/>
      <c r="I3" s="541"/>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25">
      <c r="A4" s="66"/>
      <c r="B4" s="541"/>
      <c r="C4" s="541"/>
      <c r="D4" s="541"/>
      <c r="E4" s="541"/>
      <c r="F4" s="541"/>
      <c r="G4" s="541"/>
      <c r="H4" s="541"/>
      <c r="I4" s="541"/>
      <c r="J4" s="482"/>
      <c r="K4" s="482"/>
      <c r="L4" s="482"/>
      <c r="M4" s="482"/>
      <c r="N4" s="482"/>
      <c r="O4" s="482"/>
      <c r="P4" s="482"/>
      <c r="Q4" s="482"/>
      <c r="R4" s="482"/>
      <c r="S4" s="482"/>
      <c r="T4" s="482"/>
      <c r="U4" s="482"/>
      <c r="V4" s="482"/>
      <c r="W4" s="482"/>
      <c r="X4" s="482"/>
      <c r="Y4" s="482"/>
      <c r="Z4" s="482"/>
      <c r="AA4" s="482"/>
      <c r="AB4" s="482"/>
      <c r="AC4" s="482"/>
      <c r="AD4" s="482"/>
      <c r="AE4" s="482"/>
      <c r="AF4" s="482"/>
      <c r="AG4" s="482"/>
      <c r="AH4" s="482"/>
      <c r="AI4" s="482"/>
      <c r="AJ4" s="482"/>
      <c r="AK4" s="482"/>
      <c r="AL4" s="482"/>
      <c r="AM4" s="482"/>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25">
      <c r="A6" s="66"/>
      <c r="B6" s="429" t="s">
        <v>176</v>
      </c>
      <c r="C6" s="429"/>
      <c r="D6" s="430"/>
      <c r="E6" s="524" t="s">
        <v>177</v>
      </c>
      <c r="F6" s="525"/>
      <c r="G6" s="525"/>
      <c r="H6" s="525"/>
      <c r="I6" s="542"/>
      <c r="J6" s="29" t="str">
        <f>IF(AND('Mapa riesgos'!$AD$13="Muy Alta",'Mapa riesgos'!$AF$13="Leve"),CONCATENATE("R1C",'Mapa riesgos'!$T$13),"")</f>
        <v/>
      </c>
      <c r="K6" s="30" t="str">
        <f>IF(AND('Mapa riesgos'!$AD$14="Muy Alta",'Mapa riesgos'!$AF$14="Leve"),CONCATENATE("R1C",'Mapa riesgos'!$T$14),"")</f>
        <v/>
      </c>
      <c r="L6" s="30" t="str">
        <f>IF(AND('Mapa riesgos'!$AD$15="Muy Alta",'Mapa riesgos'!$AF$15="Leve"),CONCATENATE("R1C",'Mapa riesgos'!$T$15),"")</f>
        <v/>
      </c>
      <c r="M6" s="30" t="str">
        <f>IF(AND('Mapa riesgos'!$AD$16="Muy Alta",'Mapa riesgos'!$AF$16="Leve"),CONCATENATE("R1C",'Mapa riesgos'!$T$16),"")</f>
        <v/>
      </c>
      <c r="N6" s="30" t="str">
        <f>IF(AND('Mapa riesgos'!$AD$17="Muy Alta",'Mapa riesgos'!$AF$17="Leve"),CONCATENATE("R1C",'Mapa riesgos'!$T$17),"")</f>
        <v/>
      </c>
      <c r="O6" s="31" t="str">
        <f>IF(AND('Mapa riesgos'!$AD$18="Muy Alta",'Mapa riesgos'!$AF$18="Leve"),CONCATENATE("R1C",'Mapa riesgos'!$T$18),"")</f>
        <v/>
      </c>
      <c r="P6" s="29" t="str">
        <f>IF(AND('Mapa riesgos'!$AD$13="Muy Alta",'Mapa riesgos'!$AF$13="Menor"),CONCATENATE("R1C",'Mapa riesgos'!$T$13),"")</f>
        <v/>
      </c>
      <c r="Q6" s="30" t="str">
        <f>IF(AND('Mapa riesgos'!$AD$14="Muy Alta",'Mapa riesgos'!$AF$14="Menor"),CONCATENATE("R1C",'Mapa riesgos'!$T$14),"")</f>
        <v/>
      </c>
      <c r="R6" s="30" t="str">
        <f>IF(AND('Mapa riesgos'!$AD$15="Muy Alta",'Mapa riesgos'!$AF$15="Menor"),CONCATENATE("R1C",'Mapa riesgos'!$T$15),"")</f>
        <v/>
      </c>
      <c r="S6" s="30" t="str">
        <f>IF(AND('Mapa riesgos'!$AD$16="Muy Alta",'Mapa riesgos'!$AF$16="Menor"),CONCATENATE("R1C",'Mapa riesgos'!$T$16),"")</f>
        <v/>
      </c>
      <c r="T6" s="30" t="str">
        <f>IF(AND('Mapa riesgos'!$AD$17="Muy Alta",'Mapa riesgos'!$AF$17="Menor"),CONCATENATE("R1C",'Mapa riesgos'!$T$17),"")</f>
        <v/>
      </c>
      <c r="U6" s="31" t="str">
        <f>IF(AND('Mapa riesgos'!$AD$18="Muy Alta",'Mapa riesgos'!$AF$18="Menor"),CONCATENATE("R1C",'Mapa riesgos'!$T$18),"")</f>
        <v/>
      </c>
      <c r="V6" s="29" t="str">
        <f>IF(AND('Mapa riesgos'!$AD$13="Muy Alta",'Mapa riesgos'!$AF$13="Moderado"),CONCATENATE("R1C",'Mapa riesgos'!$T$13),"")</f>
        <v/>
      </c>
      <c r="W6" s="30" t="str">
        <f>IF(AND('Mapa riesgos'!$AD$14="Muy Alta",'Mapa riesgos'!$AF$14="Moderado"),CONCATENATE("R1C",'Mapa riesgos'!$T$14),"")</f>
        <v/>
      </c>
      <c r="X6" s="30" t="str">
        <f>IF(AND('Mapa riesgos'!$AD$15="Muy Alta",'Mapa riesgos'!$AF$15="Moderado"),CONCATENATE("R1C",'Mapa riesgos'!$T$15),"")</f>
        <v/>
      </c>
      <c r="Y6" s="30" t="str">
        <f>IF(AND('Mapa riesgos'!$AD$16="Muy Alta",'Mapa riesgos'!$AF$16="Moderado"),CONCATENATE("R1C",'Mapa riesgos'!$T$16),"")</f>
        <v/>
      </c>
      <c r="Z6" s="30" t="str">
        <f>IF(AND('Mapa riesgos'!$AD$17="Muy Alta",'Mapa riesgos'!$AF$17="Moderado"),CONCATENATE("R1C",'Mapa riesgos'!$T$17),"")</f>
        <v/>
      </c>
      <c r="AA6" s="31" t="str">
        <f>IF(AND('Mapa riesgos'!$AD$18="Muy Alta",'Mapa riesgos'!$AF$18="Moderado"),CONCATENATE("R1C",'Mapa riesgos'!$T$18),"")</f>
        <v/>
      </c>
      <c r="AB6" s="29" t="str">
        <f>IF(AND('Mapa riesgos'!$AD$13="Muy Alta",'Mapa riesgos'!$AF$13="Mayor"),CONCATENATE("R1C",'Mapa riesgos'!$T$13),"")</f>
        <v/>
      </c>
      <c r="AC6" s="30" t="str">
        <f>IF(AND('Mapa riesgos'!$AD$14="Muy Alta",'Mapa riesgos'!$AF$14="Mayor"),CONCATENATE("R1C",'Mapa riesgos'!$T$14),"")</f>
        <v/>
      </c>
      <c r="AD6" s="30" t="str">
        <f>IF(AND('Mapa riesgos'!$AD$15="Muy Alta",'Mapa riesgos'!$AF$15="Mayor"),CONCATENATE("R1C",'Mapa riesgos'!$T$15),"")</f>
        <v/>
      </c>
      <c r="AE6" s="30" t="str">
        <f>IF(AND('Mapa riesgos'!$AD$16="Muy Alta",'Mapa riesgos'!$AF$16="Mayor"),CONCATENATE("R1C",'Mapa riesgos'!$T$16),"")</f>
        <v/>
      </c>
      <c r="AF6" s="30" t="str">
        <f>IF(AND('Mapa riesgos'!$AD$17="Muy Alta",'Mapa riesgos'!$AF$17="Mayor"),CONCATENATE("R1C",'Mapa riesgos'!$T$17),"")</f>
        <v/>
      </c>
      <c r="AG6" s="31" t="str">
        <f>IF(AND('Mapa riesgos'!$AD$18="Muy Alta",'Mapa riesgos'!$AF$18="Mayor"),CONCATENATE("R1C",'Mapa riesgos'!$T$18),"")</f>
        <v/>
      </c>
      <c r="AH6" s="32" t="str">
        <f>IF(AND('Mapa riesgos'!$AD$13="Muy Alta",'Mapa riesgos'!$AF$13="Catastrófico"),CONCATENATE("R1C",'Mapa riesgos'!$T$13),"")</f>
        <v/>
      </c>
      <c r="AI6" s="33" t="str">
        <f>IF(AND('Mapa riesgos'!$AD$14="Muy Alta",'Mapa riesgos'!$AF$14="Catastrófico"),CONCATENATE("R1C",'Mapa riesgos'!$T$14),"")</f>
        <v/>
      </c>
      <c r="AJ6" s="33" t="str">
        <f>IF(AND('Mapa riesgos'!$AD$15="Muy Alta",'Mapa riesgos'!$AF$15="Catastrófico"),CONCATENATE("R1C",'Mapa riesgos'!$T$15),"")</f>
        <v/>
      </c>
      <c r="AK6" s="33" t="str">
        <f>IF(AND('Mapa riesgos'!$AD$16="Muy Alta",'Mapa riesgos'!$AF$16="Catastrófico"),CONCATENATE("R1C",'Mapa riesgos'!$T$16),"")</f>
        <v/>
      </c>
      <c r="AL6" s="33" t="str">
        <f>IF(AND('Mapa riesgos'!$AD$17="Muy Alta",'Mapa riesgos'!$AF$17="Catastrófico"),CONCATENATE("R1C",'Mapa riesgos'!$T$17),"")</f>
        <v/>
      </c>
      <c r="AM6" s="34" t="str">
        <f>IF(AND('Mapa riesgos'!$AD$18="Muy Alta",'Mapa riesgos'!$AF$18="Catastrófico"),CONCATENATE("R1C",'Mapa riesgos'!$T$18),"")</f>
        <v/>
      </c>
      <c r="AN6" s="66"/>
      <c r="AO6" s="531" t="s">
        <v>178</v>
      </c>
      <c r="AP6" s="532"/>
      <c r="AQ6" s="532"/>
      <c r="AR6" s="532"/>
      <c r="AS6" s="532"/>
      <c r="AT6" s="533"/>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25">
      <c r="A7" s="66"/>
      <c r="B7" s="429"/>
      <c r="C7" s="429"/>
      <c r="D7" s="430"/>
      <c r="E7" s="528"/>
      <c r="F7" s="527"/>
      <c r="G7" s="527"/>
      <c r="H7" s="527"/>
      <c r="I7" s="543"/>
      <c r="J7" s="35" t="str">
        <f>IF(AND('Mapa riesgos'!$AD$19="Muy Alta",'Mapa riesgos'!$AF$19="Leve"),CONCATENATE("R2C",'Mapa riesgos'!$T$19),"")</f>
        <v/>
      </c>
      <c r="K7" s="36" t="str">
        <f>IF(AND('Mapa riesgos'!$AD$20="Muy Alta",'Mapa riesgos'!$AF$20="Leve"),CONCATENATE("R2C",'Mapa riesgos'!$T$20),"")</f>
        <v/>
      </c>
      <c r="L7" s="36" t="str">
        <f>IF(AND('Mapa riesgos'!$AD$21="Muy Alta",'Mapa riesgos'!$AF$21="Leve"),CONCATENATE("R2C",'Mapa riesgos'!$T$21),"")</f>
        <v/>
      </c>
      <c r="M7" s="36" t="str">
        <f>IF(AND('Mapa riesgos'!$AD$22="Muy Alta",'Mapa riesgos'!$AF$22="Leve"),CONCATENATE("R2C",'Mapa riesgos'!$T$22),"")</f>
        <v/>
      </c>
      <c r="N7" s="36" t="str">
        <f>IF(AND('Mapa riesgos'!$AD$23="Muy Alta",'Mapa riesgos'!$AF$23="Leve"),CONCATENATE("R2C",'Mapa riesgos'!$T$23),"")</f>
        <v/>
      </c>
      <c r="O7" s="37" t="str">
        <f>IF(AND('Mapa riesgos'!$AD$24="Muy Alta",'Mapa riesgos'!$AF$24="Leve"),CONCATENATE("R2C",'Mapa riesgos'!$T$24),"")</f>
        <v/>
      </c>
      <c r="P7" s="35" t="str">
        <f>IF(AND('Mapa riesgos'!$AD$19="Muy Alta",'Mapa riesgos'!$AF$19="Menor"),CONCATENATE("R2C",'Mapa riesgos'!$T$19),"")</f>
        <v/>
      </c>
      <c r="Q7" s="36" t="str">
        <f>IF(AND('Mapa riesgos'!$AD$20="Muy Alta",'Mapa riesgos'!$AF$20="Menor"),CONCATENATE("R2C",'Mapa riesgos'!$T$20),"")</f>
        <v/>
      </c>
      <c r="R7" s="36" t="str">
        <f>IF(AND('Mapa riesgos'!$AD$21="Muy Alta",'Mapa riesgos'!$AF$21="Menor"),CONCATENATE("R2C",'Mapa riesgos'!$T$21),"")</f>
        <v/>
      </c>
      <c r="S7" s="36" t="str">
        <f>IF(AND('Mapa riesgos'!$AD$22="Muy Alta",'Mapa riesgos'!$AF$22="Menor"),CONCATENATE("R2C",'Mapa riesgos'!$T$22),"")</f>
        <v/>
      </c>
      <c r="T7" s="36" t="str">
        <f>IF(AND('Mapa riesgos'!$AD$23="Muy Alta",'Mapa riesgos'!$AF$23="Menor"),CONCATENATE("R2C",'Mapa riesgos'!$T$23),"")</f>
        <v/>
      </c>
      <c r="U7" s="37" t="str">
        <f>IF(AND('Mapa riesgos'!$AD$24="Muy Alta",'Mapa riesgos'!$AF$24="Menor"),CONCATENATE("R2C",'Mapa riesgos'!$T$24),"")</f>
        <v/>
      </c>
      <c r="V7" s="35" t="str">
        <f>IF(AND('Mapa riesgos'!$AD$19="Muy Alta",'Mapa riesgos'!$AF$19="Moderado"),CONCATENATE("R2C",'Mapa riesgos'!$T$19),"")</f>
        <v/>
      </c>
      <c r="W7" s="36" t="str">
        <f>IF(AND('Mapa riesgos'!$AD$20="Muy Alta",'Mapa riesgos'!$AF$20="Moderado"),CONCATENATE("R2C",'Mapa riesgos'!$T$20),"")</f>
        <v/>
      </c>
      <c r="X7" s="36" t="str">
        <f>IF(AND('Mapa riesgos'!$AD$21="Muy Alta",'Mapa riesgos'!$AF$21="Moderado"),CONCATENATE("R2C",'Mapa riesgos'!$T$21),"")</f>
        <v/>
      </c>
      <c r="Y7" s="36" t="str">
        <f>IF(AND('Mapa riesgos'!$AD$22="Muy Alta",'Mapa riesgos'!$AF$22="Moderado"),CONCATENATE("R2C",'Mapa riesgos'!$T$22),"")</f>
        <v/>
      </c>
      <c r="Z7" s="36" t="str">
        <f>IF(AND('Mapa riesgos'!$AD$23="Muy Alta",'Mapa riesgos'!$AF$23="Moderado"),CONCATENATE("R2C",'Mapa riesgos'!$T$23),"")</f>
        <v/>
      </c>
      <c r="AA7" s="37" t="str">
        <f>IF(AND('Mapa riesgos'!$AD$24="Muy Alta",'Mapa riesgos'!$AF$24="Moderado"),CONCATENATE("R2C",'Mapa riesgos'!$T$24),"")</f>
        <v/>
      </c>
      <c r="AB7" s="35" t="str">
        <f>IF(AND('Mapa riesgos'!$AD$19="Muy Alta",'Mapa riesgos'!$AF$19="Mayor"),CONCATENATE("R2C",'Mapa riesgos'!$T$19),"")</f>
        <v/>
      </c>
      <c r="AC7" s="36" t="str">
        <f>IF(AND('Mapa riesgos'!$AD$20="Muy Alta",'Mapa riesgos'!$AF$20="Mayor"),CONCATENATE("R2C",'Mapa riesgos'!$T$20),"")</f>
        <v/>
      </c>
      <c r="AD7" s="36" t="str">
        <f>IF(AND('Mapa riesgos'!$AD$21="Muy Alta",'Mapa riesgos'!$AF$21="Mayor"),CONCATENATE("R2C",'Mapa riesgos'!$T$21),"")</f>
        <v/>
      </c>
      <c r="AE7" s="36" t="str">
        <f>IF(AND('Mapa riesgos'!$AD$22="Muy Alta",'Mapa riesgos'!$AF$22="Mayor"),CONCATENATE("R2C",'Mapa riesgos'!$T$22),"")</f>
        <v/>
      </c>
      <c r="AF7" s="36" t="str">
        <f>IF(AND('Mapa riesgos'!$AD$23="Muy Alta",'Mapa riesgos'!$AF$23="Mayor"),CONCATENATE("R2C",'Mapa riesgos'!$T$23),"")</f>
        <v/>
      </c>
      <c r="AG7" s="37" t="str">
        <f>IF(AND('Mapa riesgos'!$AD$24="Muy Alta",'Mapa riesgos'!$AF$24="Mayor"),CONCATENATE("R2C",'Mapa riesgos'!$T$24),"")</f>
        <v/>
      </c>
      <c r="AH7" s="38" t="str">
        <f>IF(AND('Mapa riesgos'!$AD$19="Muy Alta",'Mapa riesgos'!$AF$19="Catastrófico"),CONCATENATE("R2C",'Mapa riesgos'!$T$19),"")</f>
        <v/>
      </c>
      <c r="AI7" s="39" t="str">
        <f>IF(AND('Mapa riesgos'!$AD$20="Muy Alta",'Mapa riesgos'!$AF$20="Catastrófico"),CONCATENATE("R2C",'Mapa riesgos'!$T$20),"")</f>
        <v/>
      </c>
      <c r="AJ7" s="39" t="str">
        <f>IF(AND('Mapa riesgos'!$AD$21="Muy Alta",'Mapa riesgos'!$AF$21="Catastrófico"),CONCATENATE("R2C",'Mapa riesgos'!$T$21),"")</f>
        <v/>
      </c>
      <c r="AK7" s="39" t="str">
        <f>IF(AND('Mapa riesgos'!$AD$22="Muy Alta",'Mapa riesgos'!$AF$22="Catastrófico"),CONCATENATE("R2C",'Mapa riesgos'!$T$22),"")</f>
        <v/>
      </c>
      <c r="AL7" s="39" t="str">
        <f>IF(AND('Mapa riesgos'!$AD$23="Muy Alta",'Mapa riesgos'!$AF$23="Catastrófico"),CONCATENATE("R2C",'Mapa riesgos'!$T$23),"")</f>
        <v/>
      </c>
      <c r="AM7" s="40" t="str">
        <f>IF(AND('Mapa riesgos'!$AD$24="Muy Alta",'Mapa riesgos'!$AF$24="Catastrófico"),CONCATENATE("R2C",'Mapa riesgos'!$T$24),"")</f>
        <v/>
      </c>
      <c r="AN7" s="66"/>
      <c r="AO7" s="534"/>
      <c r="AP7" s="535"/>
      <c r="AQ7" s="535"/>
      <c r="AR7" s="535"/>
      <c r="AS7" s="535"/>
      <c r="AT7" s="53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25">
      <c r="A8" s="66"/>
      <c r="B8" s="429"/>
      <c r="C8" s="429"/>
      <c r="D8" s="430"/>
      <c r="E8" s="528"/>
      <c r="F8" s="527"/>
      <c r="G8" s="527"/>
      <c r="H8" s="527"/>
      <c r="I8" s="543"/>
      <c r="J8" s="35" t="str">
        <f>IF(AND('Mapa riesgos'!$AD$25="Muy Alta",'Mapa riesgos'!$AF$25="Leve"),CONCATENATE("R3C",'Mapa riesgos'!$T$25),"")</f>
        <v/>
      </c>
      <c r="K8" s="36" t="str">
        <f>IF(AND('Mapa riesgos'!$AD$26="Muy Alta",'Mapa riesgos'!$AF$26="Leve"),CONCATENATE("R3C",'Mapa riesgos'!$T$26),"")</f>
        <v/>
      </c>
      <c r="L8" s="36" t="str">
        <f>IF(AND('Mapa riesgos'!$AD$27="Muy Alta",'Mapa riesgos'!$AF$27="Leve"),CONCATENATE("R3C",'Mapa riesgos'!$T$27),"")</f>
        <v/>
      </c>
      <c r="M8" s="36" t="str">
        <f>IF(AND('Mapa riesgos'!$AD$28="Muy Alta",'Mapa riesgos'!$AF$28="Leve"),CONCATENATE("R3C",'Mapa riesgos'!$T$28),"")</f>
        <v/>
      </c>
      <c r="N8" s="36" t="str">
        <f>IF(AND('Mapa riesgos'!$AD$29="Muy Alta",'Mapa riesgos'!$AF$29="Leve"),CONCATENATE("R3C",'Mapa riesgos'!$T$29),"")</f>
        <v/>
      </c>
      <c r="O8" s="37" t="str">
        <f>IF(AND('Mapa riesgos'!$AD$30="Muy Alta",'Mapa riesgos'!$AF$30="Leve"),CONCATENATE("R3C",'Mapa riesgos'!$T$30),"")</f>
        <v/>
      </c>
      <c r="P8" s="35" t="str">
        <f>IF(AND('Mapa riesgos'!$AD$25="Muy Alta",'Mapa riesgos'!$AF$25="Menor"),CONCATENATE("R3C",'Mapa riesgos'!$T$25),"")</f>
        <v/>
      </c>
      <c r="Q8" s="36" t="str">
        <f>IF(AND('Mapa riesgos'!$AD$26="Muy Alta",'Mapa riesgos'!$AF$26="Menor"),CONCATENATE("R3C",'Mapa riesgos'!$T$26),"")</f>
        <v/>
      </c>
      <c r="R8" s="36" t="str">
        <f>IF(AND('Mapa riesgos'!$AD$27="Muy Alta",'Mapa riesgos'!$AF$27="Menor"),CONCATENATE("R3C",'Mapa riesgos'!$T$27),"")</f>
        <v/>
      </c>
      <c r="S8" s="36" t="str">
        <f>IF(AND('Mapa riesgos'!$AD$28="Muy Alta",'Mapa riesgos'!$AF$28="Menor"),CONCATENATE("R3C",'Mapa riesgos'!$T$28),"")</f>
        <v/>
      </c>
      <c r="T8" s="36" t="str">
        <f>IF(AND('Mapa riesgos'!$AD$29="Muy Alta",'Mapa riesgos'!$AF$29="Menor"),CONCATENATE("R3C",'Mapa riesgos'!$T$29),"")</f>
        <v/>
      </c>
      <c r="U8" s="37" t="str">
        <f>IF(AND('Mapa riesgos'!$AD$30="Muy Alta",'Mapa riesgos'!$AF$30="Menor"),CONCATENATE("R3C",'Mapa riesgos'!$T$30),"")</f>
        <v/>
      </c>
      <c r="V8" s="35" t="str">
        <f>IF(AND('Mapa riesgos'!$AD$25="Muy Alta",'Mapa riesgos'!$AF$25="Moderado"),CONCATENATE("R3C",'Mapa riesgos'!$T$25),"")</f>
        <v/>
      </c>
      <c r="W8" s="36" t="str">
        <f>IF(AND('Mapa riesgos'!$AD$26="Muy Alta",'Mapa riesgos'!$AF$26="Moderado"),CONCATENATE("R3C",'Mapa riesgos'!$T$26),"")</f>
        <v/>
      </c>
      <c r="X8" s="36" t="str">
        <f>IF(AND('Mapa riesgos'!$AD$27="Muy Alta",'Mapa riesgos'!$AF$27="Moderado"),CONCATENATE("R3C",'Mapa riesgos'!$T$27),"")</f>
        <v/>
      </c>
      <c r="Y8" s="36" t="str">
        <f>IF(AND('Mapa riesgos'!$AD$28="Muy Alta",'Mapa riesgos'!$AF$28="Moderado"),CONCATENATE("R3C",'Mapa riesgos'!$T$28),"")</f>
        <v/>
      </c>
      <c r="Z8" s="36" t="str">
        <f>IF(AND('Mapa riesgos'!$AD$29="Muy Alta",'Mapa riesgos'!$AF$29="Moderado"),CONCATENATE("R3C",'Mapa riesgos'!$T$29),"")</f>
        <v/>
      </c>
      <c r="AA8" s="37" t="str">
        <f>IF(AND('Mapa riesgos'!$AD$30="Muy Alta",'Mapa riesgos'!$AF$30="Moderado"),CONCATENATE("R3C",'Mapa riesgos'!$T$30),"")</f>
        <v/>
      </c>
      <c r="AB8" s="35" t="str">
        <f>IF(AND('Mapa riesgos'!$AD$25="Muy Alta",'Mapa riesgos'!$AF$25="Mayor"),CONCATENATE("R3C",'Mapa riesgos'!$T$25),"")</f>
        <v/>
      </c>
      <c r="AC8" s="36" t="str">
        <f>IF(AND('Mapa riesgos'!$AD$26="Muy Alta",'Mapa riesgos'!$AF$26="Mayor"),CONCATENATE("R3C",'Mapa riesgos'!$T$26),"")</f>
        <v/>
      </c>
      <c r="AD8" s="36" t="str">
        <f>IF(AND('Mapa riesgos'!$AD$27="Muy Alta",'Mapa riesgos'!$AF$27="Mayor"),CONCATENATE("R3C",'Mapa riesgos'!$T$27),"")</f>
        <v/>
      </c>
      <c r="AE8" s="36" t="str">
        <f>IF(AND('Mapa riesgos'!$AD$28="Muy Alta",'Mapa riesgos'!$AF$28="Mayor"),CONCATENATE("R3C",'Mapa riesgos'!$T$28),"")</f>
        <v/>
      </c>
      <c r="AF8" s="36" t="str">
        <f>IF(AND('Mapa riesgos'!$AD$29="Muy Alta",'Mapa riesgos'!$AF$29="Mayor"),CONCATENATE("R3C",'Mapa riesgos'!$T$29),"")</f>
        <v/>
      </c>
      <c r="AG8" s="37" t="str">
        <f>IF(AND('Mapa riesgos'!$AD$30="Muy Alta",'Mapa riesgos'!$AF$30="Mayor"),CONCATENATE("R3C",'Mapa riesgos'!$T$30),"")</f>
        <v/>
      </c>
      <c r="AH8" s="38" t="str">
        <f>IF(AND('Mapa riesgos'!$AD$25="Muy Alta",'Mapa riesgos'!$AF$25="Catastrófico"),CONCATENATE("R3C",'Mapa riesgos'!$T$25),"")</f>
        <v/>
      </c>
      <c r="AI8" s="39" t="str">
        <f>IF(AND('Mapa riesgos'!$AD$26="Muy Alta",'Mapa riesgos'!$AF$26="Catastrófico"),CONCATENATE("R3C",'Mapa riesgos'!$T$26),"")</f>
        <v/>
      </c>
      <c r="AJ8" s="39" t="str">
        <f>IF(AND('Mapa riesgos'!$AD$27="Muy Alta",'Mapa riesgos'!$AF$27="Catastrófico"),CONCATENATE("R3C",'Mapa riesgos'!$T$27),"")</f>
        <v/>
      </c>
      <c r="AK8" s="39" t="str">
        <f>IF(AND('Mapa riesgos'!$AD$28="Muy Alta",'Mapa riesgos'!$AF$28="Catastrófico"),CONCATENATE("R3C",'Mapa riesgos'!$T$28),"")</f>
        <v/>
      </c>
      <c r="AL8" s="39" t="str">
        <f>IF(AND('Mapa riesgos'!$AD$29="Muy Alta",'Mapa riesgos'!$AF$29="Catastrófico"),CONCATENATE("R3C",'Mapa riesgos'!$T$29),"")</f>
        <v/>
      </c>
      <c r="AM8" s="40" t="str">
        <f>IF(AND('Mapa riesgos'!$AD$30="Muy Alta",'Mapa riesgos'!$AF$30="Catastrófico"),CONCATENATE("R3C",'Mapa riesgos'!$T$30),"")</f>
        <v/>
      </c>
      <c r="AN8" s="66"/>
      <c r="AO8" s="534"/>
      <c r="AP8" s="535"/>
      <c r="AQ8" s="535"/>
      <c r="AR8" s="535"/>
      <c r="AS8" s="535"/>
      <c r="AT8" s="53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25">
      <c r="A9" s="66"/>
      <c r="B9" s="429"/>
      <c r="C9" s="429"/>
      <c r="D9" s="430"/>
      <c r="E9" s="528"/>
      <c r="F9" s="527"/>
      <c r="G9" s="527"/>
      <c r="H9" s="527"/>
      <c r="I9" s="543"/>
      <c r="J9" s="35" t="str">
        <f>IF(AND('Mapa riesgos'!$AD$31="Muy Alta",'Mapa riesgos'!$AF$31="Leve"),CONCATENATE("R4C",'Mapa riesgos'!$T$31),"")</f>
        <v/>
      </c>
      <c r="K9" s="36" t="str">
        <f>IF(AND('Mapa riesgos'!$AD$32="Muy Alta",'Mapa riesgos'!$AF$32="Leve"),CONCATENATE("R4C",'Mapa riesgos'!$T$32),"")</f>
        <v/>
      </c>
      <c r="L9" s="36" t="str">
        <f>IF(AND('Mapa riesgos'!$AD$33="Muy Alta",'Mapa riesgos'!$AF$33="Leve"),CONCATENATE("R4C",'Mapa riesgos'!$T$33),"")</f>
        <v/>
      </c>
      <c r="M9" s="36" t="str">
        <f>IF(AND('Mapa riesgos'!$AD$34="Muy Alta",'Mapa riesgos'!$AF$34="Leve"),CONCATENATE("R4C",'Mapa riesgos'!$T$34),"")</f>
        <v/>
      </c>
      <c r="N9" s="36" t="str">
        <f>IF(AND('Mapa riesgos'!$AD$35="Muy Alta",'Mapa riesgos'!$AF$35="Leve"),CONCATENATE("R4C",'Mapa riesgos'!$T$35),"")</f>
        <v/>
      </c>
      <c r="O9" s="37" t="str">
        <f>IF(AND('Mapa riesgos'!$AD$36="Muy Alta",'Mapa riesgos'!$AF$36="Leve"),CONCATENATE("R4C",'Mapa riesgos'!$T$36),"")</f>
        <v/>
      </c>
      <c r="P9" s="35" t="str">
        <f>IF(AND('Mapa riesgos'!$AD$31="Muy Alta",'Mapa riesgos'!$AF$31="Menor"),CONCATENATE("R4C",'Mapa riesgos'!$T$31),"")</f>
        <v/>
      </c>
      <c r="Q9" s="36" t="str">
        <f>IF(AND('Mapa riesgos'!$AD$32="Muy Alta",'Mapa riesgos'!$AF$32="Menor"),CONCATENATE("R4C",'Mapa riesgos'!$T$32),"")</f>
        <v/>
      </c>
      <c r="R9" s="36" t="str">
        <f>IF(AND('Mapa riesgos'!$AD$33="Muy Alta",'Mapa riesgos'!$AF$33="Menor"),CONCATENATE("R4C",'Mapa riesgos'!$T$33),"")</f>
        <v/>
      </c>
      <c r="S9" s="36" t="str">
        <f>IF(AND('Mapa riesgos'!$AD$34="Muy Alta",'Mapa riesgos'!$AF$34="Menor"),CONCATENATE("R4C",'Mapa riesgos'!$T$34),"")</f>
        <v/>
      </c>
      <c r="T9" s="36" t="str">
        <f>IF(AND('Mapa riesgos'!$AD$35="Muy Alta",'Mapa riesgos'!$AF$35="Menor"),CONCATENATE("R4C",'Mapa riesgos'!$T$35),"")</f>
        <v/>
      </c>
      <c r="U9" s="37" t="str">
        <f>IF(AND('Mapa riesgos'!$AD$36="Muy Alta",'Mapa riesgos'!$AF$36="Menor"),CONCATENATE("R4C",'Mapa riesgos'!$T$36),"")</f>
        <v/>
      </c>
      <c r="V9" s="35" t="str">
        <f>IF(AND('Mapa riesgos'!$AD$31="Muy Alta",'Mapa riesgos'!$AF$31="Moderado"),CONCATENATE("R4C",'Mapa riesgos'!$T$31),"")</f>
        <v/>
      </c>
      <c r="W9" s="36" t="str">
        <f>IF(AND('Mapa riesgos'!$AD$32="Muy Alta",'Mapa riesgos'!$AF$32="Moderado"),CONCATENATE("R4C",'Mapa riesgos'!$T$32),"")</f>
        <v/>
      </c>
      <c r="X9" s="36" t="str">
        <f>IF(AND('Mapa riesgos'!$AD$33="Muy Alta",'Mapa riesgos'!$AF$33="Moderado"),CONCATENATE("R4C",'Mapa riesgos'!$T$33),"")</f>
        <v/>
      </c>
      <c r="Y9" s="36" t="str">
        <f>IF(AND('Mapa riesgos'!$AD$34="Muy Alta",'Mapa riesgos'!$AF$34="Moderado"),CONCATENATE("R4C",'Mapa riesgos'!$T$34),"")</f>
        <v/>
      </c>
      <c r="Z9" s="36" t="str">
        <f>IF(AND('Mapa riesgos'!$AD$35="Muy Alta",'Mapa riesgos'!$AF$35="Moderado"),CONCATENATE("R4C",'Mapa riesgos'!$T$35),"")</f>
        <v/>
      </c>
      <c r="AA9" s="37" t="str">
        <f>IF(AND('Mapa riesgos'!$AD$36="Muy Alta",'Mapa riesgos'!$AF$36="Moderado"),CONCATENATE("R4C",'Mapa riesgos'!$T$36),"")</f>
        <v/>
      </c>
      <c r="AB9" s="35" t="str">
        <f>IF(AND('Mapa riesgos'!$AD$31="Muy Alta",'Mapa riesgos'!$AF$31="Mayor"),CONCATENATE("R4C",'Mapa riesgos'!$T$31),"")</f>
        <v/>
      </c>
      <c r="AC9" s="36" t="str">
        <f>IF(AND('Mapa riesgos'!$AD$32="Muy Alta",'Mapa riesgos'!$AF$32="Mayor"),CONCATENATE("R4C",'Mapa riesgos'!$T$32),"")</f>
        <v/>
      </c>
      <c r="AD9" s="36" t="str">
        <f>IF(AND('Mapa riesgos'!$AD$33="Muy Alta",'Mapa riesgos'!$AF$33="Mayor"),CONCATENATE("R4C",'Mapa riesgos'!$T$33),"")</f>
        <v/>
      </c>
      <c r="AE9" s="36" t="str">
        <f>IF(AND('Mapa riesgos'!$AD$34="Muy Alta",'Mapa riesgos'!$AF$34="Mayor"),CONCATENATE("R4C",'Mapa riesgos'!$T$34),"")</f>
        <v/>
      </c>
      <c r="AF9" s="36" t="str">
        <f>IF(AND('Mapa riesgos'!$AD$35="Muy Alta",'Mapa riesgos'!$AF$35="Mayor"),CONCATENATE("R4C",'Mapa riesgos'!$T$35),"")</f>
        <v/>
      </c>
      <c r="AG9" s="37" t="str">
        <f>IF(AND('Mapa riesgos'!$AD$36="Muy Alta",'Mapa riesgos'!$AF$36="Mayor"),CONCATENATE("R4C",'Mapa riesgos'!$T$36),"")</f>
        <v/>
      </c>
      <c r="AH9" s="38" t="str">
        <f>IF(AND('Mapa riesgos'!$AD$31="Muy Alta",'Mapa riesgos'!$AF$31="Catastrófico"),CONCATENATE("R4C",'Mapa riesgos'!$T$31),"")</f>
        <v/>
      </c>
      <c r="AI9" s="39" t="str">
        <f>IF(AND('Mapa riesgos'!$AD$32="Muy Alta",'Mapa riesgos'!$AF$32="Catastrófico"),CONCATENATE("R4C",'Mapa riesgos'!$T$32),"")</f>
        <v/>
      </c>
      <c r="AJ9" s="39" t="str">
        <f>IF(AND('Mapa riesgos'!$AD$33="Muy Alta",'Mapa riesgos'!$AF$33="Catastrófico"),CONCATENATE("R4C",'Mapa riesgos'!$T$33),"")</f>
        <v/>
      </c>
      <c r="AK9" s="39" t="str">
        <f>IF(AND('Mapa riesgos'!$AD$34="Muy Alta",'Mapa riesgos'!$AF$34="Catastrófico"),CONCATENATE("R4C",'Mapa riesgos'!$T$34),"")</f>
        <v/>
      </c>
      <c r="AL9" s="39" t="str">
        <f>IF(AND('Mapa riesgos'!$AD$35="Muy Alta",'Mapa riesgos'!$AF$35="Catastrófico"),CONCATENATE("R4C",'Mapa riesgos'!$T$35),"")</f>
        <v/>
      </c>
      <c r="AM9" s="40" t="str">
        <f>IF(AND('Mapa riesgos'!$AD$36="Muy Alta",'Mapa riesgos'!$AF$36="Catastrófico"),CONCATENATE("R4C",'Mapa riesgos'!$T$36),"")</f>
        <v/>
      </c>
      <c r="AN9" s="66"/>
      <c r="AO9" s="534"/>
      <c r="AP9" s="535"/>
      <c r="AQ9" s="535"/>
      <c r="AR9" s="535"/>
      <c r="AS9" s="535"/>
      <c r="AT9" s="53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25">
      <c r="A10" s="66"/>
      <c r="B10" s="429"/>
      <c r="C10" s="429"/>
      <c r="D10" s="430"/>
      <c r="E10" s="528"/>
      <c r="F10" s="527"/>
      <c r="G10" s="527"/>
      <c r="H10" s="527"/>
      <c r="I10" s="543"/>
      <c r="J10" s="35" t="str">
        <f>IF(AND('Mapa riesgos'!$AD$37="Muy Alta",'Mapa riesgos'!$AF$37="Leve"),CONCATENATE("R5C",'Mapa riesgos'!$T$37),"")</f>
        <v/>
      </c>
      <c r="K10" s="36" t="str">
        <f>IF(AND('Mapa riesgos'!$AD$38="Muy Alta",'Mapa riesgos'!$AF$38="Leve"),CONCATENATE("R5C",'Mapa riesgos'!$T$38),"")</f>
        <v/>
      </c>
      <c r="L10" s="36" t="str">
        <f>IF(AND('Mapa riesgos'!$AD$39="Muy Alta",'Mapa riesgos'!$AF$39="Leve"),CONCATENATE("R5C",'Mapa riesgos'!$T$39),"")</f>
        <v/>
      </c>
      <c r="M10" s="36" t="str">
        <f>IF(AND('Mapa riesgos'!$AD$40="Muy Alta",'Mapa riesgos'!$AF$40="Leve"),CONCATENATE("R5C",'Mapa riesgos'!$T$40),"")</f>
        <v/>
      </c>
      <c r="N10" s="36" t="str">
        <f>IF(AND('Mapa riesgos'!$AD$41="Muy Alta",'Mapa riesgos'!$AF$41="Leve"),CONCATENATE("R5C",'Mapa riesgos'!$T$41),"")</f>
        <v/>
      </c>
      <c r="O10" s="37" t="str">
        <f>IF(AND('Mapa riesgos'!$AD$42="Muy Alta",'Mapa riesgos'!$AF$42="Leve"),CONCATENATE("R5C",'Mapa riesgos'!$T$42),"")</f>
        <v/>
      </c>
      <c r="P10" s="35" t="str">
        <f>IF(AND('Mapa riesgos'!$AD$37="Muy Alta",'Mapa riesgos'!$AF$37="Menor"),CONCATENATE("R5C",'Mapa riesgos'!$T$37),"")</f>
        <v/>
      </c>
      <c r="Q10" s="36" t="str">
        <f>IF(AND('Mapa riesgos'!$AD$38="Muy Alta",'Mapa riesgos'!$AF$38="Menor"),CONCATENATE("R5C",'Mapa riesgos'!$T$38),"")</f>
        <v/>
      </c>
      <c r="R10" s="36" t="str">
        <f>IF(AND('Mapa riesgos'!$AD$39="Muy Alta",'Mapa riesgos'!$AF$39="Menor"),CONCATENATE("R5C",'Mapa riesgos'!$T$39),"")</f>
        <v/>
      </c>
      <c r="S10" s="36" t="str">
        <f>IF(AND('Mapa riesgos'!$AD$40="Muy Alta",'Mapa riesgos'!$AF$40="Menor"),CONCATENATE("R5C",'Mapa riesgos'!$T$40),"")</f>
        <v/>
      </c>
      <c r="T10" s="36" t="str">
        <f>IF(AND('Mapa riesgos'!$AD$41="Muy Alta",'Mapa riesgos'!$AF$41="Menor"),CONCATENATE("R5C",'Mapa riesgos'!$T$41),"")</f>
        <v/>
      </c>
      <c r="U10" s="37" t="str">
        <f>IF(AND('Mapa riesgos'!$AD$42="Muy Alta",'Mapa riesgos'!$AF$42="Menor"),CONCATENATE("R5C",'Mapa riesgos'!$T$42),"")</f>
        <v/>
      </c>
      <c r="V10" s="35" t="str">
        <f>IF(AND('Mapa riesgos'!$AD$37="Muy Alta",'Mapa riesgos'!$AF$37="Moderado"),CONCATENATE("R5C",'Mapa riesgos'!$T$37),"")</f>
        <v/>
      </c>
      <c r="W10" s="36" t="str">
        <f>IF(AND('Mapa riesgos'!$AD$38="Muy Alta",'Mapa riesgos'!$AF$38="Moderado"),CONCATENATE("R5C",'Mapa riesgos'!$T$38),"")</f>
        <v/>
      </c>
      <c r="X10" s="36" t="str">
        <f>IF(AND('Mapa riesgos'!$AD$39="Muy Alta",'Mapa riesgos'!$AF$39="Moderado"),CONCATENATE("R5C",'Mapa riesgos'!$T$39),"")</f>
        <v/>
      </c>
      <c r="Y10" s="36" t="str">
        <f>IF(AND('Mapa riesgos'!$AD$40="Muy Alta",'Mapa riesgos'!$AF$40="Moderado"),CONCATENATE("R5C",'Mapa riesgos'!$T$40),"")</f>
        <v/>
      </c>
      <c r="Z10" s="36" t="str">
        <f>IF(AND('Mapa riesgos'!$AD$41="Muy Alta",'Mapa riesgos'!$AF$41="Moderado"),CONCATENATE("R5C",'Mapa riesgos'!$T$41),"")</f>
        <v/>
      </c>
      <c r="AA10" s="37" t="str">
        <f>IF(AND('Mapa riesgos'!$AD$42="Muy Alta",'Mapa riesgos'!$AF$42="Moderado"),CONCATENATE("R5C",'Mapa riesgos'!$T$42),"")</f>
        <v/>
      </c>
      <c r="AB10" s="35" t="str">
        <f>IF(AND('Mapa riesgos'!$AD$37="Muy Alta",'Mapa riesgos'!$AF$37="Mayor"),CONCATENATE("R5C",'Mapa riesgos'!$T$37),"")</f>
        <v/>
      </c>
      <c r="AC10" s="36" t="str">
        <f>IF(AND('Mapa riesgos'!$AD$38="Muy Alta",'Mapa riesgos'!$AF$38="Mayor"),CONCATENATE("R5C",'Mapa riesgos'!$T$38),"")</f>
        <v/>
      </c>
      <c r="AD10" s="36" t="str">
        <f>IF(AND('Mapa riesgos'!$AD$39="Muy Alta",'Mapa riesgos'!$AF$39="Mayor"),CONCATENATE("R5C",'Mapa riesgos'!$T$39),"")</f>
        <v/>
      </c>
      <c r="AE10" s="36" t="str">
        <f>IF(AND('Mapa riesgos'!$AD$40="Muy Alta",'Mapa riesgos'!$AF$40="Mayor"),CONCATENATE("R5C",'Mapa riesgos'!$T$40),"")</f>
        <v/>
      </c>
      <c r="AF10" s="36" t="str">
        <f>IF(AND('Mapa riesgos'!$AD$41="Muy Alta",'Mapa riesgos'!$AF$41="Mayor"),CONCATENATE("R5C",'Mapa riesgos'!$T$41),"")</f>
        <v/>
      </c>
      <c r="AG10" s="37" t="str">
        <f>IF(AND('Mapa riesgos'!$AD$42="Muy Alta",'Mapa riesgos'!$AF$42="Mayor"),CONCATENATE("R5C",'Mapa riesgos'!$T$42),"")</f>
        <v/>
      </c>
      <c r="AH10" s="38" t="str">
        <f>IF(AND('Mapa riesgos'!$AD$37="Muy Alta",'Mapa riesgos'!$AF$37="Catastrófico"),CONCATENATE("R5C",'Mapa riesgos'!$T$37),"")</f>
        <v/>
      </c>
      <c r="AI10" s="39" t="str">
        <f>IF(AND('Mapa riesgos'!$AD$38="Muy Alta",'Mapa riesgos'!$AF$38="Catastrófico"),CONCATENATE("R5C",'Mapa riesgos'!$T$38),"")</f>
        <v/>
      </c>
      <c r="AJ10" s="39" t="str">
        <f>IF(AND('Mapa riesgos'!$AD$39="Muy Alta",'Mapa riesgos'!$AF$39="Catastrófico"),CONCATENATE("R5C",'Mapa riesgos'!$T$39),"")</f>
        <v/>
      </c>
      <c r="AK10" s="39" t="str">
        <f>IF(AND('Mapa riesgos'!$AD$40="Muy Alta",'Mapa riesgos'!$AF$40="Catastrófico"),CONCATENATE("R5C",'Mapa riesgos'!$T$40),"")</f>
        <v/>
      </c>
      <c r="AL10" s="39" t="str">
        <f>IF(AND('Mapa riesgos'!$AD$41="Muy Alta",'Mapa riesgos'!$AF$41="Catastrófico"),CONCATENATE("R5C",'Mapa riesgos'!$T$41),"")</f>
        <v/>
      </c>
      <c r="AM10" s="40" t="str">
        <f>IF(AND('Mapa riesgos'!$AD$42="Muy Alta",'Mapa riesgos'!$AF$42="Catastrófico"),CONCATENATE("R5C",'Mapa riesgos'!$T$42),"")</f>
        <v/>
      </c>
      <c r="AN10" s="66"/>
      <c r="AO10" s="534"/>
      <c r="AP10" s="535"/>
      <c r="AQ10" s="535"/>
      <c r="AR10" s="535"/>
      <c r="AS10" s="535"/>
      <c r="AT10" s="53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25">
      <c r="A11" s="66"/>
      <c r="B11" s="429"/>
      <c r="C11" s="429"/>
      <c r="D11" s="430"/>
      <c r="E11" s="528"/>
      <c r="F11" s="527"/>
      <c r="G11" s="527"/>
      <c r="H11" s="527"/>
      <c r="I11" s="543"/>
      <c r="J11" s="35" t="str">
        <f>IF(AND('Mapa riesgos'!$AD$43="Muy Alta",'Mapa riesgos'!$AF$43="Leve"),CONCATENATE("R6C",'Mapa riesgos'!$T$43),"")</f>
        <v/>
      </c>
      <c r="K11" s="36" t="str">
        <f>IF(AND('Mapa riesgos'!$AD$44="Muy Alta",'Mapa riesgos'!$AF$44="Leve"),CONCATENATE("R6C",'Mapa riesgos'!$T$44),"")</f>
        <v/>
      </c>
      <c r="L11" s="36" t="str">
        <f>IF(AND('Mapa riesgos'!$AD$45="Muy Alta",'Mapa riesgos'!$AF$45="Leve"),CONCATENATE("R6C",'Mapa riesgos'!$T$45),"")</f>
        <v/>
      </c>
      <c r="M11" s="36" t="str">
        <f>IF(AND('Mapa riesgos'!$AD$46="Muy Alta",'Mapa riesgos'!$AF$46="Leve"),CONCATENATE("R6C",'Mapa riesgos'!$T$46),"")</f>
        <v/>
      </c>
      <c r="N11" s="36" t="str">
        <f>IF(AND('Mapa riesgos'!$AD$47="Muy Alta",'Mapa riesgos'!$AF$47="Leve"),CONCATENATE("R6C",'Mapa riesgos'!$T$47),"")</f>
        <v/>
      </c>
      <c r="O11" s="37" t="str">
        <f>IF(AND('Mapa riesgos'!$AD$48="Muy Alta",'Mapa riesgos'!$AF$48="Leve"),CONCATENATE("R6C",'Mapa riesgos'!$T$48),"")</f>
        <v/>
      </c>
      <c r="P11" s="35" t="str">
        <f>IF(AND('Mapa riesgos'!$AD$43="Muy Alta",'Mapa riesgos'!$AF$43="Menor"),CONCATENATE("R6C",'Mapa riesgos'!$T$43),"")</f>
        <v/>
      </c>
      <c r="Q11" s="36" t="str">
        <f>IF(AND('Mapa riesgos'!$AD$44="Muy Alta",'Mapa riesgos'!$AF$44="Menor"),CONCATENATE("R6C",'Mapa riesgos'!$T$44),"")</f>
        <v/>
      </c>
      <c r="R11" s="36" t="str">
        <f>IF(AND('Mapa riesgos'!$AD$45="Muy Alta",'Mapa riesgos'!$AF$45="Menor"),CONCATENATE("R6C",'Mapa riesgos'!$T$45),"")</f>
        <v/>
      </c>
      <c r="S11" s="36" t="str">
        <f>IF(AND('Mapa riesgos'!$AD$46="Muy Alta",'Mapa riesgos'!$AF$46="Menor"),CONCATENATE("R6C",'Mapa riesgos'!$T$46),"")</f>
        <v/>
      </c>
      <c r="T11" s="36" t="str">
        <f>IF(AND('Mapa riesgos'!$AD$47="Muy Alta",'Mapa riesgos'!$AF$47="Menor"),CONCATENATE("R6C",'Mapa riesgos'!$T$47),"")</f>
        <v/>
      </c>
      <c r="U11" s="37" t="str">
        <f>IF(AND('Mapa riesgos'!$AD$48="Muy Alta",'Mapa riesgos'!$AF$48="Menor"),CONCATENATE("R6C",'Mapa riesgos'!$T$48),"")</f>
        <v/>
      </c>
      <c r="V11" s="35" t="str">
        <f>IF(AND('Mapa riesgos'!$AD$43="Muy Alta",'Mapa riesgos'!$AF$43="Moderado"),CONCATENATE("R6C",'Mapa riesgos'!$T$43),"")</f>
        <v/>
      </c>
      <c r="W11" s="36" t="str">
        <f>IF(AND('Mapa riesgos'!$AD$44="Muy Alta",'Mapa riesgos'!$AF$44="Moderado"),CONCATENATE("R6C",'Mapa riesgos'!$T$44),"")</f>
        <v/>
      </c>
      <c r="X11" s="36" t="str">
        <f>IF(AND('Mapa riesgos'!$AD$45="Muy Alta",'Mapa riesgos'!$AF$45="Moderado"),CONCATENATE("R6C",'Mapa riesgos'!$T$45),"")</f>
        <v/>
      </c>
      <c r="Y11" s="36" t="str">
        <f>IF(AND('Mapa riesgos'!$AD$46="Muy Alta",'Mapa riesgos'!$AF$46="Moderado"),CONCATENATE("R6C",'Mapa riesgos'!$T$46),"")</f>
        <v/>
      </c>
      <c r="Z11" s="36" t="str">
        <f>IF(AND('Mapa riesgos'!$AD$47="Muy Alta",'Mapa riesgos'!$AF$47="Moderado"),CONCATENATE("R6C",'Mapa riesgos'!$T$47),"")</f>
        <v/>
      </c>
      <c r="AA11" s="37" t="str">
        <f>IF(AND('Mapa riesgos'!$AD$48="Muy Alta",'Mapa riesgos'!$AF$48="Moderado"),CONCATENATE("R6C",'Mapa riesgos'!$T$48),"")</f>
        <v/>
      </c>
      <c r="AB11" s="35" t="str">
        <f>IF(AND('Mapa riesgos'!$AD$43="Muy Alta",'Mapa riesgos'!$AF$43="Mayor"),CONCATENATE("R6C",'Mapa riesgos'!$T$43),"")</f>
        <v/>
      </c>
      <c r="AC11" s="36" t="str">
        <f>IF(AND('Mapa riesgos'!$AD$44="Muy Alta",'Mapa riesgos'!$AF$44="Mayor"),CONCATENATE("R6C",'Mapa riesgos'!$T$44),"")</f>
        <v/>
      </c>
      <c r="AD11" s="36" t="str">
        <f>IF(AND('Mapa riesgos'!$AD$45="Muy Alta",'Mapa riesgos'!$AF$45="Mayor"),CONCATENATE("R6C",'Mapa riesgos'!$T$45),"")</f>
        <v/>
      </c>
      <c r="AE11" s="36" t="str">
        <f>IF(AND('Mapa riesgos'!$AD$46="Muy Alta",'Mapa riesgos'!$AF$46="Mayor"),CONCATENATE("R6C",'Mapa riesgos'!$T$46),"")</f>
        <v/>
      </c>
      <c r="AF11" s="36" t="str">
        <f>IF(AND('Mapa riesgos'!$AD$47="Muy Alta",'Mapa riesgos'!$AF$47="Mayor"),CONCATENATE("R6C",'Mapa riesgos'!$T$47),"")</f>
        <v/>
      </c>
      <c r="AG11" s="37" t="str">
        <f>IF(AND('Mapa riesgos'!$AD$48="Muy Alta",'Mapa riesgos'!$AF$48="Mayor"),CONCATENATE("R6C",'Mapa riesgos'!$T$48),"")</f>
        <v/>
      </c>
      <c r="AH11" s="38" t="str">
        <f>IF(AND('Mapa riesgos'!$AD$43="Muy Alta",'Mapa riesgos'!$AF$43="Catastrófico"),CONCATENATE("R6C",'Mapa riesgos'!$T$43),"")</f>
        <v/>
      </c>
      <c r="AI11" s="39" t="str">
        <f>IF(AND('Mapa riesgos'!$AD$44="Muy Alta",'Mapa riesgos'!$AF$44="Catastrófico"),CONCATENATE("R6C",'Mapa riesgos'!$T$44),"")</f>
        <v/>
      </c>
      <c r="AJ11" s="39" t="str">
        <f>IF(AND('Mapa riesgos'!$AD$45="Muy Alta",'Mapa riesgos'!$AF$45="Catastrófico"),CONCATENATE("R6C",'Mapa riesgos'!$T$45),"")</f>
        <v/>
      </c>
      <c r="AK11" s="39" t="str">
        <f>IF(AND('Mapa riesgos'!$AD$46="Muy Alta",'Mapa riesgos'!$AF$46="Catastrófico"),CONCATENATE("R6C",'Mapa riesgos'!$T$46),"")</f>
        <v/>
      </c>
      <c r="AL11" s="39" t="str">
        <f>IF(AND('Mapa riesgos'!$AD$47="Muy Alta",'Mapa riesgos'!$AF$47="Catastrófico"),CONCATENATE("R6C",'Mapa riesgos'!$T$47),"")</f>
        <v/>
      </c>
      <c r="AM11" s="40" t="str">
        <f>IF(AND('Mapa riesgos'!$AD$48="Muy Alta",'Mapa riesgos'!$AF$48="Catastrófico"),CONCATENATE("R6C",'Mapa riesgos'!$T$48),"")</f>
        <v/>
      </c>
      <c r="AN11" s="66"/>
      <c r="AO11" s="534"/>
      <c r="AP11" s="535"/>
      <c r="AQ11" s="535"/>
      <c r="AR11" s="535"/>
      <c r="AS11" s="535"/>
      <c r="AT11" s="53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25">
      <c r="A12" s="66"/>
      <c r="B12" s="429"/>
      <c r="C12" s="429"/>
      <c r="D12" s="430"/>
      <c r="E12" s="528"/>
      <c r="F12" s="527"/>
      <c r="G12" s="527"/>
      <c r="H12" s="527"/>
      <c r="I12" s="543"/>
      <c r="J12" s="35" t="str">
        <f>IF(AND('Mapa riesgos'!$AD$49="Muy Alta",'Mapa riesgos'!$AF$49="Leve"),CONCATENATE("R7C",'Mapa riesgos'!$T$49),"")</f>
        <v/>
      </c>
      <c r="K12" s="36" t="str">
        <f>IF(AND('Mapa riesgos'!$AD$50="Muy Alta",'Mapa riesgos'!$AF$50="Leve"),CONCATENATE("R7C",'Mapa riesgos'!$T$50),"")</f>
        <v/>
      </c>
      <c r="L12" s="36" t="str">
        <f>IF(AND('Mapa riesgos'!$AD$51="Muy Alta",'Mapa riesgos'!$AF$51="Leve"),CONCATENATE("R7C",'Mapa riesgos'!$T$51),"")</f>
        <v/>
      </c>
      <c r="M12" s="36" t="str">
        <f>IF(AND('Mapa riesgos'!$AD$52="Muy Alta",'Mapa riesgos'!$AF$52="Leve"),CONCATENATE("R7C",'Mapa riesgos'!$T$52),"")</f>
        <v/>
      </c>
      <c r="N12" s="36" t="str">
        <f>IF(AND('Mapa riesgos'!$AD$53="Muy Alta",'Mapa riesgos'!$AF$53="Leve"),CONCATENATE("R7C",'Mapa riesgos'!$T$53),"")</f>
        <v/>
      </c>
      <c r="O12" s="37" t="str">
        <f>IF(AND('Mapa riesgos'!$AD$54="Muy Alta",'Mapa riesgos'!$AF$54="Leve"),CONCATENATE("R7C",'Mapa riesgos'!$T$54),"")</f>
        <v/>
      </c>
      <c r="P12" s="35" t="str">
        <f>IF(AND('Mapa riesgos'!$AD$49="Muy Alta",'Mapa riesgos'!$AF$49="Menor"),CONCATENATE("R7C",'Mapa riesgos'!$T$49),"")</f>
        <v/>
      </c>
      <c r="Q12" s="36" t="str">
        <f>IF(AND('Mapa riesgos'!$AD$50="Muy Alta",'Mapa riesgos'!$AF$50="Menor"),CONCATENATE("R7C",'Mapa riesgos'!$T$50),"")</f>
        <v/>
      </c>
      <c r="R12" s="36" t="str">
        <f>IF(AND('Mapa riesgos'!$AD$51="Muy Alta",'Mapa riesgos'!$AF$51="Menor"),CONCATENATE("R7C",'Mapa riesgos'!$T$51),"")</f>
        <v/>
      </c>
      <c r="S12" s="36" t="str">
        <f>IF(AND('Mapa riesgos'!$AD$52="Muy Alta",'Mapa riesgos'!$AF$52="Menor"),CONCATENATE("R7C",'Mapa riesgos'!$T$52),"")</f>
        <v/>
      </c>
      <c r="T12" s="36" t="str">
        <f>IF(AND('Mapa riesgos'!$AD$53="Muy Alta",'Mapa riesgos'!$AF$53="Menor"),CONCATENATE("R7C",'Mapa riesgos'!$T$53),"")</f>
        <v/>
      </c>
      <c r="U12" s="37" t="str">
        <f>IF(AND('Mapa riesgos'!$AD$54="Muy Alta",'Mapa riesgos'!$AF$54="Menor"),CONCATENATE("R7C",'Mapa riesgos'!$T$54),"")</f>
        <v/>
      </c>
      <c r="V12" s="35" t="str">
        <f>IF(AND('Mapa riesgos'!$AD$49="Muy Alta",'Mapa riesgos'!$AF$49="Moderado"),CONCATENATE("R7C",'Mapa riesgos'!$T$49),"")</f>
        <v/>
      </c>
      <c r="W12" s="36" t="str">
        <f>IF(AND('Mapa riesgos'!$AD$50="Muy Alta",'Mapa riesgos'!$AF$50="Moderado"),CONCATENATE("R7C",'Mapa riesgos'!$T$50),"")</f>
        <v/>
      </c>
      <c r="X12" s="36" t="str">
        <f>IF(AND('Mapa riesgos'!$AD$51="Muy Alta",'Mapa riesgos'!$AF$51="Moderado"),CONCATENATE("R7C",'Mapa riesgos'!$T$51),"")</f>
        <v/>
      </c>
      <c r="Y12" s="36" t="str">
        <f>IF(AND('Mapa riesgos'!$AD$52="Muy Alta",'Mapa riesgos'!$AF$52="Moderado"),CONCATENATE("R7C",'Mapa riesgos'!$T$52),"")</f>
        <v/>
      </c>
      <c r="Z12" s="36" t="str">
        <f>IF(AND('Mapa riesgos'!$AD$53="Muy Alta",'Mapa riesgos'!$AF$53="Moderado"),CONCATENATE("R7C",'Mapa riesgos'!$T$53),"")</f>
        <v/>
      </c>
      <c r="AA12" s="37" t="str">
        <f>IF(AND('Mapa riesgos'!$AD$54="Muy Alta",'Mapa riesgos'!$AF$54="Moderado"),CONCATENATE("R7C",'Mapa riesgos'!$T$54),"")</f>
        <v/>
      </c>
      <c r="AB12" s="35" t="str">
        <f>IF(AND('Mapa riesgos'!$AD$49="Muy Alta",'Mapa riesgos'!$AF$49="Mayor"),CONCATENATE("R7C",'Mapa riesgos'!$T$49),"")</f>
        <v/>
      </c>
      <c r="AC12" s="36" t="str">
        <f>IF(AND('Mapa riesgos'!$AD$50="Muy Alta",'Mapa riesgos'!$AF$50="Mayor"),CONCATENATE("R7C",'Mapa riesgos'!$T$50),"")</f>
        <v/>
      </c>
      <c r="AD12" s="36" t="str">
        <f>IF(AND('Mapa riesgos'!$AD$51="Muy Alta",'Mapa riesgos'!$AF$51="Mayor"),CONCATENATE("R7C",'Mapa riesgos'!$T$51),"")</f>
        <v/>
      </c>
      <c r="AE12" s="36" t="str">
        <f>IF(AND('Mapa riesgos'!$AD$52="Muy Alta",'Mapa riesgos'!$AF$52="Mayor"),CONCATENATE("R7C",'Mapa riesgos'!$T$52),"")</f>
        <v/>
      </c>
      <c r="AF12" s="36" t="str">
        <f>IF(AND('Mapa riesgos'!$AD$53="Muy Alta",'Mapa riesgos'!$AF$53="Mayor"),CONCATENATE("R7C",'Mapa riesgos'!$T$53),"")</f>
        <v/>
      </c>
      <c r="AG12" s="37" t="str">
        <f>IF(AND('Mapa riesgos'!$AD$54="Muy Alta",'Mapa riesgos'!$AF$54="Mayor"),CONCATENATE("R7C",'Mapa riesgos'!$T$54),"")</f>
        <v/>
      </c>
      <c r="AH12" s="38" t="str">
        <f>IF(AND('Mapa riesgos'!$AD$49="Muy Alta",'Mapa riesgos'!$AF$49="Catastrófico"),CONCATENATE("R7C",'Mapa riesgos'!$T$49),"")</f>
        <v/>
      </c>
      <c r="AI12" s="39" t="str">
        <f>IF(AND('Mapa riesgos'!$AD$50="Muy Alta",'Mapa riesgos'!$AF$50="Catastrófico"),CONCATENATE("R7C",'Mapa riesgos'!$T$50),"")</f>
        <v/>
      </c>
      <c r="AJ12" s="39" t="str">
        <f>IF(AND('Mapa riesgos'!$AD$51="Muy Alta",'Mapa riesgos'!$AF$51="Catastrófico"),CONCATENATE("R7C",'Mapa riesgos'!$T$51),"")</f>
        <v/>
      </c>
      <c r="AK12" s="39" t="str">
        <f>IF(AND('Mapa riesgos'!$AD$52="Muy Alta",'Mapa riesgos'!$AF$52="Catastrófico"),CONCATENATE("R7C",'Mapa riesgos'!$T$52),"")</f>
        <v/>
      </c>
      <c r="AL12" s="39" t="str">
        <f>IF(AND('Mapa riesgos'!$AD$53="Muy Alta",'Mapa riesgos'!$AF$53="Catastrófico"),CONCATENATE("R7C",'Mapa riesgos'!$T$53),"")</f>
        <v/>
      </c>
      <c r="AM12" s="40" t="str">
        <f>IF(AND('Mapa riesgos'!$AD$54="Muy Alta",'Mapa riesgos'!$AF$54="Catastrófico"),CONCATENATE("R7C",'Mapa riesgos'!$T$54),"")</f>
        <v/>
      </c>
      <c r="AN12" s="66"/>
      <c r="AO12" s="534"/>
      <c r="AP12" s="535"/>
      <c r="AQ12" s="535"/>
      <c r="AR12" s="535"/>
      <c r="AS12" s="535"/>
      <c r="AT12" s="53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25">
      <c r="A13" s="66"/>
      <c r="B13" s="429"/>
      <c r="C13" s="429"/>
      <c r="D13" s="430"/>
      <c r="E13" s="528"/>
      <c r="F13" s="527"/>
      <c r="G13" s="527"/>
      <c r="H13" s="527"/>
      <c r="I13" s="543"/>
      <c r="J13" s="35" t="str">
        <f>IF(AND('Mapa riesgos'!$AD$55="Muy Alta",'Mapa riesgos'!$AF$55="Leve"),CONCATENATE("R8C",'Mapa riesgos'!$T$55),"")</f>
        <v/>
      </c>
      <c r="K13" s="36" t="str">
        <f>IF(AND('Mapa riesgos'!$AD$56="Muy Alta",'Mapa riesgos'!$AF$56="Leve"),CONCATENATE("R8C",'Mapa riesgos'!$T$56),"")</f>
        <v/>
      </c>
      <c r="L13" s="36" t="str">
        <f>IF(AND('Mapa riesgos'!$AD$57="Muy Alta",'Mapa riesgos'!$AF$57="Leve"),CONCATENATE("R8C",'Mapa riesgos'!$T$57),"")</f>
        <v/>
      </c>
      <c r="M13" s="36" t="str">
        <f>IF(AND('Mapa riesgos'!$AD$58="Muy Alta",'Mapa riesgos'!$AF$58="Leve"),CONCATENATE("R8C",'Mapa riesgos'!$T$58),"")</f>
        <v/>
      </c>
      <c r="N13" s="36" t="str">
        <f>IF(AND('Mapa riesgos'!$AD$59="Muy Alta",'Mapa riesgos'!$AF$59="Leve"),CONCATENATE("R8C",'Mapa riesgos'!$T$59),"")</f>
        <v/>
      </c>
      <c r="O13" s="37" t="str">
        <f>IF(AND('Mapa riesgos'!$AD$60="Muy Alta",'Mapa riesgos'!$AF$60="Leve"),CONCATENATE("R8C",'Mapa riesgos'!$T$60),"")</f>
        <v/>
      </c>
      <c r="P13" s="35" t="str">
        <f>IF(AND('Mapa riesgos'!$AD$55="Muy Alta",'Mapa riesgos'!$AF$55="Menor"),CONCATENATE("R8C",'Mapa riesgos'!$T$55),"")</f>
        <v/>
      </c>
      <c r="Q13" s="36" t="str">
        <f>IF(AND('Mapa riesgos'!$AD$56="Muy Alta",'Mapa riesgos'!$AF$56="Menor"),CONCATENATE("R8C",'Mapa riesgos'!$T$56),"")</f>
        <v/>
      </c>
      <c r="R13" s="36" t="str">
        <f>IF(AND('Mapa riesgos'!$AD$57="Muy Alta",'Mapa riesgos'!$AF$57="Menor"),CONCATENATE("R8C",'Mapa riesgos'!$T$57),"")</f>
        <v/>
      </c>
      <c r="S13" s="36" t="str">
        <f>IF(AND('Mapa riesgos'!$AD$58="Muy Alta",'Mapa riesgos'!$AF$58="Menor"),CONCATENATE("R8C",'Mapa riesgos'!$T$58),"")</f>
        <v/>
      </c>
      <c r="T13" s="36" t="str">
        <f>IF(AND('Mapa riesgos'!$AD$59="Muy Alta",'Mapa riesgos'!$AF$59="Menor"),CONCATENATE("R8C",'Mapa riesgos'!$T$59),"")</f>
        <v/>
      </c>
      <c r="U13" s="37" t="str">
        <f>IF(AND('Mapa riesgos'!$AD$60="Muy Alta",'Mapa riesgos'!$AF$60="Menor"),CONCATENATE("R8C",'Mapa riesgos'!$T$60),"")</f>
        <v/>
      </c>
      <c r="V13" s="35" t="str">
        <f>IF(AND('Mapa riesgos'!$AD$55="Muy Alta",'Mapa riesgos'!$AF$55="Moderado"),CONCATENATE("R8C",'Mapa riesgos'!$T$55),"")</f>
        <v/>
      </c>
      <c r="W13" s="36" t="str">
        <f>IF(AND('Mapa riesgos'!$AD$56="Muy Alta",'Mapa riesgos'!$AF$56="Moderado"),CONCATENATE("R8C",'Mapa riesgos'!$T$56),"")</f>
        <v/>
      </c>
      <c r="X13" s="36" t="str">
        <f>IF(AND('Mapa riesgos'!$AD$57="Muy Alta",'Mapa riesgos'!$AF$57="Moderado"),CONCATENATE("R8C",'Mapa riesgos'!$T$57),"")</f>
        <v/>
      </c>
      <c r="Y13" s="36" t="str">
        <f>IF(AND('Mapa riesgos'!$AD$58="Muy Alta",'Mapa riesgos'!$AF$58="Moderado"),CONCATENATE("R8C",'Mapa riesgos'!$T$58),"")</f>
        <v/>
      </c>
      <c r="Z13" s="36" t="str">
        <f>IF(AND('Mapa riesgos'!$AD$59="Muy Alta",'Mapa riesgos'!$AF$59="Moderado"),CONCATENATE("R8C",'Mapa riesgos'!$T$59),"")</f>
        <v/>
      </c>
      <c r="AA13" s="37" t="str">
        <f>IF(AND('Mapa riesgos'!$AD$60="Muy Alta",'Mapa riesgos'!$AF$60="Moderado"),CONCATENATE("R8C",'Mapa riesgos'!$T$60),"")</f>
        <v/>
      </c>
      <c r="AB13" s="35" t="str">
        <f>IF(AND('Mapa riesgos'!$AD$55="Muy Alta",'Mapa riesgos'!$AF$55="Mayor"),CONCATENATE("R8C",'Mapa riesgos'!$T$55),"")</f>
        <v/>
      </c>
      <c r="AC13" s="36" t="str">
        <f>IF(AND('Mapa riesgos'!$AD$56="Muy Alta",'Mapa riesgos'!$AF$56="Mayor"),CONCATENATE("R8C",'Mapa riesgos'!$T$56),"")</f>
        <v/>
      </c>
      <c r="AD13" s="36" t="str">
        <f>IF(AND('Mapa riesgos'!$AD$57="Muy Alta",'Mapa riesgos'!$AF$57="Mayor"),CONCATENATE("R8C",'Mapa riesgos'!$T$57),"")</f>
        <v/>
      </c>
      <c r="AE13" s="36" t="str">
        <f>IF(AND('Mapa riesgos'!$AD$58="Muy Alta",'Mapa riesgos'!$AF$58="Mayor"),CONCATENATE("R8C",'Mapa riesgos'!$T$58),"")</f>
        <v/>
      </c>
      <c r="AF13" s="36" t="str">
        <f>IF(AND('Mapa riesgos'!$AD$59="Muy Alta",'Mapa riesgos'!$AF$59="Mayor"),CONCATENATE("R8C",'Mapa riesgos'!$T$59),"")</f>
        <v/>
      </c>
      <c r="AG13" s="37" t="str">
        <f>IF(AND('Mapa riesgos'!$AD$60="Muy Alta",'Mapa riesgos'!$AF$60="Mayor"),CONCATENATE("R8C",'Mapa riesgos'!$T$60),"")</f>
        <v/>
      </c>
      <c r="AH13" s="38" t="str">
        <f>IF(AND('Mapa riesgos'!$AD$55="Muy Alta",'Mapa riesgos'!$AF$55="Catastrófico"),CONCATENATE("R8C",'Mapa riesgos'!$T$55),"")</f>
        <v/>
      </c>
      <c r="AI13" s="39" t="str">
        <f>IF(AND('Mapa riesgos'!$AD$56="Muy Alta",'Mapa riesgos'!$AF$56="Catastrófico"),CONCATENATE("R8C",'Mapa riesgos'!$T$56),"")</f>
        <v/>
      </c>
      <c r="AJ13" s="39" t="str">
        <f>IF(AND('Mapa riesgos'!$AD$57="Muy Alta",'Mapa riesgos'!$AF$57="Catastrófico"),CONCATENATE("R8C",'Mapa riesgos'!$T$57),"")</f>
        <v/>
      </c>
      <c r="AK13" s="39" t="str">
        <f>IF(AND('Mapa riesgos'!$AD$58="Muy Alta",'Mapa riesgos'!$AF$58="Catastrófico"),CONCATENATE("R8C",'Mapa riesgos'!$T$58),"")</f>
        <v/>
      </c>
      <c r="AL13" s="39" t="str">
        <f>IF(AND('Mapa riesgos'!$AD$59="Muy Alta",'Mapa riesgos'!$AF$59="Catastrófico"),CONCATENATE("R8C",'Mapa riesgos'!$T$59),"")</f>
        <v/>
      </c>
      <c r="AM13" s="40" t="str">
        <f>IF(AND('Mapa riesgos'!$AD$60="Muy Alta",'Mapa riesgos'!$AF$60="Catastrófico"),CONCATENATE("R8C",'Mapa riesgos'!$T$60),"")</f>
        <v/>
      </c>
      <c r="AN13" s="66"/>
      <c r="AO13" s="534"/>
      <c r="AP13" s="535"/>
      <c r="AQ13" s="535"/>
      <c r="AR13" s="535"/>
      <c r="AS13" s="535"/>
      <c r="AT13" s="53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25">
      <c r="A14" s="66"/>
      <c r="B14" s="429"/>
      <c r="C14" s="429"/>
      <c r="D14" s="430"/>
      <c r="E14" s="528"/>
      <c r="F14" s="527"/>
      <c r="G14" s="527"/>
      <c r="H14" s="527"/>
      <c r="I14" s="543"/>
      <c r="J14" s="35" t="str">
        <f>IF(AND('Mapa riesgos'!$AD$61="Muy Alta",'Mapa riesgos'!$AF$61="Leve"),CONCATENATE("R9C",'Mapa riesgos'!$T$61),"")</f>
        <v/>
      </c>
      <c r="K14" s="36" t="str">
        <f>IF(AND('Mapa riesgos'!$AD$62="Muy Alta",'Mapa riesgos'!$AF$62="Leve"),CONCATENATE("R9C",'Mapa riesgos'!$T$62),"")</f>
        <v/>
      </c>
      <c r="L14" s="36" t="str">
        <f>IF(AND('Mapa riesgos'!$AD$63="Muy Alta",'Mapa riesgos'!$AF$63="Leve"),CONCATENATE("R9C",'Mapa riesgos'!$T$63),"")</f>
        <v/>
      </c>
      <c r="M14" s="36" t="str">
        <f>IF(AND('Mapa riesgos'!$AD$64="Muy Alta",'Mapa riesgos'!$AF$64="Leve"),CONCATENATE("R9C",'Mapa riesgos'!$T$64),"")</f>
        <v/>
      </c>
      <c r="N14" s="36" t="str">
        <f>IF(AND('Mapa riesgos'!$AD$65="Muy Alta",'Mapa riesgos'!$AF$65="Leve"),CONCATENATE("R9C",'Mapa riesgos'!$T$65),"")</f>
        <v/>
      </c>
      <c r="O14" s="37" t="str">
        <f>IF(AND('Mapa riesgos'!$AD$66="Muy Alta",'Mapa riesgos'!$AF$66="Leve"),CONCATENATE("R9C",'Mapa riesgos'!$T$66),"")</f>
        <v/>
      </c>
      <c r="P14" s="35" t="str">
        <f>IF(AND('Mapa riesgos'!$AD$61="Muy Alta",'Mapa riesgos'!$AF$61="Menor"),CONCATENATE("R9C",'Mapa riesgos'!$T$61),"")</f>
        <v/>
      </c>
      <c r="Q14" s="36" t="str">
        <f>IF(AND('Mapa riesgos'!$AD$62="Muy Alta",'Mapa riesgos'!$AF$62="Menor"),CONCATENATE("R9C",'Mapa riesgos'!$T$62),"")</f>
        <v/>
      </c>
      <c r="R14" s="36" t="str">
        <f>IF(AND('Mapa riesgos'!$AD$63="Muy Alta",'Mapa riesgos'!$AF$63="Menor"),CONCATENATE("R9C",'Mapa riesgos'!$T$63),"")</f>
        <v/>
      </c>
      <c r="S14" s="36" t="str">
        <f>IF(AND('Mapa riesgos'!$AD$64="Muy Alta",'Mapa riesgos'!$AF$64="Menor"),CONCATENATE("R9C",'Mapa riesgos'!$T$64),"")</f>
        <v/>
      </c>
      <c r="T14" s="36" t="str">
        <f>IF(AND('Mapa riesgos'!$AD$65="Muy Alta",'Mapa riesgos'!$AF$65="Menor"),CONCATENATE("R9C",'Mapa riesgos'!$T$65),"")</f>
        <v/>
      </c>
      <c r="U14" s="37" t="str">
        <f>IF(AND('Mapa riesgos'!$AD$66="Muy Alta",'Mapa riesgos'!$AF$66="Menor"),CONCATENATE("R9C",'Mapa riesgos'!$T$66),"")</f>
        <v/>
      </c>
      <c r="V14" s="35" t="str">
        <f>IF(AND('Mapa riesgos'!$AD$61="Muy Alta",'Mapa riesgos'!$AF$61="Moderado"),CONCATENATE("R9C",'Mapa riesgos'!$T$61),"")</f>
        <v/>
      </c>
      <c r="W14" s="36" t="str">
        <f>IF(AND('Mapa riesgos'!$AD$62="Muy Alta",'Mapa riesgos'!$AF$62="Moderado"),CONCATENATE("R9C",'Mapa riesgos'!$T$62),"")</f>
        <v/>
      </c>
      <c r="X14" s="36" t="str">
        <f>IF(AND('Mapa riesgos'!$AD$63="Muy Alta",'Mapa riesgos'!$AF$63="Moderado"),CONCATENATE("R9C",'Mapa riesgos'!$T$63),"")</f>
        <v/>
      </c>
      <c r="Y14" s="36" t="str">
        <f>IF(AND('Mapa riesgos'!$AD$64="Muy Alta",'Mapa riesgos'!$AF$64="Moderado"),CONCATENATE("R9C",'Mapa riesgos'!$T$64),"")</f>
        <v/>
      </c>
      <c r="Z14" s="36" t="str">
        <f>IF(AND('Mapa riesgos'!$AD$65="Muy Alta",'Mapa riesgos'!$AF$65="Moderado"),CONCATENATE("R9C",'Mapa riesgos'!$T$65),"")</f>
        <v/>
      </c>
      <c r="AA14" s="37" t="str">
        <f>IF(AND('Mapa riesgos'!$AD$66="Muy Alta",'Mapa riesgos'!$AF$66="Moderado"),CONCATENATE("R9C",'Mapa riesgos'!$T$66),"")</f>
        <v/>
      </c>
      <c r="AB14" s="35" t="str">
        <f>IF(AND('Mapa riesgos'!$AD$61="Muy Alta",'Mapa riesgos'!$AF$61="Mayor"),CONCATENATE("R9C",'Mapa riesgos'!$T$61),"")</f>
        <v/>
      </c>
      <c r="AC14" s="36" t="str">
        <f>IF(AND('Mapa riesgos'!$AD$62="Muy Alta",'Mapa riesgos'!$AF$62="Mayor"),CONCATENATE("R9C",'Mapa riesgos'!$T$62),"")</f>
        <v/>
      </c>
      <c r="AD14" s="36" t="str">
        <f>IF(AND('Mapa riesgos'!$AD$63="Muy Alta",'Mapa riesgos'!$AF$63="Mayor"),CONCATENATE("R9C",'Mapa riesgos'!$T$63),"")</f>
        <v/>
      </c>
      <c r="AE14" s="36" t="str">
        <f>IF(AND('Mapa riesgos'!$AD$64="Muy Alta",'Mapa riesgos'!$AF$64="Mayor"),CONCATENATE("R9C",'Mapa riesgos'!$T$64),"")</f>
        <v/>
      </c>
      <c r="AF14" s="36" t="str">
        <f>IF(AND('Mapa riesgos'!$AD$65="Muy Alta",'Mapa riesgos'!$AF$65="Mayor"),CONCATENATE("R9C",'Mapa riesgos'!$T$65),"")</f>
        <v/>
      </c>
      <c r="AG14" s="37" t="str">
        <f>IF(AND('Mapa riesgos'!$AD$66="Muy Alta",'Mapa riesgos'!$AF$66="Mayor"),CONCATENATE("R9C",'Mapa riesgos'!$T$66),"")</f>
        <v/>
      </c>
      <c r="AH14" s="38" t="str">
        <f>IF(AND('Mapa riesgos'!$AD$61="Muy Alta",'Mapa riesgos'!$AF$61="Catastrófico"),CONCATENATE("R9C",'Mapa riesgos'!$T$61),"")</f>
        <v/>
      </c>
      <c r="AI14" s="39" t="str">
        <f>IF(AND('Mapa riesgos'!$AD$62="Muy Alta",'Mapa riesgos'!$AF$62="Catastrófico"),CONCATENATE("R9C",'Mapa riesgos'!$T$62),"")</f>
        <v/>
      </c>
      <c r="AJ14" s="39" t="str">
        <f>IF(AND('Mapa riesgos'!$AD$63="Muy Alta",'Mapa riesgos'!$AF$63="Catastrófico"),CONCATENATE("R9C",'Mapa riesgos'!$T$63),"")</f>
        <v/>
      </c>
      <c r="AK14" s="39" t="str">
        <f>IF(AND('Mapa riesgos'!$AD$64="Muy Alta",'Mapa riesgos'!$AF$64="Catastrófico"),CONCATENATE("R9C",'Mapa riesgos'!$T$64),"")</f>
        <v/>
      </c>
      <c r="AL14" s="39" t="str">
        <f>IF(AND('Mapa riesgos'!$AD$65="Muy Alta",'Mapa riesgos'!$AF$65="Catastrófico"),CONCATENATE("R9C",'Mapa riesgos'!$T$65),"")</f>
        <v/>
      </c>
      <c r="AM14" s="40" t="str">
        <f>IF(AND('Mapa riesgos'!$AD$66="Muy Alta",'Mapa riesgos'!$AF$66="Catastrófico"),CONCATENATE("R9C",'Mapa riesgos'!$T$66),"")</f>
        <v/>
      </c>
      <c r="AN14" s="66"/>
      <c r="AO14" s="534"/>
      <c r="AP14" s="535"/>
      <c r="AQ14" s="535"/>
      <c r="AR14" s="535"/>
      <c r="AS14" s="535"/>
      <c r="AT14" s="53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
      <c r="A15" s="66"/>
      <c r="B15" s="429"/>
      <c r="C15" s="429"/>
      <c r="D15" s="430"/>
      <c r="E15" s="529"/>
      <c r="F15" s="530"/>
      <c r="G15" s="530"/>
      <c r="H15" s="530"/>
      <c r="I15" s="544"/>
      <c r="J15" s="41" t="str">
        <f>IF(AND('Mapa riesgos'!$AD$67="Muy Alta",'Mapa riesgos'!$AF$67="Leve"),CONCATENATE("R10C",'Mapa riesgos'!$T$67),"")</f>
        <v/>
      </c>
      <c r="K15" s="42" t="str">
        <f>IF(AND('Mapa riesgos'!$AD$68="Muy Alta",'Mapa riesgos'!$AF$68="Leve"),CONCATENATE("R10C",'Mapa riesgos'!$T$68),"")</f>
        <v/>
      </c>
      <c r="L15" s="42" t="str">
        <f>IF(AND('Mapa riesgos'!$AD$69="Muy Alta",'Mapa riesgos'!$AF$69="Leve"),CONCATENATE("R10C",'Mapa riesgos'!$T$69),"")</f>
        <v/>
      </c>
      <c r="M15" s="42" t="str">
        <f>IF(AND('Mapa riesgos'!$AD$70="Muy Alta",'Mapa riesgos'!$AF$70="Leve"),CONCATENATE("R10C",'Mapa riesgos'!$T$70),"")</f>
        <v/>
      </c>
      <c r="N15" s="42" t="str">
        <f>IF(AND('Mapa riesgos'!$AD$71="Muy Alta",'Mapa riesgos'!$AF$71="Leve"),CONCATENATE("R10C",'Mapa riesgos'!$T$71),"")</f>
        <v/>
      </c>
      <c r="O15" s="43" t="str">
        <f>IF(AND('Mapa riesgos'!$AD$72="Muy Alta",'Mapa riesgos'!$AF$72="Leve"),CONCATENATE("R10C",'Mapa riesgos'!$T$72),"")</f>
        <v/>
      </c>
      <c r="P15" s="35" t="str">
        <f>IF(AND('Mapa riesgos'!$AD$67="Muy Alta",'Mapa riesgos'!$AF$67="Menor"),CONCATENATE("R10C",'Mapa riesgos'!$T$67),"")</f>
        <v/>
      </c>
      <c r="Q15" s="36" t="str">
        <f>IF(AND('Mapa riesgos'!$AD$68="Muy Alta",'Mapa riesgos'!$AF$68="Menor"),CONCATENATE("R10C",'Mapa riesgos'!$T$68),"")</f>
        <v/>
      </c>
      <c r="R15" s="36" t="str">
        <f>IF(AND('Mapa riesgos'!$AD$69="Muy Alta",'Mapa riesgos'!$AF$69="Menor"),CONCATENATE("R10C",'Mapa riesgos'!$T$69),"")</f>
        <v/>
      </c>
      <c r="S15" s="36" t="str">
        <f>IF(AND('Mapa riesgos'!$AD$70="Muy Alta",'Mapa riesgos'!$AF$70="Menor"),CONCATENATE("R10C",'Mapa riesgos'!$T$70),"")</f>
        <v/>
      </c>
      <c r="T15" s="36" t="str">
        <f>IF(AND('Mapa riesgos'!$AD$71="Muy Alta",'Mapa riesgos'!$AF$71="Menor"),CONCATENATE("R10C",'Mapa riesgos'!$T$71),"")</f>
        <v/>
      </c>
      <c r="U15" s="37" t="str">
        <f>IF(AND('Mapa riesgos'!$AD$72="Muy Alta",'Mapa riesgos'!$AF$72="Menor"),CONCATENATE("R10C",'Mapa riesgos'!$T$72),"")</f>
        <v/>
      </c>
      <c r="V15" s="41" t="str">
        <f>IF(AND('Mapa riesgos'!$AD$67="Muy Alta",'Mapa riesgos'!$AF$67="Moderado"),CONCATENATE("R10C",'Mapa riesgos'!$T$67),"")</f>
        <v/>
      </c>
      <c r="W15" s="42" t="str">
        <f>IF(AND('Mapa riesgos'!$AD$68="Muy Alta",'Mapa riesgos'!$AF$68="Moderado"),CONCATENATE("R10C",'Mapa riesgos'!$T$68),"")</f>
        <v/>
      </c>
      <c r="X15" s="42" t="str">
        <f>IF(AND('Mapa riesgos'!$AD$69="Muy Alta",'Mapa riesgos'!$AF$69="Moderado"),CONCATENATE("R10C",'Mapa riesgos'!$T$69),"")</f>
        <v/>
      </c>
      <c r="Y15" s="42" t="str">
        <f>IF(AND('Mapa riesgos'!$AD$70="Muy Alta",'Mapa riesgos'!$AF$70="Moderado"),CONCATENATE("R10C",'Mapa riesgos'!$T$70),"")</f>
        <v/>
      </c>
      <c r="Z15" s="42" t="str">
        <f>IF(AND('Mapa riesgos'!$AD$71="Muy Alta",'Mapa riesgos'!$AF$71="Moderado"),CONCATENATE("R10C",'Mapa riesgos'!$T$71),"")</f>
        <v/>
      </c>
      <c r="AA15" s="43" t="str">
        <f>IF(AND('Mapa riesgos'!$AD$72="Muy Alta",'Mapa riesgos'!$AF$72="Moderado"),CONCATENATE("R10C",'Mapa riesgos'!$T$72),"")</f>
        <v/>
      </c>
      <c r="AB15" s="35" t="str">
        <f>IF(AND('Mapa riesgos'!$AD$67="Muy Alta",'Mapa riesgos'!$AF$67="Mayor"),CONCATENATE("R10C",'Mapa riesgos'!$T$67),"")</f>
        <v/>
      </c>
      <c r="AC15" s="36" t="str">
        <f>IF(AND('Mapa riesgos'!$AD$68="Muy Alta",'Mapa riesgos'!$AF$68="Mayor"),CONCATENATE("R10C",'Mapa riesgos'!$T$68),"")</f>
        <v/>
      </c>
      <c r="AD15" s="36" t="str">
        <f>IF(AND('Mapa riesgos'!$AD$69="Muy Alta",'Mapa riesgos'!$AF$69="Mayor"),CONCATENATE("R10C",'Mapa riesgos'!$T$69),"")</f>
        <v/>
      </c>
      <c r="AE15" s="36" t="str">
        <f>IF(AND('Mapa riesgos'!$AD$70="Muy Alta",'Mapa riesgos'!$AF$70="Mayor"),CONCATENATE("R10C",'Mapa riesgos'!$T$70),"")</f>
        <v/>
      </c>
      <c r="AF15" s="36" t="str">
        <f>IF(AND('Mapa riesgos'!$AD$71="Muy Alta",'Mapa riesgos'!$AF$71="Mayor"),CONCATENATE("R10C",'Mapa riesgos'!$T$71),"")</f>
        <v/>
      </c>
      <c r="AG15" s="37" t="str">
        <f>IF(AND('Mapa riesgos'!$AD$72="Muy Alta",'Mapa riesgos'!$AF$72="Mayor"),CONCATENATE("R10C",'Mapa riesgos'!$T$72),"")</f>
        <v/>
      </c>
      <c r="AH15" s="44" t="str">
        <f>IF(AND('Mapa riesgos'!$AD$67="Muy Alta",'Mapa riesgos'!$AF$67="Catastrófico"),CONCATENATE("R10C",'Mapa riesgos'!$T$67),"")</f>
        <v/>
      </c>
      <c r="AI15" s="45" t="str">
        <f>IF(AND('Mapa riesgos'!$AD$68="Muy Alta",'Mapa riesgos'!$AF$68="Catastrófico"),CONCATENATE("R10C",'Mapa riesgos'!$T$68),"")</f>
        <v/>
      </c>
      <c r="AJ15" s="45" t="str">
        <f>IF(AND('Mapa riesgos'!$AD$69="Muy Alta",'Mapa riesgos'!$AF$69="Catastrófico"),CONCATENATE("R10C",'Mapa riesgos'!$T$69),"")</f>
        <v/>
      </c>
      <c r="AK15" s="45" t="str">
        <f>IF(AND('Mapa riesgos'!$AD$70="Muy Alta",'Mapa riesgos'!$AF$70="Catastrófico"),CONCATENATE("R10C",'Mapa riesgos'!$T$70),"")</f>
        <v/>
      </c>
      <c r="AL15" s="45" t="str">
        <f>IF(AND('Mapa riesgos'!$AD$71="Muy Alta",'Mapa riesgos'!$AF$71="Catastrófico"),CONCATENATE("R10C",'Mapa riesgos'!$T$71),"")</f>
        <v/>
      </c>
      <c r="AM15" s="46" t="str">
        <f>IF(AND('Mapa riesgos'!$AD$72="Muy Alta",'Mapa riesgos'!$AF$72="Catastrófico"),CONCATENATE("R10C",'Mapa riesgos'!$T$72),"")</f>
        <v/>
      </c>
      <c r="AN15" s="66"/>
      <c r="AO15" s="537"/>
      <c r="AP15" s="538"/>
      <c r="AQ15" s="538"/>
      <c r="AR15" s="538"/>
      <c r="AS15" s="538"/>
      <c r="AT15" s="539"/>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25">
      <c r="A16" s="66"/>
      <c r="B16" s="429"/>
      <c r="C16" s="429"/>
      <c r="D16" s="430"/>
      <c r="E16" s="524" t="s">
        <v>179</v>
      </c>
      <c r="F16" s="525"/>
      <c r="G16" s="525"/>
      <c r="H16" s="525"/>
      <c r="I16" s="525"/>
      <c r="J16" s="47" t="str">
        <f>IF(AND('Mapa riesgos'!$AD$13="Alta",'Mapa riesgos'!$AF$13="Leve"),CONCATENATE("R1C",'Mapa riesgos'!$T$13),"")</f>
        <v/>
      </c>
      <c r="K16" s="48" t="str">
        <f>IF(AND('Mapa riesgos'!$AD$14="Alta",'Mapa riesgos'!$AF$14="Leve"),CONCATENATE("R1C",'Mapa riesgos'!$T$14),"")</f>
        <v/>
      </c>
      <c r="L16" s="48" t="str">
        <f>IF(AND('Mapa riesgos'!$AD$15="Alta",'Mapa riesgos'!$AF$15="Leve"),CONCATENATE("R1C",'Mapa riesgos'!$T$15),"")</f>
        <v/>
      </c>
      <c r="M16" s="48" t="str">
        <f>IF(AND('Mapa riesgos'!$AD$16="Alta",'Mapa riesgos'!$AF$16="Leve"),CONCATENATE("R1C",'Mapa riesgos'!$T$16),"")</f>
        <v/>
      </c>
      <c r="N16" s="48" t="str">
        <f>IF(AND('Mapa riesgos'!$AD$17="Alta",'Mapa riesgos'!$AF$17="Leve"),CONCATENATE("R1C",'Mapa riesgos'!$T$17),"")</f>
        <v/>
      </c>
      <c r="O16" s="49" t="str">
        <f>IF(AND('Mapa riesgos'!$AD$18="Alta",'Mapa riesgos'!$AF$18="Leve"),CONCATENATE("R1C",'Mapa riesgos'!$T$18),"")</f>
        <v/>
      </c>
      <c r="P16" s="47" t="str">
        <f>IF(AND('Mapa riesgos'!$AD$13="Alta",'Mapa riesgos'!$AF$13="Menor"),CONCATENATE("R1C",'Mapa riesgos'!$T$13),"")</f>
        <v/>
      </c>
      <c r="Q16" s="48" t="str">
        <f>IF(AND('Mapa riesgos'!$AD$14="Alta",'Mapa riesgos'!$AF$14="Menor"),CONCATENATE("R1C",'Mapa riesgos'!$T$14),"")</f>
        <v/>
      </c>
      <c r="R16" s="48" t="str">
        <f>IF(AND('Mapa riesgos'!$AD$15="Alta",'Mapa riesgos'!$AF$15="Menor"),CONCATENATE("R1C",'Mapa riesgos'!$T$15),"")</f>
        <v/>
      </c>
      <c r="S16" s="48" t="str">
        <f>IF(AND('Mapa riesgos'!$AD$16="Alta",'Mapa riesgos'!$AF$16="Menor"),CONCATENATE("R1C",'Mapa riesgos'!$T$16),"")</f>
        <v/>
      </c>
      <c r="T16" s="48" t="str">
        <f>IF(AND('Mapa riesgos'!$AD$17="Alta",'Mapa riesgos'!$AF$17="Menor"),CONCATENATE("R1C",'Mapa riesgos'!$T$17),"")</f>
        <v/>
      </c>
      <c r="U16" s="49" t="str">
        <f>IF(AND('Mapa riesgos'!$AD$18="Alta",'Mapa riesgos'!$AF$18="Menor"),CONCATENATE("R1C",'Mapa riesgos'!$T$18),"")</f>
        <v/>
      </c>
      <c r="V16" s="29" t="str">
        <f>IF(AND('Mapa riesgos'!$AD$13="Alta",'Mapa riesgos'!$AF$13="Moderado"),CONCATENATE("R1C",'Mapa riesgos'!$T$13),"")</f>
        <v/>
      </c>
      <c r="W16" s="30" t="str">
        <f>IF(AND('Mapa riesgos'!$AD$14="Alta",'Mapa riesgos'!$AF$14="Moderado"),CONCATENATE("R1C",'Mapa riesgos'!$T$14),"")</f>
        <v/>
      </c>
      <c r="X16" s="30" t="str">
        <f>IF(AND('Mapa riesgos'!$AD$15="Alta",'Mapa riesgos'!$AF$15="Moderado"),CONCATENATE("R1C",'Mapa riesgos'!$T$15),"")</f>
        <v/>
      </c>
      <c r="Y16" s="30" t="str">
        <f>IF(AND('Mapa riesgos'!$AD$16="Alta",'Mapa riesgos'!$AF$16="Moderado"),CONCATENATE("R1C",'Mapa riesgos'!$T$16),"")</f>
        <v/>
      </c>
      <c r="Z16" s="30" t="str">
        <f>IF(AND('Mapa riesgos'!$AD$17="Alta",'Mapa riesgos'!$AF$17="Moderado"),CONCATENATE("R1C",'Mapa riesgos'!$T$17),"")</f>
        <v/>
      </c>
      <c r="AA16" s="31" t="str">
        <f>IF(AND('Mapa riesgos'!$AD$18="Alta",'Mapa riesgos'!$AF$18="Moderado"),CONCATENATE("R1C",'Mapa riesgos'!$T$18),"")</f>
        <v/>
      </c>
      <c r="AB16" s="29" t="str">
        <f>IF(AND('Mapa riesgos'!$AD$13="Alta",'Mapa riesgos'!$AF$13="Mayor"),CONCATENATE("R1C",'Mapa riesgos'!$T$13),"")</f>
        <v/>
      </c>
      <c r="AC16" s="30" t="str">
        <f>IF(AND('Mapa riesgos'!$AD$14="Alta",'Mapa riesgos'!$AF$14="Mayor"),CONCATENATE("R1C",'Mapa riesgos'!$T$14),"")</f>
        <v/>
      </c>
      <c r="AD16" s="30" t="str">
        <f>IF(AND('Mapa riesgos'!$AD$15="Alta",'Mapa riesgos'!$AF$15="Mayor"),CONCATENATE("R1C",'Mapa riesgos'!$T$15),"")</f>
        <v/>
      </c>
      <c r="AE16" s="30" t="str">
        <f>IF(AND('Mapa riesgos'!$AD$16="Alta",'Mapa riesgos'!$AF$16="Mayor"),CONCATENATE("R1C",'Mapa riesgos'!$T$16),"")</f>
        <v/>
      </c>
      <c r="AF16" s="30" t="str">
        <f>IF(AND('Mapa riesgos'!$AD$17="Alta",'Mapa riesgos'!$AF$17="Mayor"),CONCATENATE("R1C",'Mapa riesgos'!$T$17),"")</f>
        <v/>
      </c>
      <c r="AG16" s="31" t="str">
        <f>IF(AND('Mapa riesgos'!$AD$18="Alta",'Mapa riesgos'!$AF$18="Mayor"),CONCATENATE("R1C",'Mapa riesgos'!$T$18),"")</f>
        <v/>
      </c>
      <c r="AH16" s="32" t="str">
        <f>IF(AND('Mapa riesgos'!$AD$13="Alta",'Mapa riesgos'!$AF$13="Catastrófico"),CONCATENATE("R1C",'Mapa riesgos'!$T$13),"")</f>
        <v/>
      </c>
      <c r="AI16" s="33" t="str">
        <f>IF(AND('Mapa riesgos'!$AD$14="Alta",'Mapa riesgos'!$AF$14="Catastrófico"),CONCATENATE("R1C",'Mapa riesgos'!$T$14),"")</f>
        <v/>
      </c>
      <c r="AJ16" s="33" t="str">
        <f>IF(AND('Mapa riesgos'!$AD$15="Alta",'Mapa riesgos'!$AF$15="Catastrófico"),CONCATENATE("R1C",'Mapa riesgos'!$T$15),"")</f>
        <v/>
      </c>
      <c r="AK16" s="33" t="str">
        <f>IF(AND('Mapa riesgos'!$AD$16="Alta",'Mapa riesgos'!$AF$16="Catastrófico"),CONCATENATE("R1C",'Mapa riesgos'!$T$16),"")</f>
        <v/>
      </c>
      <c r="AL16" s="33" t="str">
        <f>IF(AND('Mapa riesgos'!$AD$17="Alta",'Mapa riesgos'!$AF$17="Catastrófico"),CONCATENATE("R1C",'Mapa riesgos'!$T$17),"")</f>
        <v/>
      </c>
      <c r="AM16" s="34" t="str">
        <f>IF(AND('Mapa riesgos'!$AD$18="Alta",'Mapa riesgos'!$AF$18="Catastrófico"),CONCATENATE("R1C",'Mapa riesgos'!$T$18),"")</f>
        <v/>
      </c>
      <c r="AN16" s="66"/>
      <c r="AO16" s="515" t="s">
        <v>180</v>
      </c>
      <c r="AP16" s="516"/>
      <c r="AQ16" s="516"/>
      <c r="AR16" s="516"/>
      <c r="AS16" s="516"/>
      <c r="AT16" s="517"/>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25">
      <c r="A17" s="66"/>
      <c r="B17" s="429"/>
      <c r="C17" s="429"/>
      <c r="D17" s="430"/>
      <c r="E17" s="526"/>
      <c r="F17" s="527"/>
      <c r="G17" s="527"/>
      <c r="H17" s="527"/>
      <c r="I17" s="527"/>
      <c r="J17" s="50" t="str">
        <f>IF(AND('Mapa riesgos'!$AD$19="Alta",'Mapa riesgos'!$AF$19="Leve"),CONCATENATE("R2C",'Mapa riesgos'!$T$19),"")</f>
        <v/>
      </c>
      <c r="K17" s="51" t="str">
        <f>IF(AND('Mapa riesgos'!$AD$20="Alta",'Mapa riesgos'!$AF$20="Leve"),CONCATENATE("R2C",'Mapa riesgos'!$T$20),"")</f>
        <v/>
      </c>
      <c r="L17" s="51" t="str">
        <f>IF(AND('Mapa riesgos'!$AD$21="Alta",'Mapa riesgos'!$AF$21="Leve"),CONCATENATE("R2C",'Mapa riesgos'!$T$21),"")</f>
        <v/>
      </c>
      <c r="M17" s="51" t="str">
        <f>IF(AND('Mapa riesgos'!$AD$22="Alta",'Mapa riesgos'!$AF$22="Leve"),CONCATENATE("R2C",'Mapa riesgos'!$T$22),"")</f>
        <v/>
      </c>
      <c r="N17" s="51" t="str">
        <f>IF(AND('Mapa riesgos'!$AD$23="Alta",'Mapa riesgos'!$AF$23="Leve"),CONCATENATE("R2C",'Mapa riesgos'!$T$23),"")</f>
        <v/>
      </c>
      <c r="O17" s="52" t="str">
        <f>IF(AND('Mapa riesgos'!$AD$24="Alta",'Mapa riesgos'!$AF$24="Leve"),CONCATENATE("R2C",'Mapa riesgos'!$T$24),"")</f>
        <v/>
      </c>
      <c r="P17" s="50" t="str">
        <f>IF(AND('Mapa riesgos'!$AD$19="Alta",'Mapa riesgos'!$AF$19="Menor"),CONCATENATE("R2C",'Mapa riesgos'!$T$19),"")</f>
        <v/>
      </c>
      <c r="Q17" s="51" t="str">
        <f>IF(AND('Mapa riesgos'!$AD$20="Alta",'Mapa riesgos'!$AF$20="Menor"),CONCATENATE("R2C",'Mapa riesgos'!$T$20),"")</f>
        <v/>
      </c>
      <c r="R17" s="51" t="str">
        <f>IF(AND('Mapa riesgos'!$AD$21="Alta",'Mapa riesgos'!$AF$21="Menor"),CONCATENATE("R2C",'Mapa riesgos'!$T$21),"")</f>
        <v/>
      </c>
      <c r="S17" s="51" t="str">
        <f>IF(AND('Mapa riesgos'!$AD$22="Alta",'Mapa riesgos'!$AF$22="Menor"),CONCATENATE("R2C",'Mapa riesgos'!$T$22),"")</f>
        <v/>
      </c>
      <c r="T17" s="51" t="str">
        <f>IF(AND('Mapa riesgos'!$AD$23="Alta",'Mapa riesgos'!$AF$23="Menor"),CONCATENATE("R2C",'Mapa riesgos'!$T$23),"")</f>
        <v/>
      </c>
      <c r="U17" s="52" t="str">
        <f>IF(AND('Mapa riesgos'!$AD$24="Alta",'Mapa riesgos'!$AF$24="Menor"),CONCATENATE("R2C",'Mapa riesgos'!$T$24),"")</f>
        <v/>
      </c>
      <c r="V17" s="35" t="str">
        <f>IF(AND('Mapa riesgos'!$AD$19="Alta",'Mapa riesgos'!$AF$19="Moderado"),CONCATENATE("R2C",'Mapa riesgos'!$T$19),"")</f>
        <v/>
      </c>
      <c r="W17" s="36" t="str">
        <f>IF(AND('Mapa riesgos'!$AD$20="Alta",'Mapa riesgos'!$AF$20="Moderado"),CONCATENATE("R2C",'Mapa riesgos'!$T$20),"")</f>
        <v/>
      </c>
      <c r="X17" s="36" t="str">
        <f>IF(AND('Mapa riesgos'!$AD$21="Alta",'Mapa riesgos'!$AF$21="Moderado"),CONCATENATE("R2C",'Mapa riesgos'!$T$21),"")</f>
        <v/>
      </c>
      <c r="Y17" s="36" t="str">
        <f>IF(AND('Mapa riesgos'!$AD$22="Alta",'Mapa riesgos'!$AF$22="Moderado"),CONCATENATE("R2C",'Mapa riesgos'!$T$22),"")</f>
        <v/>
      </c>
      <c r="Z17" s="36" t="str">
        <f>IF(AND('Mapa riesgos'!$AD$23="Alta",'Mapa riesgos'!$AF$23="Moderado"),CONCATENATE("R2C",'Mapa riesgos'!$T$23),"")</f>
        <v/>
      </c>
      <c r="AA17" s="37" t="str">
        <f>IF(AND('Mapa riesgos'!$AD$24="Alta",'Mapa riesgos'!$AF$24="Moderado"),CONCATENATE("R2C",'Mapa riesgos'!$T$24),"")</f>
        <v/>
      </c>
      <c r="AB17" s="35" t="str">
        <f>IF(AND('Mapa riesgos'!$AD$19="Alta",'Mapa riesgos'!$AF$19="Mayor"),CONCATENATE("R2C",'Mapa riesgos'!$T$19),"")</f>
        <v/>
      </c>
      <c r="AC17" s="36" t="str">
        <f>IF(AND('Mapa riesgos'!$AD$20="Alta",'Mapa riesgos'!$AF$20="Mayor"),CONCATENATE("R2C",'Mapa riesgos'!$T$20),"")</f>
        <v/>
      </c>
      <c r="AD17" s="36" t="str">
        <f>IF(AND('Mapa riesgos'!$AD$21="Alta",'Mapa riesgos'!$AF$21="Mayor"),CONCATENATE("R2C",'Mapa riesgos'!$T$21),"")</f>
        <v/>
      </c>
      <c r="AE17" s="36" t="str">
        <f>IF(AND('Mapa riesgos'!$AD$22="Alta",'Mapa riesgos'!$AF$22="Mayor"),CONCATENATE("R2C",'Mapa riesgos'!$T$22),"")</f>
        <v/>
      </c>
      <c r="AF17" s="36" t="str">
        <f>IF(AND('Mapa riesgos'!$AD$23="Alta",'Mapa riesgos'!$AF$23="Mayor"),CONCATENATE("R2C",'Mapa riesgos'!$T$23),"")</f>
        <v/>
      </c>
      <c r="AG17" s="37" t="str">
        <f>IF(AND('Mapa riesgos'!$AD$24="Alta",'Mapa riesgos'!$AF$24="Mayor"),CONCATENATE("R2C",'Mapa riesgos'!$T$24),"")</f>
        <v/>
      </c>
      <c r="AH17" s="38" t="str">
        <f>IF(AND('Mapa riesgos'!$AD$19="Alta",'Mapa riesgos'!$AF$19="Catastrófico"),CONCATENATE("R2C",'Mapa riesgos'!$T$19),"")</f>
        <v/>
      </c>
      <c r="AI17" s="39" t="str">
        <f>IF(AND('Mapa riesgos'!$AD$20="Alta",'Mapa riesgos'!$AF$20="Catastrófico"),CONCATENATE("R2C",'Mapa riesgos'!$T$20),"")</f>
        <v/>
      </c>
      <c r="AJ17" s="39" t="str">
        <f>IF(AND('Mapa riesgos'!$AD$21="Alta",'Mapa riesgos'!$AF$21="Catastrófico"),CONCATENATE("R2C",'Mapa riesgos'!$T$21),"")</f>
        <v/>
      </c>
      <c r="AK17" s="39" t="str">
        <f>IF(AND('Mapa riesgos'!$AD$22="Alta",'Mapa riesgos'!$AF$22="Catastrófico"),CONCATENATE("R2C",'Mapa riesgos'!$T$22),"")</f>
        <v/>
      </c>
      <c r="AL17" s="39" t="str">
        <f>IF(AND('Mapa riesgos'!$AD$23="Alta",'Mapa riesgos'!$AF$23="Catastrófico"),CONCATENATE("R2C",'Mapa riesgos'!$T$23),"")</f>
        <v/>
      </c>
      <c r="AM17" s="40" t="str">
        <f>IF(AND('Mapa riesgos'!$AD$24="Alta",'Mapa riesgos'!$AF$24="Catastrófico"),CONCATENATE("R2C",'Mapa riesgos'!$T$24),"")</f>
        <v/>
      </c>
      <c r="AN17" s="66"/>
      <c r="AO17" s="518"/>
      <c r="AP17" s="519"/>
      <c r="AQ17" s="519"/>
      <c r="AR17" s="519"/>
      <c r="AS17" s="519"/>
      <c r="AT17" s="520"/>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25">
      <c r="A18" s="66"/>
      <c r="B18" s="429"/>
      <c r="C18" s="429"/>
      <c r="D18" s="430"/>
      <c r="E18" s="528"/>
      <c r="F18" s="527"/>
      <c r="G18" s="527"/>
      <c r="H18" s="527"/>
      <c r="I18" s="527"/>
      <c r="J18" s="50" t="str">
        <f>IF(AND('Mapa riesgos'!$AD$25="Alta",'Mapa riesgos'!$AF$25="Leve"),CONCATENATE("R3C",'Mapa riesgos'!$T$25),"")</f>
        <v/>
      </c>
      <c r="K18" s="51" t="str">
        <f>IF(AND('Mapa riesgos'!$AD$26="Alta",'Mapa riesgos'!$AF$26="Leve"),CONCATENATE("R3C",'Mapa riesgos'!$T$26),"")</f>
        <v/>
      </c>
      <c r="L18" s="51" t="str">
        <f>IF(AND('Mapa riesgos'!$AD$27="Alta",'Mapa riesgos'!$AF$27="Leve"),CONCATENATE("R3C",'Mapa riesgos'!$T$27),"")</f>
        <v/>
      </c>
      <c r="M18" s="51" t="str">
        <f>IF(AND('Mapa riesgos'!$AD$28="Alta",'Mapa riesgos'!$AF$28="Leve"),CONCATENATE("R3C",'Mapa riesgos'!$T$28),"")</f>
        <v/>
      </c>
      <c r="N18" s="51" t="str">
        <f>IF(AND('Mapa riesgos'!$AD$29="Alta",'Mapa riesgos'!$AF$29="Leve"),CONCATENATE("R3C",'Mapa riesgos'!$T$29),"")</f>
        <v/>
      </c>
      <c r="O18" s="52" t="str">
        <f>IF(AND('Mapa riesgos'!$AD$30="Alta",'Mapa riesgos'!$AF$30="Leve"),CONCATENATE("R3C",'Mapa riesgos'!$T$30),"")</f>
        <v/>
      </c>
      <c r="P18" s="50" t="str">
        <f>IF(AND('Mapa riesgos'!$AD$25="Alta",'Mapa riesgos'!$AF$25="Menor"),CONCATENATE("R3C",'Mapa riesgos'!$T$25),"")</f>
        <v/>
      </c>
      <c r="Q18" s="51" t="str">
        <f>IF(AND('Mapa riesgos'!$AD$26="Alta",'Mapa riesgos'!$AF$26="Menor"),CONCATENATE("R3C",'Mapa riesgos'!$T$26),"")</f>
        <v/>
      </c>
      <c r="R18" s="51" t="str">
        <f>IF(AND('Mapa riesgos'!$AD$27="Alta",'Mapa riesgos'!$AF$27="Menor"),CONCATENATE("R3C",'Mapa riesgos'!$T$27),"")</f>
        <v/>
      </c>
      <c r="S18" s="51" t="str">
        <f>IF(AND('Mapa riesgos'!$AD$28="Alta",'Mapa riesgos'!$AF$28="Menor"),CONCATENATE("R3C",'Mapa riesgos'!$T$28),"")</f>
        <v/>
      </c>
      <c r="T18" s="51" t="str">
        <f>IF(AND('Mapa riesgos'!$AD$29="Alta",'Mapa riesgos'!$AF$29="Menor"),CONCATENATE("R3C",'Mapa riesgos'!$T$29),"")</f>
        <v/>
      </c>
      <c r="U18" s="52" t="str">
        <f>IF(AND('Mapa riesgos'!$AD$30="Alta",'Mapa riesgos'!$AF$30="Menor"),CONCATENATE("R3C",'Mapa riesgos'!$T$30),"")</f>
        <v/>
      </c>
      <c r="V18" s="35" t="str">
        <f>IF(AND('Mapa riesgos'!$AD$25="Alta",'Mapa riesgos'!$AF$25="Moderado"),CONCATENATE("R3C",'Mapa riesgos'!$T$25),"")</f>
        <v/>
      </c>
      <c r="W18" s="36" t="str">
        <f>IF(AND('Mapa riesgos'!$AD$26="Alta",'Mapa riesgos'!$AF$26="Moderado"),CONCATENATE("R3C",'Mapa riesgos'!$T$26),"")</f>
        <v/>
      </c>
      <c r="X18" s="36" t="str">
        <f>IF(AND('Mapa riesgos'!$AD$27="Alta",'Mapa riesgos'!$AF$27="Moderado"),CONCATENATE("R3C",'Mapa riesgos'!$T$27),"")</f>
        <v/>
      </c>
      <c r="Y18" s="36" t="str">
        <f>IF(AND('Mapa riesgos'!$AD$28="Alta",'Mapa riesgos'!$AF$28="Moderado"),CONCATENATE("R3C",'Mapa riesgos'!$T$28),"")</f>
        <v/>
      </c>
      <c r="Z18" s="36" t="str">
        <f>IF(AND('Mapa riesgos'!$AD$29="Alta",'Mapa riesgos'!$AF$29="Moderado"),CONCATENATE("R3C",'Mapa riesgos'!$T$29),"")</f>
        <v/>
      </c>
      <c r="AA18" s="37" t="str">
        <f>IF(AND('Mapa riesgos'!$AD$30="Alta",'Mapa riesgos'!$AF$30="Moderado"),CONCATENATE("R3C",'Mapa riesgos'!$T$30),"")</f>
        <v/>
      </c>
      <c r="AB18" s="35" t="str">
        <f>IF(AND('Mapa riesgos'!$AD$25="Alta",'Mapa riesgos'!$AF$25="Mayor"),CONCATENATE("R3C",'Mapa riesgos'!$T$25),"")</f>
        <v/>
      </c>
      <c r="AC18" s="36" t="str">
        <f>IF(AND('Mapa riesgos'!$AD$26="Alta",'Mapa riesgos'!$AF$26="Mayor"),CONCATENATE("R3C",'Mapa riesgos'!$T$26),"")</f>
        <v/>
      </c>
      <c r="AD18" s="36" t="str">
        <f>IF(AND('Mapa riesgos'!$AD$27="Alta",'Mapa riesgos'!$AF$27="Mayor"),CONCATENATE("R3C",'Mapa riesgos'!$T$27),"")</f>
        <v/>
      </c>
      <c r="AE18" s="36" t="str">
        <f>IF(AND('Mapa riesgos'!$AD$28="Alta",'Mapa riesgos'!$AF$28="Mayor"),CONCATENATE("R3C",'Mapa riesgos'!$T$28),"")</f>
        <v/>
      </c>
      <c r="AF18" s="36" t="str">
        <f>IF(AND('Mapa riesgos'!$AD$29="Alta",'Mapa riesgos'!$AF$29="Mayor"),CONCATENATE("R3C",'Mapa riesgos'!$T$29),"")</f>
        <v/>
      </c>
      <c r="AG18" s="37" t="str">
        <f>IF(AND('Mapa riesgos'!$AD$30="Alta",'Mapa riesgos'!$AF$30="Mayor"),CONCATENATE("R3C",'Mapa riesgos'!$T$30),"")</f>
        <v/>
      </c>
      <c r="AH18" s="38" t="str">
        <f>IF(AND('Mapa riesgos'!$AD$25="Alta",'Mapa riesgos'!$AF$25="Catastrófico"),CONCATENATE("R3C",'Mapa riesgos'!$T$25),"")</f>
        <v/>
      </c>
      <c r="AI18" s="39" t="str">
        <f>IF(AND('Mapa riesgos'!$AD$26="Alta",'Mapa riesgos'!$AF$26="Catastrófico"),CONCATENATE("R3C",'Mapa riesgos'!$T$26),"")</f>
        <v/>
      </c>
      <c r="AJ18" s="39" t="str">
        <f>IF(AND('Mapa riesgos'!$AD$27="Alta",'Mapa riesgos'!$AF$27="Catastrófico"),CONCATENATE("R3C",'Mapa riesgos'!$T$27),"")</f>
        <v/>
      </c>
      <c r="AK18" s="39" t="str">
        <f>IF(AND('Mapa riesgos'!$AD$28="Alta",'Mapa riesgos'!$AF$28="Catastrófico"),CONCATENATE("R3C",'Mapa riesgos'!$T$28),"")</f>
        <v/>
      </c>
      <c r="AL18" s="39" t="str">
        <f>IF(AND('Mapa riesgos'!$AD$29="Alta",'Mapa riesgos'!$AF$29="Catastrófico"),CONCATENATE("R3C",'Mapa riesgos'!$T$29),"")</f>
        <v/>
      </c>
      <c r="AM18" s="40" t="str">
        <f>IF(AND('Mapa riesgos'!$AD$30="Alta",'Mapa riesgos'!$AF$30="Catastrófico"),CONCATENATE("R3C",'Mapa riesgos'!$T$30),"")</f>
        <v/>
      </c>
      <c r="AN18" s="66"/>
      <c r="AO18" s="518"/>
      <c r="AP18" s="519"/>
      <c r="AQ18" s="519"/>
      <c r="AR18" s="519"/>
      <c r="AS18" s="519"/>
      <c r="AT18" s="520"/>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25">
      <c r="A19" s="66"/>
      <c r="B19" s="429"/>
      <c r="C19" s="429"/>
      <c r="D19" s="430"/>
      <c r="E19" s="528"/>
      <c r="F19" s="527"/>
      <c r="G19" s="527"/>
      <c r="H19" s="527"/>
      <c r="I19" s="527"/>
      <c r="J19" s="50" t="str">
        <f>IF(AND('Mapa riesgos'!$AD$31="Alta",'Mapa riesgos'!$AF$31="Leve"),CONCATENATE("R4C",'Mapa riesgos'!$T$31),"")</f>
        <v/>
      </c>
      <c r="K19" s="51" t="str">
        <f>IF(AND('Mapa riesgos'!$AD$32="Alta",'Mapa riesgos'!$AF$32="Leve"),CONCATENATE("R4C",'Mapa riesgos'!$T$32),"")</f>
        <v/>
      </c>
      <c r="L19" s="51" t="str">
        <f>IF(AND('Mapa riesgos'!$AD$33="Alta",'Mapa riesgos'!$AF$33="Leve"),CONCATENATE("R4C",'Mapa riesgos'!$T$33),"")</f>
        <v/>
      </c>
      <c r="M19" s="51" t="str">
        <f>IF(AND('Mapa riesgos'!$AD$34="Alta",'Mapa riesgos'!$AF$34="Leve"),CONCATENATE("R4C",'Mapa riesgos'!$T$34),"")</f>
        <v/>
      </c>
      <c r="N19" s="51" t="str">
        <f>IF(AND('Mapa riesgos'!$AD$35="Alta",'Mapa riesgos'!$AF$35="Leve"),CONCATENATE("R4C",'Mapa riesgos'!$T$35),"")</f>
        <v/>
      </c>
      <c r="O19" s="52" t="str">
        <f>IF(AND('Mapa riesgos'!$AD$36="Alta",'Mapa riesgos'!$AF$36="Leve"),CONCATENATE("R4C",'Mapa riesgos'!$T$36),"")</f>
        <v/>
      </c>
      <c r="P19" s="50" t="str">
        <f>IF(AND('Mapa riesgos'!$AD$31="Alta",'Mapa riesgos'!$AF$31="Menor"),CONCATENATE("R4C",'Mapa riesgos'!$T$31),"")</f>
        <v/>
      </c>
      <c r="Q19" s="51" t="str">
        <f>IF(AND('Mapa riesgos'!$AD$32="Alta",'Mapa riesgos'!$AF$32="Menor"),CONCATENATE("R4C",'Mapa riesgos'!$T$32),"")</f>
        <v/>
      </c>
      <c r="R19" s="51" t="str">
        <f>IF(AND('Mapa riesgos'!$AD$33="Alta",'Mapa riesgos'!$AF$33="Menor"),CONCATENATE("R4C",'Mapa riesgos'!$T$33),"")</f>
        <v/>
      </c>
      <c r="S19" s="51" t="str">
        <f>IF(AND('Mapa riesgos'!$AD$34="Alta",'Mapa riesgos'!$AF$34="Menor"),CONCATENATE("R4C",'Mapa riesgos'!$T$34),"")</f>
        <v/>
      </c>
      <c r="T19" s="51" t="str">
        <f>IF(AND('Mapa riesgos'!$AD$35="Alta",'Mapa riesgos'!$AF$35="Menor"),CONCATENATE("R4C",'Mapa riesgos'!$T$35),"")</f>
        <v/>
      </c>
      <c r="U19" s="52" t="str">
        <f>IF(AND('Mapa riesgos'!$AD$36="Alta",'Mapa riesgos'!$AF$36="Menor"),CONCATENATE("R4C",'Mapa riesgos'!$T$36),"")</f>
        <v/>
      </c>
      <c r="V19" s="35" t="str">
        <f>IF(AND('Mapa riesgos'!$AD$31="Alta",'Mapa riesgos'!$AF$31="Moderado"),CONCATENATE("R4C",'Mapa riesgos'!$T$31),"")</f>
        <v/>
      </c>
      <c r="W19" s="36" t="str">
        <f>IF(AND('Mapa riesgos'!$AD$32="Alta",'Mapa riesgos'!$AF$32="Moderado"),CONCATENATE("R4C",'Mapa riesgos'!$T$32),"")</f>
        <v/>
      </c>
      <c r="X19" s="36" t="str">
        <f>IF(AND('Mapa riesgos'!$AD$33="Alta",'Mapa riesgos'!$AF$33="Moderado"),CONCATENATE("R4C",'Mapa riesgos'!$T$33),"")</f>
        <v/>
      </c>
      <c r="Y19" s="36" t="str">
        <f>IF(AND('Mapa riesgos'!$AD$34="Alta",'Mapa riesgos'!$AF$34="Moderado"),CONCATENATE("R4C",'Mapa riesgos'!$T$34),"")</f>
        <v/>
      </c>
      <c r="Z19" s="36" t="str">
        <f>IF(AND('Mapa riesgos'!$AD$35="Alta",'Mapa riesgos'!$AF$35="Moderado"),CONCATENATE("R4C",'Mapa riesgos'!$T$35),"")</f>
        <v/>
      </c>
      <c r="AA19" s="37" t="str">
        <f>IF(AND('Mapa riesgos'!$AD$36="Alta",'Mapa riesgos'!$AF$36="Moderado"),CONCATENATE("R4C",'Mapa riesgos'!$T$36),"")</f>
        <v/>
      </c>
      <c r="AB19" s="35" t="str">
        <f>IF(AND('Mapa riesgos'!$AD$31="Alta",'Mapa riesgos'!$AF$31="Mayor"),CONCATENATE("R4C",'Mapa riesgos'!$T$31),"")</f>
        <v/>
      </c>
      <c r="AC19" s="36" t="str">
        <f>IF(AND('Mapa riesgos'!$AD$32="Alta",'Mapa riesgos'!$AF$32="Mayor"),CONCATENATE("R4C",'Mapa riesgos'!$T$32),"")</f>
        <v/>
      </c>
      <c r="AD19" s="36" t="str">
        <f>IF(AND('Mapa riesgos'!$AD$33="Alta",'Mapa riesgos'!$AF$33="Mayor"),CONCATENATE("R4C",'Mapa riesgos'!$T$33),"")</f>
        <v/>
      </c>
      <c r="AE19" s="36" t="str">
        <f>IF(AND('Mapa riesgos'!$AD$34="Alta",'Mapa riesgos'!$AF$34="Mayor"),CONCATENATE("R4C",'Mapa riesgos'!$T$34),"")</f>
        <v/>
      </c>
      <c r="AF19" s="36" t="str">
        <f>IF(AND('Mapa riesgos'!$AD$35="Alta",'Mapa riesgos'!$AF$35="Mayor"),CONCATENATE("R4C",'Mapa riesgos'!$T$35),"")</f>
        <v/>
      </c>
      <c r="AG19" s="37" t="str">
        <f>IF(AND('Mapa riesgos'!$AD$36="Alta",'Mapa riesgos'!$AF$36="Mayor"),CONCATENATE("R4C",'Mapa riesgos'!$T$36),"")</f>
        <v/>
      </c>
      <c r="AH19" s="38" t="str">
        <f>IF(AND('Mapa riesgos'!$AD$31="Alta",'Mapa riesgos'!$AF$31="Catastrófico"),CONCATENATE("R4C",'Mapa riesgos'!$T$31),"")</f>
        <v/>
      </c>
      <c r="AI19" s="39" t="str">
        <f>IF(AND('Mapa riesgos'!$AD$32="Alta",'Mapa riesgos'!$AF$32="Catastrófico"),CONCATENATE("R4C",'Mapa riesgos'!$T$32),"")</f>
        <v/>
      </c>
      <c r="AJ19" s="39" t="str">
        <f>IF(AND('Mapa riesgos'!$AD$33="Alta",'Mapa riesgos'!$AF$33="Catastrófico"),CONCATENATE("R4C",'Mapa riesgos'!$T$33),"")</f>
        <v/>
      </c>
      <c r="AK19" s="39" t="str">
        <f>IF(AND('Mapa riesgos'!$AD$34="Alta",'Mapa riesgos'!$AF$34="Catastrófico"),CONCATENATE("R4C",'Mapa riesgos'!$T$34),"")</f>
        <v/>
      </c>
      <c r="AL19" s="39" t="str">
        <f>IF(AND('Mapa riesgos'!$AD$35="Alta",'Mapa riesgos'!$AF$35="Catastrófico"),CONCATENATE("R4C",'Mapa riesgos'!$T$35),"")</f>
        <v/>
      </c>
      <c r="AM19" s="40" t="str">
        <f>IF(AND('Mapa riesgos'!$AD$36="Alta",'Mapa riesgos'!$AF$36="Catastrófico"),CONCATENATE("R4C",'Mapa riesgos'!$T$36),"")</f>
        <v/>
      </c>
      <c r="AN19" s="66"/>
      <c r="AO19" s="518"/>
      <c r="AP19" s="519"/>
      <c r="AQ19" s="519"/>
      <c r="AR19" s="519"/>
      <c r="AS19" s="519"/>
      <c r="AT19" s="520"/>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25">
      <c r="A20" s="66"/>
      <c r="B20" s="429"/>
      <c r="C20" s="429"/>
      <c r="D20" s="430"/>
      <c r="E20" s="528"/>
      <c r="F20" s="527"/>
      <c r="G20" s="527"/>
      <c r="H20" s="527"/>
      <c r="I20" s="527"/>
      <c r="J20" s="50" t="str">
        <f>IF(AND('Mapa riesgos'!$AD$37="Alta",'Mapa riesgos'!$AF$37="Leve"),CONCATENATE("R5C",'Mapa riesgos'!$T$37),"")</f>
        <v/>
      </c>
      <c r="K20" s="51" t="str">
        <f>IF(AND('Mapa riesgos'!$AD$38="Alta",'Mapa riesgos'!$AF$38="Leve"),CONCATENATE("R5C",'Mapa riesgos'!$T$38),"")</f>
        <v/>
      </c>
      <c r="L20" s="51" t="str">
        <f>IF(AND('Mapa riesgos'!$AD$39="Alta",'Mapa riesgos'!$AF$39="Leve"),CONCATENATE("R5C",'Mapa riesgos'!$T$39),"")</f>
        <v/>
      </c>
      <c r="M20" s="51" t="str">
        <f>IF(AND('Mapa riesgos'!$AD$40="Alta",'Mapa riesgos'!$AF$40="Leve"),CONCATENATE("R5C",'Mapa riesgos'!$T$40),"")</f>
        <v/>
      </c>
      <c r="N20" s="51" t="str">
        <f>IF(AND('Mapa riesgos'!$AD$41="Alta",'Mapa riesgos'!$AF$41="Leve"),CONCATENATE("R5C",'Mapa riesgos'!$T$41),"")</f>
        <v/>
      </c>
      <c r="O20" s="52" t="str">
        <f>IF(AND('Mapa riesgos'!$AD$42="Alta",'Mapa riesgos'!$AF$42="Leve"),CONCATENATE("R5C",'Mapa riesgos'!$T$42),"")</f>
        <v/>
      </c>
      <c r="P20" s="50" t="str">
        <f>IF(AND('Mapa riesgos'!$AD$37="Alta",'Mapa riesgos'!$AF$37="Menor"),CONCATENATE("R5C",'Mapa riesgos'!$T$37),"")</f>
        <v/>
      </c>
      <c r="Q20" s="51" t="str">
        <f>IF(AND('Mapa riesgos'!$AD$38="Alta",'Mapa riesgos'!$AF$38="Menor"),CONCATENATE("R5C",'Mapa riesgos'!$T$38),"")</f>
        <v/>
      </c>
      <c r="R20" s="51" t="str">
        <f>IF(AND('Mapa riesgos'!$AD$39="Alta",'Mapa riesgos'!$AF$39="Menor"),CONCATENATE("R5C",'Mapa riesgos'!$T$39),"")</f>
        <v/>
      </c>
      <c r="S20" s="51" t="str">
        <f>IF(AND('Mapa riesgos'!$AD$40="Alta",'Mapa riesgos'!$AF$40="Menor"),CONCATENATE("R5C",'Mapa riesgos'!$T$40),"")</f>
        <v/>
      </c>
      <c r="T20" s="51" t="str">
        <f>IF(AND('Mapa riesgos'!$AD$41="Alta",'Mapa riesgos'!$AF$41="Menor"),CONCATENATE("R5C",'Mapa riesgos'!$T$41),"")</f>
        <v/>
      </c>
      <c r="U20" s="52" t="str">
        <f>IF(AND('Mapa riesgos'!$AD$42="Alta",'Mapa riesgos'!$AF$42="Menor"),CONCATENATE("R5C",'Mapa riesgos'!$T$42),"")</f>
        <v/>
      </c>
      <c r="V20" s="35" t="str">
        <f>IF(AND('Mapa riesgos'!$AD$37="Alta",'Mapa riesgos'!$AF$37="Moderado"),CONCATENATE("R5C",'Mapa riesgos'!$T$37),"")</f>
        <v/>
      </c>
      <c r="W20" s="36" t="str">
        <f>IF(AND('Mapa riesgos'!$AD$38="Alta",'Mapa riesgos'!$AF$38="Moderado"),CONCATENATE("R5C",'Mapa riesgos'!$T$38),"")</f>
        <v/>
      </c>
      <c r="X20" s="36" t="str">
        <f>IF(AND('Mapa riesgos'!$AD$39="Alta",'Mapa riesgos'!$AF$39="Moderado"),CONCATENATE("R5C",'Mapa riesgos'!$T$39),"")</f>
        <v/>
      </c>
      <c r="Y20" s="36" t="str">
        <f>IF(AND('Mapa riesgos'!$AD$40="Alta",'Mapa riesgos'!$AF$40="Moderado"),CONCATENATE("R5C",'Mapa riesgos'!$T$40),"")</f>
        <v/>
      </c>
      <c r="Z20" s="36" t="str">
        <f>IF(AND('Mapa riesgos'!$AD$41="Alta",'Mapa riesgos'!$AF$41="Moderado"),CONCATENATE("R5C",'Mapa riesgos'!$T$41),"")</f>
        <v/>
      </c>
      <c r="AA20" s="37" t="str">
        <f>IF(AND('Mapa riesgos'!$AD$42="Alta",'Mapa riesgos'!$AF$42="Moderado"),CONCATENATE("R5C",'Mapa riesgos'!$T$42),"")</f>
        <v/>
      </c>
      <c r="AB20" s="35" t="str">
        <f>IF(AND('Mapa riesgos'!$AD$37="Alta",'Mapa riesgos'!$AF$37="Mayor"),CONCATENATE("R5C",'Mapa riesgos'!$T$37),"")</f>
        <v/>
      </c>
      <c r="AC20" s="36" t="str">
        <f>IF(AND('Mapa riesgos'!$AD$38="Alta",'Mapa riesgos'!$AF$38="Mayor"),CONCATENATE("R5C",'Mapa riesgos'!$T$38),"")</f>
        <v/>
      </c>
      <c r="AD20" s="36" t="str">
        <f>IF(AND('Mapa riesgos'!$AD$39="Alta",'Mapa riesgos'!$AF$39="Mayor"),CONCATENATE("R5C",'Mapa riesgos'!$T$39),"")</f>
        <v/>
      </c>
      <c r="AE20" s="36" t="str">
        <f>IF(AND('Mapa riesgos'!$AD$40="Alta",'Mapa riesgos'!$AF$40="Mayor"),CONCATENATE("R5C",'Mapa riesgos'!$T$40),"")</f>
        <v/>
      </c>
      <c r="AF20" s="36" t="str">
        <f>IF(AND('Mapa riesgos'!$AD$41="Alta",'Mapa riesgos'!$AF$41="Mayor"),CONCATENATE("R5C",'Mapa riesgos'!$T$41),"")</f>
        <v/>
      </c>
      <c r="AG20" s="37" t="str">
        <f>IF(AND('Mapa riesgos'!$AD$42="Alta",'Mapa riesgos'!$AF$42="Mayor"),CONCATENATE("R5C",'Mapa riesgos'!$T$42),"")</f>
        <v/>
      </c>
      <c r="AH20" s="38" t="str">
        <f>IF(AND('Mapa riesgos'!$AD$37="Alta",'Mapa riesgos'!$AF$37="Catastrófico"),CONCATENATE("R5C",'Mapa riesgos'!$T$37),"")</f>
        <v/>
      </c>
      <c r="AI20" s="39" t="str">
        <f>IF(AND('Mapa riesgos'!$AD$38="Alta",'Mapa riesgos'!$AF$38="Catastrófico"),CONCATENATE("R5C",'Mapa riesgos'!$T$38),"")</f>
        <v/>
      </c>
      <c r="AJ20" s="39" t="str">
        <f>IF(AND('Mapa riesgos'!$AD$39="Alta",'Mapa riesgos'!$AF$39="Catastrófico"),CONCATENATE("R5C",'Mapa riesgos'!$T$39),"")</f>
        <v/>
      </c>
      <c r="AK20" s="39" t="str">
        <f>IF(AND('Mapa riesgos'!$AD$40="Alta",'Mapa riesgos'!$AF$40="Catastrófico"),CONCATENATE("R5C",'Mapa riesgos'!$T$40),"")</f>
        <v/>
      </c>
      <c r="AL20" s="39" t="str">
        <f>IF(AND('Mapa riesgos'!$AD$41="Alta",'Mapa riesgos'!$AF$41="Catastrófico"),CONCATENATE("R5C",'Mapa riesgos'!$T$41),"")</f>
        <v/>
      </c>
      <c r="AM20" s="40" t="str">
        <f>IF(AND('Mapa riesgos'!$AD$42="Alta",'Mapa riesgos'!$AF$42="Catastrófico"),CONCATENATE("R5C",'Mapa riesgos'!$T$42),"")</f>
        <v/>
      </c>
      <c r="AN20" s="66"/>
      <c r="AO20" s="518"/>
      <c r="AP20" s="519"/>
      <c r="AQ20" s="519"/>
      <c r="AR20" s="519"/>
      <c r="AS20" s="519"/>
      <c r="AT20" s="520"/>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25">
      <c r="A21" s="66"/>
      <c r="B21" s="429"/>
      <c r="C21" s="429"/>
      <c r="D21" s="430"/>
      <c r="E21" s="528"/>
      <c r="F21" s="527"/>
      <c r="G21" s="527"/>
      <c r="H21" s="527"/>
      <c r="I21" s="527"/>
      <c r="J21" s="50" t="str">
        <f>IF(AND('Mapa riesgos'!$AD$43="Alta",'Mapa riesgos'!$AF$43="Leve"),CONCATENATE("R6C",'Mapa riesgos'!$T$43),"")</f>
        <v/>
      </c>
      <c r="K21" s="51" t="str">
        <f>IF(AND('Mapa riesgos'!$AD$44="Alta",'Mapa riesgos'!$AF$44="Leve"),CONCATENATE("R6C",'Mapa riesgos'!$T$44),"")</f>
        <v/>
      </c>
      <c r="L21" s="51" t="str">
        <f>IF(AND('Mapa riesgos'!$AD$45="Alta",'Mapa riesgos'!$AF$45="Leve"),CONCATENATE("R6C",'Mapa riesgos'!$T$45),"")</f>
        <v/>
      </c>
      <c r="M21" s="51" t="str">
        <f>IF(AND('Mapa riesgos'!$AD$46="Alta",'Mapa riesgos'!$AF$46="Leve"),CONCATENATE("R6C",'Mapa riesgos'!$T$46),"")</f>
        <v/>
      </c>
      <c r="N21" s="51" t="str">
        <f>IF(AND('Mapa riesgos'!$AD$47="Alta",'Mapa riesgos'!$AF$47="Leve"),CONCATENATE("R6C",'Mapa riesgos'!$T$47),"")</f>
        <v/>
      </c>
      <c r="O21" s="52" t="str">
        <f>IF(AND('Mapa riesgos'!$AD$48="Alta",'Mapa riesgos'!$AF$48="Leve"),CONCATENATE("R6C",'Mapa riesgos'!$T$48),"")</f>
        <v/>
      </c>
      <c r="P21" s="50" t="str">
        <f>IF(AND('Mapa riesgos'!$AD$43="Alta",'Mapa riesgos'!$AF$43="Menor"),CONCATENATE("R6C",'Mapa riesgos'!$T$43),"")</f>
        <v/>
      </c>
      <c r="Q21" s="51" t="str">
        <f>IF(AND('Mapa riesgos'!$AD$44="Alta",'Mapa riesgos'!$AF$44="Menor"),CONCATENATE("R6C",'Mapa riesgos'!$T$44),"")</f>
        <v/>
      </c>
      <c r="R21" s="51" t="str">
        <f>IF(AND('Mapa riesgos'!$AD$45="Alta",'Mapa riesgos'!$AF$45="Menor"),CONCATENATE("R6C",'Mapa riesgos'!$T$45),"")</f>
        <v/>
      </c>
      <c r="S21" s="51" t="str">
        <f>IF(AND('Mapa riesgos'!$AD$46="Alta",'Mapa riesgos'!$AF$46="Menor"),CONCATENATE("R6C",'Mapa riesgos'!$T$46),"")</f>
        <v/>
      </c>
      <c r="T21" s="51" t="str">
        <f>IF(AND('Mapa riesgos'!$AD$47="Alta",'Mapa riesgos'!$AF$47="Menor"),CONCATENATE("R6C",'Mapa riesgos'!$T$47),"")</f>
        <v/>
      </c>
      <c r="U21" s="52" t="str">
        <f>IF(AND('Mapa riesgos'!$AD$48="Alta",'Mapa riesgos'!$AF$48="Menor"),CONCATENATE("R6C",'Mapa riesgos'!$T$48),"")</f>
        <v/>
      </c>
      <c r="V21" s="35" t="str">
        <f>IF(AND('Mapa riesgos'!$AD$43="Alta",'Mapa riesgos'!$AF$43="Moderado"),CONCATENATE("R6C",'Mapa riesgos'!$T$43),"")</f>
        <v/>
      </c>
      <c r="W21" s="36" t="str">
        <f>IF(AND('Mapa riesgos'!$AD$44="Alta",'Mapa riesgos'!$AF$44="Moderado"),CONCATENATE("R6C",'Mapa riesgos'!$T$44),"")</f>
        <v/>
      </c>
      <c r="X21" s="36" t="str">
        <f>IF(AND('Mapa riesgos'!$AD$45="Alta",'Mapa riesgos'!$AF$45="Moderado"),CONCATENATE("R6C",'Mapa riesgos'!$T$45),"")</f>
        <v/>
      </c>
      <c r="Y21" s="36" t="str">
        <f>IF(AND('Mapa riesgos'!$AD$46="Alta",'Mapa riesgos'!$AF$46="Moderado"),CONCATENATE("R6C",'Mapa riesgos'!$T$46),"")</f>
        <v/>
      </c>
      <c r="Z21" s="36" t="str">
        <f>IF(AND('Mapa riesgos'!$AD$47="Alta",'Mapa riesgos'!$AF$47="Moderado"),CONCATENATE("R6C",'Mapa riesgos'!$T$47),"")</f>
        <v/>
      </c>
      <c r="AA21" s="37" t="str">
        <f>IF(AND('Mapa riesgos'!$AD$48="Alta",'Mapa riesgos'!$AF$48="Moderado"),CONCATENATE("R6C",'Mapa riesgos'!$T$48),"")</f>
        <v/>
      </c>
      <c r="AB21" s="35" t="str">
        <f>IF(AND('Mapa riesgos'!$AD$43="Alta",'Mapa riesgos'!$AF$43="Mayor"),CONCATENATE("R6C",'Mapa riesgos'!$T$43),"")</f>
        <v/>
      </c>
      <c r="AC21" s="36" t="str">
        <f>IF(AND('Mapa riesgos'!$AD$44="Alta",'Mapa riesgos'!$AF$44="Mayor"),CONCATENATE("R6C",'Mapa riesgos'!$T$44),"")</f>
        <v/>
      </c>
      <c r="AD21" s="36" t="str">
        <f>IF(AND('Mapa riesgos'!$AD$45="Alta",'Mapa riesgos'!$AF$45="Mayor"),CONCATENATE("R6C",'Mapa riesgos'!$T$45),"")</f>
        <v/>
      </c>
      <c r="AE21" s="36" t="str">
        <f>IF(AND('Mapa riesgos'!$AD$46="Alta",'Mapa riesgos'!$AF$46="Mayor"),CONCATENATE("R6C",'Mapa riesgos'!$T$46),"")</f>
        <v/>
      </c>
      <c r="AF21" s="36" t="str">
        <f>IF(AND('Mapa riesgos'!$AD$47="Alta",'Mapa riesgos'!$AF$47="Mayor"),CONCATENATE("R6C",'Mapa riesgos'!$T$47),"")</f>
        <v/>
      </c>
      <c r="AG21" s="37" t="str">
        <f>IF(AND('Mapa riesgos'!$AD$48="Alta",'Mapa riesgos'!$AF$48="Mayor"),CONCATENATE("R6C",'Mapa riesgos'!$T$48),"")</f>
        <v/>
      </c>
      <c r="AH21" s="38" t="str">
        <f>IF(AND('Mapa riesgos'!$AD$43="Alta",'Mapa riesgos'!$AF$43="Catastrófico"),CONCATENATE("R6C",'Mapa riesgos'!$T$43),"")</f>
        <v/>
      </c>
      <c r="AI21" s="39" t="str">
        <f>IF(AND('Mapa riesgos'!$AD$44="Alta",'Mapa riesgos'!$AF$44="Catastrófico"),CONCATENATE("R6C",'Mapa riesgos'!$T$44),"")</f>
        <v/>
      </c>
      <c r="AJ21" s="39" t="str">
        <f>IF(AND('Mapa riesgos'!$AD$45="Alta",'Mapa riesgos'!$AF$45="Catastrófico"),CONCATENATE("R6C",'Mapa riesgos'!$T$45),"")</f>
        <v/>
      </c>
      <c r="AK21" s="39" t="str">
        <f>IF(AND('Mapa riesgos'!$AD$46="Alta",'Mapa riesgos'!$AF$46="Catastrófico"),CONCATENATE("R6C",'Mapa riesgos'!$T$46),"")</f>
        <v/>
      </c>
      <c r="AL21" s="39" t="str">
        <f>IF(AND('Mapa riesgos'!$AD$47="Alta",'Mapa riesgos'!$AF$47="Catastrófico"),CONCATENATE("R6C",'Mapa riesgos'!$T$47),"")</f>
        <v/>
      </c>
      <c r="AM21" s="40" t="str">
        <f>IF(AND('Mapa riesgos'!$AD$48="Alta",'Mapa riesgos'!$AF$48="Catastrófico"),CONCATENATE("R6C",'Mapa riesgos'!$T$48),"")</f>
        <v/>
      </c>
      <c r="AN21" s="66"/>
      <c r="AO21" s="518"/>
      <c r="AP21" s="519"/>
      <c r="AQ21" s="519"/>
      <c r="AR21" s="519"/>
      <c r="AS21" s="519"/>
      <c r="AT21" s="520"/>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25">
      <c r="A22" s="66"/>
      <c r="B22" s="429"/>
      <c r="C22" s="429"/>
      <c r="D22" s="430"/>
      <c r="E22" s="528"/>
      <c r="F22" s="527"/>
      <c r="G22" s="527"/>
      <c r="H22" s="527"/>
      <c r="I22" s="527"/>
      <c r="J22" s="50" t="str">
        <f>IF(AND('Mapa riesgos'!$AD$49="Alta",'Mapa riesgos'!$AF$49="Leve"),CONCATENATE("R7C",'Mapa riesgos'!$T$49),"")</f>
        <v/>
      </c>
      <c r="K22" s="51" t="str">
        <f>IF(AND('Mapa riesgos'!$AD$50="Alta",'Mapa riesgos'!$AF$50="Leve"),CONCATENATE("R7C",'Mapa riesgos'!$T$50),"")</f>
        <v/>
      </c>
      <c r="L22" s="51" t="str">
        <f>IF(AND('Mapa riesgos'!$AD$51="Alta",'Mapa riesgos'!$AF$51="Leve"),CONCATENATE("R7C",'Mapa riesgos'!$T$51),"")</f>
        <v/>
      </c>
      <c r="M22" s="51" t="str">
        <f>IF(AND('Mapa riesgos'!$AD$52="Alta",'Mapa riesgos'!$AF$52="Leve"),CONCATENATE("R7C",'Mapa riesgos'!$T$52),"")</f>
        <v/>
      </c>
      <c r="N22" s="51" t="str">
        <f>IF(AND('Mapa riesgos'!$AD$53="Alta",'Mapa riesgos'!$AF$53="Leve"),CONCATENATE("R7C",'Mapa riesgos'!$T$53),"")</f>
        <v/>
      </c>
      <c r="O22" s="52" t="str">
        <f>IF(AND('Mapa riesgos'!$AD$54="Alta",'Mapa riesgos'!$AF$54="Leve"),CONCATENATE("R7C",'Mapa riesgos'!$T$54),"")</f>
        <v/>
      </c>
      <c r="P22" s="50" t="str">
        <f>IF(AND('Mapa riesgos'!$AD$49="Alta",'Mapa riesgos'!$AF$49="Menor"),CONCATENATE("R7C",'Mapa riesgos'!$T$49),"")</f>
        <v/>
      </c>
      <c r="Q22" s="51" t="str">
        <f>IF(AND('Mapa riesgos'!$AD$50="Alta",'Mapa riesgos'!$AF$50="Menor"),CONCATENATE("R7C",'Mapa riesgos'!$T$50),"")</f>
        <v/>
      </c>
      <c r="R22" s="51" t="str">
        <f>IF(AND('Mapa riesgos'!$AD$51="Alta",'Mapa riesgos'!$AF$51="Menor"),CONCATENATE("R7C",'Mapa riesgos'!$T$51),"")</f>
        <v/>
      </c>
      <c r="S22" s="51" t="str">
        <f>IF(AND('Mapa riesgos'!$AD$52="Alta",'Mapa riesgos'!$AF$52="Menor"),CONCATENATE("R7C",'Mapa riesgos'!$T$52),"")</f>
        <v/>
      </c>
      <c r="T22" s="51" t="str">
        <f>IF(AND('Mapa riesgos'!$AD$53="Alta",'Mapa riesgos'!$AF$53="Menor"),CONCATENATE("R7C",'Mapa riesgos'!$T$53),"")</f>
        <v/>
      </c>
      <c r="U22" s="52" t="str">
        <f>IF(AND('Mapa riesgos'!$AD$54="Alta",'Mapa riesgos'!$AF$54="Menor"),CONCATENATE("R7C",'Mapa riesgos'!$T$54),"")</f>
        <v/>
      </c>
      <c r="V22" s="35" t="str">
        <f>IF(AND('Mapa riesgos'!$AD$49="Alta",'Mapa riesgos'!$AF$49="Moderado"),CONCATENATE("R7C",'Mapa riesgos'!$T$49),"")</f>
        <v/>
      </c>
      <c r="W22" s="36" t="str">
        <f>IF(AND('Mapa riesgos'!$AD$50="Alta",'Mapa riesgos'!$AF$50="Moderado"),CONCATENATE("R7C",'Mapa riesgos'!$T$50),"")</f>
        <v/>
      </c>
      <c r="X22" s="36" t="str">
        <f>IF(AND('Mapa riesgos'!$AD$51="Alta",'Mapa riesgos'!$AF$51="Moderado"),CONCATENATE("R7C",'Mapa riesgos'!$T$51),"")</f>
        <v/>
      </c>
      <c r="Y22" s="36" t="str">
        <f>IF(AND('Mapa riesgos'!$AD$52="Alta",'Mapa riesgos'!$AF$52="Moderado"),CONCATENATE("R7C",'Mapa riesgos'!$T$52),"")</f>
        <v/>
      </c>
      <c r="Z22" s="36" t="str">
        <f>IF(AND('Mapa riesgos'!$AD$53="Alta",'Mapa riesgos'!$AF$53="Moderado"),CONCATENATE("R7C",'Mapa riesgos'!$T$53),"")</f>
        <v/>
      </c>
      <c r="AA22" s="37" t="str">
        <f>IF(AND('Mapa riesgos'!$AD$54="Alta",'Mapa riesgos'!$AF$54="Moderado"),CONCATENATE("R7C",'Mapa riesgos'!$T$54),"")</f>
        <v/>
      </c>
      <c r="AB22" s="35" t="str">
        <f>IF(AND('Mapa riesgos'!$AD$49="Alta",'Mapa riesgos'!$AF$49="Mayor"),CONCATENATE("R7C",'Mapa riesgos'!$T$49),"")</f>
        <v/>
      </c>
      <c r="AC22" s="36" t="str">
        <f>IF(AND('Mapa riesgos'!$AD$50="Alta",'Mapa riesgos'!$AF$50="Mayor"),CONCATENATE("R7C",'Mapa riesgos'!$T$50),"")</f>
        <v/>
      </c>
      <c r="AD22" s="36" t="str">
        <f>IF(AND('Mapa riesgos'!$AD$51="Alta",'Mapa riesgos'!$AF$51="Mayor"),CONCATENATE("R7C",'Mapa riesgos'!$T$51),"")</f>
        <v/>
      </c>
      <c r="AE22" s="36" t="str">
        <f>IF(AND('Mapa riesgos'!$AD$52="Alta",'Mapa riesgos'!$AF$52="Mayor"),CONCATENATE("R7C",'Mapa riesgos'!$T$52),"")</f>
        <v/>
      </c>
      <c r="AF22" s="36" t="str">
        <f>IF(AND('Mapa riesgos'!$AD$53="Alta",'Mapa riesgos'!$AF$53="Mayor"),CONCATENATE("R7C",'Mapa riesgos'!$T$53),"")</f>
        <v/>
      </c>
      <c r="AG22" s="37" t="str">
        <f>IF(AND('Mapa riesgos'!$AD$54="Alta",'Mapa riesgos'!$AF$54="Mayor"),CONCATENATE("R7C",'Mapa riesgos'!$T$54),"")</f>
        <v/>
      </c>
      <c r="AH22" s="38" t="str">
        <f>IF(AND('Mapa riesgos'!$AD$49="Alta",'Mapa riesgos'!$AF$49="Catastrófico"),CONCATENATE("R7C",'Mapa riesgos'!$T$49),"")</f>
        <v/>
      </c>
      <c r="AI22" s="39" t="str">
        <f>IF(AND('Mapa riesgos'!$AD$50="Alta",'Mapa riesgos'!$AF$50="Catastrófico"),CONCATENATE("R7C",'Mapa riesgos'!$T$50),"")</f>
        <v/>
      </c>
      <c r="AJ22" s="39" t="str">
        <f>IF(AND('Mapa riesgos'!$AD$51="Alta",'Mapa riesgos'!$AF$51="Catastrófico"),CONCATENATE("R7C",'Mapa riesgos'!$T$51),"")</f>
        <v/>
      </c>
      <c r="AK22" s="39" t="str">
        <f>IF(AND('Mapa riesgos'!$AD$52="Alta",'Mapa riesgos'!$AF$52="Catastrófico"),CONCATENATE("R7C",'Mapa riesgos'!$T$52),"")</f>
        <v/>
      </c>
      <c r="AL22" s="39" t="str">
        <f>IF(AND('Mapa riesgos'!$AD$53="Alta",'Mapa riesgos'!$AF$53="Catastrófico"),CONCATENATE("R7C",'Mapa riesgos'!$T$53),"")</f>
        <v/>
      </c>
      <c r="AM22" s="40" t="str">
        <f>IF(AND('Mapa riesgos'!$AD$54="Alta",'Mapa riesgos'!$AF$54="Catastrófico"),CONCATENATE("R7C",'Mapa riesgos'!$T$54),"")</f>
        <v/>
      </c>
      <c r="AN22" s="66"/>
      <c r="AO22" s="518"/>
      <c r="AP22" s="519"/>
      <c r="AQ22" s="519"/>
      <c r="AR22" s="519"/>
      <c r="AS22" s="519"/>
      <c r="AT22" s="520"/>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25">
      <c r="A23" s="66"/>
      <c r="B23" s="429"/>
      <c r="C23" s="429"/>
      <c r="D23" s="430"/>
      <c r="E23" s="528"/>
      <c r="F23" s="527"/>
      <c r="G23" s="527"/>
      <c r="H23" s="527"/>
      <c r="I23" s="527"/>
      <c r="J23" s="50" t="str">
        <f>IF(AND('Mapa riesgos'!$AD$55="Alta",'Mapa riesgos'!$AF$55="Leve"),CONCATENATE("R8C",'Mapa riesgos'!$T$55),"")</f>
        <v/>
      </c>
      <c r="K23" s="51" t="str">
        <f>IF(AND('Mapa riesgos'!$AD$56="Alta",'Mapa riesgos'!$AF$56="Leve"),CONCATENATE("R8C",'Mapa riesgos'!$T$56),"")</f>
        <v/>
      </c>
      <c r="L23" s="51" t="str">
        <f>IF(AND('Mapa riesgos'!$AD$57="Alta",'Mapa riesgos'!$AF$57="Leve"),CONCATENATE("R8C",'Mapa riesgos'!$T$57),"")</f>
        <v/>
      </c>
      <c r="M23" s="51" t="str">
        <f>IF(AND('Mapa riesgos'!$AD$58="Alta",'Mapa riesgos'!$AF$58="Leve"),CONCATENATE("R8C",'Mapa riesgos'!$T$58),"")</f>
        <v/>
      </c>
      <c r="N23" s="51" t="str">
        <f>IF(AND('Mapa riesgos'!$AD$59="Alta",'Mapa riesgos'!$AF$59="Leve"),CONCATENATE("R8C",'Mapa riesgos'!$T$59),"")</f>
        <v/>
      </c>
      <c r="O23" s="52" t="str">
        <f>IF(AND('Mapa riesgos'!$AD$60="Alta",'Mapa riesgos'!$AF$60="Leve"),CONCATENATE("R8C",'Mapa riesgos'!$T$60),"")</f>
        <v/>
      </c>
      <c r="P23" s="50" t="str">
        <f>IF(AND('Mapa riesgos'!$AD$55="Alta",'Mapa riesgos'!$AF$55="Menor"),CONCATENATE("R8C",'Mapa riesgos'!$T$55),"")</f>
        <v/>
      </c>
      <c r="Q23" s="51" t="str">
        <f>IF(AND('Mapa riesgos'!$AD$56="Alta",'Mapa riesgos'!$AF$56="Menor"),CONCATENATE("R8C",'Mapa riesgos'!$T$56),"")</f>
        <v/>
      </c>
      <c r="R23" s="51" t="str">
        <f>IF(AND('Mapa riesgos'!$AD$57="Alta",'Mapa riesgos'!$AF$57="Menor"),CONCATENATE("R8C",'Mapa riesgos'!$T$57),"")</f>
        <v/>
      </c>
      <c r="S23" s="51" t="str">
        <f>IF(AND('Mapa riesgos'!$AD$58="Alta",'Mapa riesgos'!$AF$58="Menor"),CONCATENATE("R8C",'Mapa riesgos'!$T$58),"")</f>
        <v/>
      </c>
      <c r="T23" s="51" t="str">
        <f>IF(AND('Mapa riesgos'!$AD$59="Alta",'Mapa riesgos'!$AF$59="Menor"),CONCATENATE("R8C",'Mapa riesgos'!$T$59),"")</f>
        <v/>
      </c>
      <c r="U23" s="52" t="str">
        <f>IF(AND('Mapa riesgos'!$AD$60="Alta",'Mapa riesgos'!$AF$60="Menor"),CONCATENATE("R8C",'Mapa riesgos'!$T$60),"")</f>
        <v/>
      </c>
      <c r="V23" s="35" t="str">
        <f>IF(AND('Mapa riesgos'!$AD$55="Alta",'Mapa riesgos'!$AF$55="Moderado"),CONCATENATE("R8C",'Mapa riesgos'!$T$55),"")</f>
        <v/>
      </c>
      <c r="W23" s="36" t="str">
        <f>IF(AND('Mapa riesgos'!$AD$56="Alta",'Mapa riesgos'!$AF$56="Moderado"),CONCATENATE("R8C",'Mapa riesgos'!$T$56),"")</f>
        <v/>
      </c>
      <c r="X23" s="36" t="str">
        <f>IF(AND('Mapa riesgos'!$AD$57="Alta",'Mapa riesgos'!$AF$57="Moderado"),CONCATENATE("R8C",'Mapa riesgos'!$T$57),"")</f>
        <v/>
      </c>
      <c r="Y23" s="36" t="str">
        <f>IF(AND('Mapa riesgos'!$AD$58="Alta",'Mapa riesgos'!$AF$58="Moderado"),CONCATENATE("R8C",'Mapa riesgos'!$T$58),"")</f>
        <v/>
      </c>
      <c r="Z23" s="36" t="str">
        <f>IF(AND('Mapa riesgos'!$AD$59="Alta",'Mapa riesgos'!$AF$59="Moderado"),CONCATENATE("R8C",'Mapa riesgos'!$T$59),"")</f>
        <v/>
      </c>
      <c r="AA23" s="37" t="str">
        <f>IF(AND('Mapa riesgos'!$AD$60="Alta",'Mapa riesgos'!$AF$60="Moderado"),CONCATENATE("R8C",'Mapa riesgos'!$T$60),"")</f>
        <v/>
      </c>
      <c r="AB23" s="35" t="str">
        <f>IF(AND('Mapa riesgos'!$AD$55="Alta",'Mapa riesgos'!$AF$55="Mayor"),CONCATENATE("R8C",'Mapa riesgos'!$T$55),"")</f>
        <v/>
      </c>
      <c r="AC23" s="36" t="str">
        <f>IF(AND('Mapa riesgos'!$AD$56="Alta",'Mapa riesgos'!$AF$56="Mayor"),CONCATENATE("R8C",'Mapa riesgos'!$T$56),"")</f>
        <v/>
      </c>
      <c r="AD23" s="36" t="str">
        <f>IF(AND('Mapa riesgos'!$AD$57="Alta",'Mapa riesgos'!$AF$57="Mayor"),CONCATENATE("R8C",'Mapa riesgos'!$T$57),"")</f>
        <v/>
      </c>
      <c r="AE23" s="36" t="str">
        <f>IF(AND('Mapa riesgos'!$AD$58="Alta",'Mapa riesgos'!$AF$58="Mayor"),CONCATENATE("R8C",'Mapa riesgos'!$T$58),"")</f>
        <v/>
      </c>
      <c r="AF23" s="36" t="str">
        <f>IF(AND('Mapa riesgos'!$AD$59="Alta",'Mapa riesgos'!$AF$59="Mayor"),CONCATENATE("R8C",'Mapa riesgos'!$T$59),"")</f>
        <v/>
      </c>
      <c r="AG23" s="37" t="str">
        <f>IF(AND('Mapa riesgos'!$AD$60="Alta",'Mapa riesgos'!$AF$60="Mayor"),CONCATENATE("R8C",'Mapa riesgos'!$T$60),"")</f>
        <v/>
      </c>
      <c r="AH23" s="38" t="str">
        <f>IF(AND('Mapa riesgos'!$AD$55="Alta",'Mapa riesgos'!$AF$55="Catastrófico"),CONCATENATE("R8C",'Mapa riesgos'!$T$55),"")</f>
        <v/>
      </c>
      <c r="AI23" s="39" t="str">
        <f>IF(AND('Mapa riesgos'!$AD$56="Alta",'Mapa riesgos'!$AF$56="Catastrófico"),CONCATENATE("R8C",'Mapa riesgos'!$T$56),"")</f>
        <v/>
      </c>
      <c r="AJ23" s="39" t="str">
        <f>IF(AND('Mapa riesgos'!$AD$57="Alta",'Mapa riesgos'!$AF$57="Catastrófico"),CONCATENATE("R8C",'Mapa riesgos'!$T$57),"")</f>
        <v/>
      </c>
      <c r="AK23" s="39" t="str">
        <f>IF(AND('Mapa riesgos'!$AD$58="Alta",'Mapa riesgos'!$AF$58="Catastrófico"),CONCATENATE("R8C",'Mapa riesgos'!$T$58),"")</f>
        <v/>
      </c>
      <c r="AL23" s="39" t="str">
        <f>IF(AND('Mapa riesgos'!$AD$59="Alta",'Mapa riesgos'!$AF$59="Catastrófico"),CONCATENATE("R8C",'Mapa riesgos'!$T$59),"")</f>
        <v/>
      </c>
      <c r="AM23" s="40" t="str">
        <f>IF(AND('Mapa riesgos'!$AD$60="Alta",'Mapa riesgos'!$AF$60="Catastrófico"),CONCATENATE("R8C",'Mapa riesgos'!$T$60),"")</f>
        <v/>
      </c>
      <c r="AN23" s="66"/>
      <c r="AO23" s="518"/>
      <c r="AP23" s="519"/>
      <c r="AQ23" s="519"/>
      <c r="AR23" s="519"/>
      <c r="AS23" s="519"/>
      <c r="AT23" s="520"/>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25">
      <c r="A24" s="66"/>
      <c r="B24" s="429"/>
      <c r="C24" s="429"/>
      <c r="D24" s="430"/>
      <c r="E24" s="528"/>
      <c r="F24" s="527"/>
      <c r="G24" s="527"/>
      <c r="H24" s="527"/>
      <c r="I24" s="527"/>
      <c r="J24" s="50" t="str">
        <f>IF(AND('Mapa riesgos'!$AD$61="Alta",'Mapa riesgos'!$AF$61="Leve"),CONCATENATE("R9C",'Mapa riesgos'!$T$61),"")</f>
        <v/>
      </c>
      <c r="K24" s="51" t="str">
        <f>IF(AND('Mapa riesgos'!$AD$62="Alta",'Mapa riesgos'!$AF$62="Leve"),CONCATENATE("R9C",'Mapa riesgos'!$T$62),"")</f>
        <v/>
      </c>
      <c r="L24" s="51" t="str">
        <f>IF(AND('Mapa riesgos'!$AD$63="Alta",'Mapa riesgos'!$AF$63="Leve"),CONCATENATE("R9C",'Mapa riesgos'!$T$63),"")</f>
        <v/>
      </c>
      <c r="M24" s="51" t="str">
        <f>IF(AND('Mapa riesgos'!$AD$64="Alta",'Mapa riesgos'!$AF$64="Leve"),CONCATENATE("R9C",'Mapa riesgos'!$T$64),"")</f>
        <v/>
      </c>
      <c r="N24" s="51" t="str">
        <f>IF(AND('Mapa riesgos'!$AD$65="Alta",'Mapa riesgos'!$AF$65="Leve"),CONCATENATE("R9C",'Mapa riesgos'!$T$65),"")</f>
        <v/>
      </c>
      <c r="O24" s="52" t="str">
        <f>IF(AND('Mapa riesgos'!$AD$66="Alta",'Mapa riesgos'!$AF$66="Leve"),CONCATENATE("R9C",'Mapa riesgos'!$T$66),"")</f>
        <v/>
      </c>
      <c r="P24" s="50" t="str">
        <f>IF(AND('Mapa riesgos'!$AD$61="Alta",'Mapa riesgos'!$AF$61="Menor"),CONCATENATE("R9C",'Mapa riesgos'!$T$61),"")</f>
        <v/>
      </c>
      <c r="Q24" s="51" t="str">
        <f>IF(AND('Mapa riesgos'!$AD$62="Alta",'Mapa riesgos'!$AF$62="Menor"),CONCATENATE("R9C",'Mapa riesgos'!$T$62),"")</f>
        <v/>
      </c>
      <c r="R24" s="51" t="str">
        <f>IF(AND('Mapa riesgos'!$AD$63="Alta",'Mapa riesgos'!$AF$63="Menor"),CONCATENATE("R9C",'Mapa riesgos'!$T$63),"")</f>
        <v/>
      </c>
      <c r="S24" s="51" t="str">
        <f>IF(AND('Mapa riesgos'!$AD$64="Alta",'Mapa riesgos'!$AF$64="Menor"),CONCATENATE("R9C",'Mapa riesgos'!$T$64),"")</f>
        <v/>
      </c>
      <c r="T24" s="51" t="str">
        <f>IF(AND('Mapa riesgos'!$AD$65="Alta",'Mapa riesgos'!$AF$65="Menor"),CONCATENATE("R9C",'Mapa riesgos'!$T$65),"")</f>
        <v/>
      </c>
      <c r="U24" s="52" t="str">
        <f>IF(AND('Mapa riesgos'!$AD$66="Alta",'Mapa riesgos'!$AF$66="Menor"),CONCATENATE("R9C",'Mapa riesgos'!$T$66),"")</f>
        <v/>
      </c>
      <c r="V24" s="35" t="str">
        <f>IF(AND('Mapa riesgos'!$AD$61="Alta",'Mapa riesgos'!$AF$61="Moderado"),CONCATENATE("R9C",'Mapa riesgos'!$T$61),"")</f>
        <v/>
      </c>
      <c r="W24" s="36" t="str">
        <f>IF(AND('Mapa riesgos'!$AD$62="Alta",'Mapa riesgos'!$AF$62="Moderado"),CONCATENATE("R9C",'Mapa riesgos'!$T$62),"")</f>
        <v/>
      </c>
      <c r="X24" s="36" t="str">
        <f>IF(AND('Mapa riesgos'!$AD$63="Alta",'Mapa riesgos'!$AF$63="Moderado"),CONCATENATE("R9C",'Mapa riesgos'!$T$63),"")</f>
        <v/>
      </c>
      <c r="Y24" s="36" t="str">
        <f>IF(AND('Mapa riesgos'!$AD$64="Alta",'Mapa riesgos'!$AF$64="Moderado"),CONCATENATE("R9C",'Mapa riesgos'!$T$64),"")</f>
        <v/>
      </c>
      <c r="Z24" s="36" t="str">
        <f>IF(AND('Mapa riesgos'!$AD$65="Alta",'Mapa riesgos'!$AF$65="Moderado"),CONCATENATE("R9C",'Mapa riesgos'!$T$65),"")</f>
        <v/>
      </c>
      <c r="AA24" s="37" t="str">
        <f>IF(AND('Mapa riesgos'!$AD$66="Alta",'Mapa riesgos'!$AF$66="Moderado"),CONCATENATE("R9C",'Mapa riesgos'!$T$66),"")</f>
        <v/>
      </c>
      <c r="AB24" s="35" t="str">
        <f>IF(AND('Mapa riesgos'!$AD$61="Alta",'Mapa riesgos'!$AF$61="Mayor"),CONCATENATE("R9C",'Mapa riesgos'!$T$61),"")</f>
        <v/>
      </c>
      <c r="AC24" s="36" t="str">
        <f>IF(AND('Mapa riesgos'!$AD$62="Alta",'Mapa riesgos'!$AF$62="Mayor"),CONCATENATE("R9C",'Mapa riesgos'!$T$62),"")</f>
        <v/>
      </c>
      <c r="AD24" s="36" t="str">
        <f>IF(AND('Mapa riesgos'!$AD$63="Alta",'Mapa riesgos'!$AF$63="Mayor"),CONCATENATE("R9C",'Mapa riesgos'!$T$63),"")</f>
        <v/>
      </c>
      <c r="AE24" s="36" t="str">
        <f>IF(AND('Mapa riesgos'!$AD$64="Alta",'Mapa riesgos'!$AF$64="Mayor"),CONCATENATE("R9C",'Mapa riesgos'!$T$64),"")</f>
        <v/>
      </c>
      <c r="AF24" s="36" t="str">
        <f>IF(AND('Mapa riesgos'!$AD$65="Alta",'Mapa riesgos'!$AF$65="Mayor"),CONCATENATE("R9C",'Mapa riesgos'!$T$65),"")</f>
        <v/>
      </c>
      <c r="AG24" s="37" t="str">
        <f>IF(AND('Mapa riesgos'!$AD$66="Alta",'Mapa riesgos'!$AF$66="Mayor"),CONCATENATE("R9C",'Mapa riesgos'!$T$66),"")</f>
        <v/>
      </c>
      <c r="AH24" s="38" t="str">
        <f>IF(AND('Mapa riesgos'!$AD$61="Alta",'Mapa riesgos'!$AF$61="Catastrófico"),CONCATENATE("R9C",'Mapa riesgos'!$T$61),"")</f>
        <v/>
      </c>
      <c r="AI24" s="39" t="str">
        <f>IF(AND('Mapa riesgos'!$AD$62="Alta",'Mapa riesgos'!$AF$62="Catastrófico"),CONCATENATE("R9C",'Mapa riesgos'!$T$62),"")</f>
        <v/>
      </c>
      <c r="AJ24" s="39" t="str">
        <f>IF(AND('Mapa riesgos'!$AD$63="Alta",'Mapa riesgos'!$AF$63="Catastrófico"),CONCATENATE("R9C",'Mapa riesgos'!$T$63),"")</f>
        <v/>
      </c>
      <c r="AK24" s="39" t="str">
        <f>IF(AND('Mapa riesgos'!$AD$64="Alta",'Mapa riesgos'!$AF$64="Catastrófico"),CONCATENATE("R9C",'Mapa riesgos'!$T$64),"")</f>
        <v/>
      </c>
      <c r="AL24" s="39" t="str">
        <f>IF(AND('Mapa riesgos'!$AD$65="Alta",'Mapa riesgos'!$AF$65="Catastrófico"),CONCATENATE("R9C",'Mapa riesgos'!$T$65),"")</f>
        <v/>
      </c>
      <c r="AM24" s="40" t="str">
        <f>IF(AND('Mapa riesgos'!$AD$66="Alta",'Mapa riesgos'!$AF$66="Catastrófico"),CONCATENATE("R9C",'Mapa riesgos'!$T$66),"")</f>
        <v/>
      </c>
      <c r="AN24" s="66"/>
      <c r="AO24" s="518"/>
      <c r="AP24" s="519"/>
      <c r="AQ24" s="519"/>
      <c r="AR24" s="519"/>
      <c r="AS24" s="519"/>
      <c r="AT24" s="520"/>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
      <c r="A25" s="66"/>
      <c r="B25" s="429"/>
      <c r="C25" s="429"/>
      <c r="D25" s="430"/>
      <c r="E25" s="529"/>
      <c r="F25" s="530"/>
      <c r="G25" s="530"/>
      <c r="H25" s="530"/>
      <c r="I25" s="530"/>
      <c r="J25" s="53" t="str">
        <f>IF(AND('Mapa riesgos'!$AD$67="Alta",'Mapa riesgos'!$AF$67="Leve"),CONCATENATE("R10C",'Mapa riesgos'!$T$67),"")</f>
        <v/>
      </c>
      <c r="K25" s="54" t="str">
        <f>IF(AND('Mapa riesgos'!$AD$68="Alta",'Mapa riesgos'!$AF$68="Leve"),CONCATENATE("R10C",'Mapa riesgos'!$T$68),"")</f>
        <v/>
      </c>
      <c r="L25" s="54" t="str">
        <f>IF(AND('Mapa riesgos'!$AD$69="Alta",'Mapa riesgos'!$AF$69="Leve"),CONCATENATE("R10C",'Mapa riesgos'!$T$69),"")</f>
        <v/>
      </c>
      <c r="M25" s="54" t="str">
        <f>IF(AND('Mapa riesgos'!$AD$70="Alta",'Mapa riesgos'!$AF$70="Leve"),CONCATENATE("R10C",'Mapa riesgos'!$T$70),"")</f>
        <v/>
      </c>
      <c r="N25" s="54" t="str">
        <f>IF(AND('Mapa riesgos'!$AD$71="Alta",'Mapa riesgos'!$AF$71="Leve"),CONCATENATE("R10C",'Mapa riesgos'!$T$71),"")</f>
        <v/>
      </c>
      <c r="O25" s="55" t="str">
        <f>IF(AND('Mapa riesgos'!$AD$72="Alta",'Mapa riesgos'!$AF$72="Leve"),CONCATENATE("R10C",'Mapa riesgos'!$T$72),"")</f>
        <v/>
      </c>
      <c r="P25" s="53" t="str">
        <f>IF(AND('Mapa riesgos'!$AD$67="Alta",'Mapa riesgos'!$AF$67="Menor"),CONCATENATE("R10C",'Mapa riesgos'!$T$67),"")</f>
        <v/>
      </c>
      <c r="Q25" s="54" t="str">
        <f>IF(AND('Mapa riesgos'!$AD$68="Alta",'Mapa riesgos'!$AF$68="Menor"),CONCATENATE("R10C",'Mapa riesgos'!$T$68),"")</f>
        <v/>
      </c>
      <c r="R25" s="54" t="str">
        <f>IF(AND('Mapa riesgos'!$AD$69="Alta",'Mapa riesgos'!$AF$69="Menor"),CONCATENATE("R10C",'Mapa riesgos'!$T$69),"")</f>
        <v/>
      </c>
      <c r="S25" s="54" t="str">
        <f>IF(AND('Mapa riesgos'!$AD$70="Alta",'Mapa riesgos'!$AF$70="Menor"),CONCATENATE("R10C",'Mapa riesgos'!$T$70),"")</f>
        <v/>
      </c>
      <c r="T25" s="54" t="str">
        <f>IF(AND('Mapa riesgos'!$AD$71="Alta",'Mapa riesgos'!$AF$71="Menor"),CONCATENATE("R10C",'Mapa riesgos'!$T$71),"")</f>
        <v/>
      </c>
      <c r="U25" s="55" t="str">
        <f>IF(AND('Mapa riesgos'!$AD$72="Alta",'Mapa riesgos'!$AF$72="Menor"),CONCATENATE("R10C",'Mapa riesgos'!$T$72),"")</f>
        <v/>
      </c>
      <c r="V25" s="41" t="str">
        <f>IF(AND('Mapa riesgos'!$AD$67="Alta",'Mapa riesgos'!$AF$67="Moderado"),CONCATENATE("R10C",'Mapa riesgos'!$T$67),"")</f>
        <v/>
      </c>
      <c r="W25" s="42" t="str">
        <f>IF(AND('Mapa riesgos'!$AD$68="Alta",'Mapa riesgos'!$AF$68="Moderado"),CONCATENATE("R10C",'Mapa riesgos'!$T$68),"")</f>
        <v/>
      </c>
      <c r="X25" s="42" t="str">
        <f>IF(AND('Mapa riesgos'!$AD$69="Alta",'Mapa riesgos'!$AF$69="Moderado"),CONCATENATE("R10C",'Mapa riesgos'!$T$69),"")</f>
        <v/>
      </c>
      <c r="Y25" s="42" t="str">
        <f>IF(AND('Mapa riesgos'!$AD$70="Alta",'Mapa riesgos'!$AF$70="Moderado"),CONCATENATE("R10C",'Mapa riesgos'!$T$70),"")</f>
        <v/>
      </c>
      <c r="Z25" s="42" t="str">
        <f>IF(AND('Mapa riesgos'!$AD$71="Alta",'Mapa riesgos'!$AF$71="Moderado"),CONCATENATE("R10C",'Mapa riesgos'!$T$71),"")</f>
        <v/>
      </c>
      <c r="AA25" s="43" t="str">
        <f>IF(AND('Mapa riesgos'!$AD$72="Alta",'Mapa riesgos'!$AF$72="Moderado"),CONCATENATE("R10C",'Mapa riesgos'!$T$72),"")</f>
        <v/>
      </c>
      <c r="AB25" s="41" t="str">
        <f>IF(AND('Mapa riesgos'!$AD$67="Alta",'Mapa riesgos'!$AF$67="Mayor"),CONCATENATE("R10C",'Mapa riesgos'!$T$67),"")</f>
        <v/>
      </c>
      <c r="AC25" s="42" t="str">
        <f>IF(AND('Mapa riesgos'!$AD$68="Alta",'Mapa riesgos'!$AF$68="Mayor"),CONCATENATE("R10C",'Mapa riesgos'!$T$68),"")</f>
        <v/>
      </c>
      <c r="AD25" s="42" t="str">
        <f>IF(AND('Mapa riesgos'!$AD$69="Alta",'Mapa riesgos'!$AF$69="Mayor"),CONCATENATE("R10C",'Mapa riesgos'!$T$69),"")</f>
        <v/>
      </c>
      <c r="AE25" s="42" t="str">
        <f>IF(AND('Mapa riesgos'!$AD$70="Alta",'Mapa riesgos'!$AF$70="Mayor"),CONCATENATE("R10C",'Mapa riesgos'!$T$70),"")</f>
        <v/>
      </c>
      <c r="AF25" s="42" t="str">
        <f>IF(AND('Mapa riesgos'!$AD$71="Alta",'Mapa riesgos'!$AF$71="Mayor"),CONCATENATE("R10C",'Mapa riesgos'!$T$71),"")</f>
        <v/>
      </c>
      <c r="AG25" s="43" t="str">
        <f>IF(AND('Mapa riesgos'!$AD$72="Alta",'Mapa riesgos'!$AF$72="Mayor"),CONCATENATE("R10C",'Mapa riesgos'!$T$72),"")</f>
        <v/>
      </c>
      <c r="AH25" s="44" t="str">
        <f>IF(AND('Mapa riesgos'!$AD$67="Alta",'Mapa riesgos'!$AF$67="Catastrófico"),CONCATENATE("R10C",'Mapa riesgos'!$T$67),"")</f>
        <v/>
      </c>
      <c r="AI25" s="45" t="str">
        <f>IF(AND('Mapa riesgos'!$AD$68="Alta",'Mapa riesgos'!$AF$68="Catastrófico"),CONCATENATE("R10C",'Mapa riesgos'!$T$68),"")</f>
        <v/>
      </c>
      <c r="AJ25" s="45" t="str">
        <f>IF(AND('Mapa riesgos'!$AD$69="Alta",'Mapa riesgos'!$AF$69="Catastrófico"),CONCATENATE("R10C",'Mapa riesgos'!$T$69),"")</f>
        <v/>
      </c>
      <c r="AK25" s="45" t="str">
        <f>IF(AND('Mapa riesgos'!$AD$70="Alta",'Mapa riesgos'!$AF$70="Catastrófico"),CONCATENATE("R10C",'Mapa riesgos'!$T$70),"")</f>
        <v/>
      </c>
      <c r="AL25" s="45" t="str">
        <f>IF(AND('Mapa riesgos'!$AD$71="Alta",'Mapa riesgos'!$AF$71="Catastrófico"),CONCATENATE("R10C",'Mapa riesgos'!$T$71),"")</f>
        <v/>
      </c>
      <c r="AM25" s="46" t="str">
        <f>IF(AND('Mapa riesgos'!$AD$72="Alta",'Mapa riesgos'!$AF$72="Catastrófico"),CONCATENATE("R10C",'Mapa riesgos'!$T$72),"")</f>
        <v/>
      </c>
      <c r="AN25" s="66"/>
      <c r="AO25" s="521"/>
      <c r="AP25" s="522"/>
      <c r="AQ25" s="522"/>
      <c r="AR25" s="522"/>
      <c r="AS25" s="522"/>
      <c r="AT25" s="523"/>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5">
      <c r="A26" s="66"/>
      <c r="B26" s="429"/>
      <c r="C26" s="429"/>
      <c r="D26" s="430"/>
      <c r="E26" s="524" t="s">
        <v>181</v>
      </c>
      <c r="F26" s="525"/>
      <c r="G26" s="525"/>
      <c r="H26" s="525"/>
      <c r="I26" s="542"/>
      <c r="J26" s="47" t="str">
        <f>IF(AND('Mapa riesgos'!$AD$13="Media",'Mapa riesgos'!$AF$13="Leve"),CONCATENATE("R1C",'Mapa riesgos'!$T$13),"")</f>
        <v/>
      </c>
      <c r="K26" s="48" t="str">
        <f>IF(AND('Mapa riesgos'!$AD$14="Media",'Mapa riesgos'!$AF$14="Leve"),CONCATENATE("R1C",'Mapa riesgos'!$T$14),"")</f>
        <v/>
      </c>
      <c r="L26" s="48" t="str">
        <f>IF(AND('Mapa riesgos'!$AD$15="Media",'Mapa riesgos'!$AF$15="Leve"),CONCATENATE("R1C",'Mapa riesgos'!$T$15),"")</f>
        <v/>
      </c>
      <c r="M26" s="48" t="str">
        <f>IF(AND('Mapa riesgos'!$AD$16="Media",'Mapa riesgos'!$AF$16="Leve"),CONCATENATE("R1C",'Mapa riesgos'!$T$16),"")</f>
        <v/>
      </c>
      <c r="N26" s="48" t="str">
        <f>IF(AND('Mapa riesgos'!$AD$17="Media",'Mapa riesgos'!$AF$17="Leve"),CONCATENATE("R1C",'Mapa riesgos'!$T$17),"")</f>
        <v/>
      </c>
      <c r="O26" s="49" t="str">
        <f>IF(AND('Mapa riesgos'!$AD$18="Media",'Mapa riesgos'!$AF$18="Leve"),CONCATENATE("R1C",'Mapa riesgos'!$T$18),"")</f>
        <v/>
      </c>
      <c r="P26" s="47" t="str">
        <f>IF(AND('Mapa riesgos'!$AD$13="Media",'Mapa riesgos'!$AF$13="Menor"),CONCATENATE("R1C",'Mapa riesgos'!$T$13),"")</f>
        <v/>
      </c>
      <c r="Q26" s="48" t="str">
        <f>IF(AND('Mapa riesgos'!$AD$14="Media",'Mapa riesgos'!$AF$14="Menor"),CONCATENATE("R1C",'Mapa riesgos'!$T$14),"")</f>
        <v/>
      </c>
      <c r="R26" s="48" t="str">
        <f>IF(AND('Mapa riesgos'!$AD$15="Media",'Mapa riesgos'!$AF$15="Menor"),CONCATENATE("R1C",'Mapa riesgos'!$T$15),"")</f>
        <v/>
      </c>
      <c r="S26" s="48" t="str">
        <f>IF(AND('Mapa riesgos'!$AD$16="Media",'Mapa riesgos'!$AF$16="Menor"),CONCATENATE("R1C",'Mapa riesgos'!$T$16),"")</f>
        <v/>
      </c>
      <c r="T26" s="48" t="str">
        <f>IF(AND('Mapa riesgos'!$AD$17="Media",'Mapa riesgos'!$AF$17="Menor"),CONCATENATE("R1C",'Mapa riesgos'!$T$17),"")</f>
        <v/>
      </c>
      <c r="U26" s="49" t="str">
        <f>IF(AND('Mapa riesgos'!$AD$18="Media",'Mapa riesgos'!$AF$18="Menor"),CONCATENATE("R1C",'Mapa riesgos'!$T$18),"")</f>
        <v/>
      </c>
      <c r="V26" s="47" t="str">
        <f>IF(AND('Mapa riesgos'!$AD$13="Media",'Mapa riesgos'!$AF$13="Moderado"),CONCATENATE("R1C",'Mapa riesgos'!$T$13),"")</f>
        <v>R1C1</v>
      </c>
      <c r="W26" s="48" t="str">
        <f>IF(AND('Mapa riesgos'!$AD$14="Media",'Mapa riesgos'!$AF$14="Moderado"),CONCATENATE("R1C",'Mapa riesgos'!$T$14),"")</f>
        <v/>
      </c>
      <c r="X26" s="48" t="str">
        <f>IF(AND('Mapa riesgos'!$AD$15="Media",'Mapa riesgos'!$AF$15="Moderado"),CONCATENATE("R1C",'Mapa riesgos'!$T$15),"")</f>
        <v/>
      </c>
      <c r="Y26" s="48" t="str">
        <f>IF(AND('Mapa riesgos'!$AD$16="Media",'Mapa riesgos'!$AF$16="Moderado"),CONCATENATE("R1C",'Mapa riesgos'!$T$16),"")</f>
        <v/>
      </c>
      <c r="Z26" s="48" t="str">
        <f>IF(AND('Mapa riesgos'!$AD$17="Media",'Mapa riesgos'!$AF$17="Moderado"),CONCATENATE("R1C",'Mapa riesgos'!$T$17),"")</f>
        <v/>
      </c>
      <c r="AA26" s="49" t="str">
        <f>IF(AND('Mapa riesgos'!$AD$18="Media",'Mapa riesgos'!$AF$18="Moderado"),CONCATENATE("R1C",'Mapa riesgos'!$T$18),"")</f>
        <v/>
      </c>
      <c r="AB26" s="29" t="str">
        <f>IF(AND('Mapa riesgos'!$AD$13="Media",'Mapa riesgos'!$AF$13="Mayor"),CONCATENATE("R1C",'Mapa riesgos'!$T$13),"")</f>
        <v/>
      </c>
      <c r="AC26" s="30" t="str">
        <f>IF(AND('Mapa riesgos'!$AD$14="Media",'Mapa riesgos'!$AF$14="Mayor"),CONCATENATE("R1C",'Mapa riesgos'!$T$14),"")</f>
        <v/>
      </c>
      <c r="AD26" s="30" t="str">
        <f>IF(AND('Mapa riesgos'!$AD$15="Media",'Mapa riesgos'!$AF$15="Mayor"),CONCATENATE("R1C",'Mapa riesgos'!$T$15),"")</f>
        <v/>
      </c>
      <c r="AE26" s="30" t="str">
        <f>IF(AND('Mapa riesgos'!$AD$16="Media",'Mapa riesgos'!$AF$16="Mayor"),CONCATENATE("R1C",'Mapa riesgos'!$T$16),"")</f>
        <v/>
      </c>
      <c r="AF26" s="30" t="str">
        <f>IF(AND('Mapa riesgos'!$AD$17="Media",'Mapa riesgos'!$AF$17="Mayor"),CONCATENATE("R1C",'Mapa riesgos'!$T$17),"")</f>
        <v/>
      </c>
      <c r="AG26" s="31" t="str">
        <f>IF(AND('Mapa riesgos'!$AD$18="Media",'Mapa riesgos'!$AF$18="Mayor"),CONCATENATE("R1C",'Mapa riesgos'!$T$18),"")</f>
        <v/>
      </c>
      <c r="AH26" s="32" t="str">
        <f>IF(AND('Mapa riesgos'!$AD$13="Media",'Mapa riesgos'!$AF$13="Catastrófico"),CONCATENATE("R1C",'Mapa riesgos'!$T$13),"")</f>
        <v/>
      </c>
      <c r="AI26" s="33" t="str">
        <f>IF(AND('Mapa riesgos'!$AD$14="Media",'Mapa riesgos'!$AF$14="Catastrófico"),CONCATENATE("R1C",'Mapa riesgos'!$T$14),"")</f>
        <v/>
      </c>
      <c r="AJ26" s="33" t="str">
        <f>IF(AND('Mapa riesgos'!$AD$15="Media",'Mapa riesgos'!$AF$15="Catastrófico"),CONCATENATE("R1C",'Mapa riesgos'!$T$15),"")</f>
        <v/>
      </c>
      <c r="AK26" s="33" t="str">
        <f>IF(AND('Mapa riesgos'!$AD$16="Media",'Mapa riesgos'!$AF$16="Catastrófico"),CONCATENATE("R1C",'Mapa riesgos'!$T$16),"")</f>
        <v/>
      </c>
      <c r="AL26" s="33" t="str">
        <f>IF(AND('Mapa riesgos'!$AD$17="Media",'Mapa riesgos'!$AF$17="Catastrófico"),CONCATENATE("R1C",'Mapa riesgos'!$T$17),"")</f>
        <v/>
      </c>
      <c r="AM26" s="34" t="str">
        <f>IF(AND('Mapa riesgos'!$AD$18="Media",'Mapa riesgos'!$AF$18="Catastrófico"),CONCATENATE("R1C",'Mapa riesgos'!$T$18),"")</f>
        <v/>
      </c>
      <c r="AN26" s="66"/>
      <c r="AO26" s="554" t="s">
        <v>182</v>
      </c>
      <c r="AP26" s="555"/>
      <c r="AQ26" s="555"/>
      <c r="AR26" s="555"/>
      <c r="AS26" s="555"/>
      <c r="AT26" s="55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25">
      <c r="A27" s="66"/>
      <c r="B27" s="429"/>
      <c r="C27" s="429"/>
      <c r="D27" s="430"/>
      <c r="E27" s="526"/>
      <c r="F27" s="527"/>
      <c r="G27" s="527"/>
      <c r="H27" s="527"/>
      <c r="I27" s="543"/>
      <c r="J27" s="50" t="str">
        <f>IF(AND('Mapa riesgos'!$AD$19="Media",'Mapa riesgos'!$AF$19="Leve"),CONCATENATE("R2C",'Mapa riesgos'!$T$19),"")</f>
        <v/>
      </c>
      <c r="K27" s="51" t="str">
        <f>IF(AND('Mapa riesgos'!$AD$20="Media",'Mapa riesgos'!$AF$20="Leve"),CONCATENATE("R2C",'Mapa riesgos'!$T$20),"")</f>
        <v/>
      </c>
      <c r="L27" s="51" t="str">
        <f>IF(AND('Mapa riesgos'!$AD$21="Media",'Mapa riesgos'!$AF$21="Leve"),CONCATENATE("R2C",'Mapa riesgos'!$T$21),"")</f>
        <v/>
      </c>
      <c r="M27" s="51" t="str">
        <f>IF(AND('Mapa riesgos'!$AD$22="Media",'Mapa riesgos'!$AF$22="Leve"),CONCATENATE("R2C",'Mapa riesgos'!$T$22),"")</f>
        <v/>
      </c>
      <c r="N27" s="51" t="str">
        <f>IF(AND('Mapa riesgos'!$AD$23="Media",'Mapa riesgos'!$AF$23="Leve"),CONCATENATE("R2C",'Mapa riesgos'!$T$23),"")</f>
        <v/>
      </c>
      <c r="O27" s="52" t="str">
        <f>IF(AND('Mapa riesgos'!$AD$24="Media",'Mapa riesgos'!$AF$24="Leve"),CONCATENATE("R2C",'Mapa riesgos'!$T$24),"")</f>
        <v/>
      </c>
      <c r="P27" s="50" t="str">
        <f>IF(AND('Mapa riesgos'!$AD$19="Media",'Mapa riesgos'!$AF$19="Menor"),CONCATENATE("R2C",'Mapa riesgos'!$T$19),"")</f>
        <v/>
      </c>
      <c r="Q27" s="51" t="str">
        <f>IF(AND('Mapa riesgos'!$AD$20="Media",'Mapa riesgos'!$AF$20="Menor"),CONCATENATE("R2C",'Mapa riesgos'!$T$20),"")</f>
        <v/>
      </c>
      <c r="R27" s="51" t="str">
        <f>IF(AND('Mapa riesgos'!$AD$21="Media",'Mapa riesgos'!$AF$21="Menor"),CONCATENATE("R2C",'Mapa riesgos'!$T$21),"")</f>
        <v/>
      </c>
      <c r="S27" s="51" t="str">
        <f>IF(AND('Mapa riesgos'!$AD$22="Media",'Mapa riesgos'!$AF$22="Menor"),CONCATENATE("R2C",'Mapa riesgos'!$T$22),"")</f>
        <v/>
      </c>
      <c r="T27" s="51" t="str">
        <f>IF(AND('Mapa riesgos'!$AD$23="Media",'Mapa riesgos'!$AF$23="Menor"),CONCATENATE("R2C",'Mapa riesgos'!$T$23),"")</f>
        <v/>
      </c>
      <c r="U27" s="52" t="str">
        <f>IF(AND('Mapa riesgos'!$AD$24="Media",'Mapa riesgos'!$AF$24="Menor"),CONCATENATE("R2C",'Mapa riesgos'!$T$24),"")</f>
        <v/>
      </c>
      <c r="V27" s="50" t="str">
        <f>IF(AND('Mapa riesgos'!$AD$19="Media",'Mapa riesgos'!$AF$19="Moderado"),CONCATENATE("R2C",'Mapa riesgos'!$T$19),"")</f>
        <v>R2C1</v>
      </c>
      <c r="W27" s="51" t="str">
        <f>IF(AND('Mapa riesgos'!$AD$20="Media",'Mapa riesgos'!$AF$20="Moderado"),CONCATENATE("R2C",'Mapa riesgos'!$T$20),"")</f>
        <v/>
      </c>
      <c r="X27" s="51" t="str">
        <f>IF(AND('Mapa riesgos'!$AD$21="Media",'Mapa riesgos'!$AF$21="Moderado"),CONCATENATE("R2C",'Mapa riesgos'!$T$21),"")</f>
        <v/>
      </c>
      <c r="Y27" s="51" t="str">
        <f>IF(AND('Mapa riesgos'!$AD$22="Media",'Mapa riesgos'!$AF$22="Moderado"),CONCATENATE("R2C",'Mapa riesgos'!$T$22),"")</f>
        <v/>
      </c>
      <c r="Z27" s="51" t="str">
        <f>IF(AND('Mapa riesgos'!$AD$23="Media",'Mapa riesgos'!$AF$23="Moderado"),CONCATENATE("R2C",'Mapa riesgos'!$T$23),"")</f>
        <v/>
      </c>
      <c r="AA27" s="52" t="str">
        <f>IF(AND('Mapa riesgos'!$AD$24="Media",'Mapa riesgos'!$AF$24="Moderado"),CONCATENATE("R2C",'Mapa riesgos'!$T$24),"")</f>
        <v/>
      </c>
      <c r="AB27" s="35" t="str">
        <f>IF(AND('Mapa riesgos'!$AD$19="Media",'Mapa riesgos'!$AF$19="Mayor"),CONCATENATE("R2C",'Mapa riesgos'!$T$19),"")</f>
        <v/>
      </c>
      <c r="AC27" s="36" t="str">
        <f>IF(AND('Mapa riesgos'!$AD$20="Media",'Mapa riesgos'!$AF$20="Mayor"),CONCATENATE("R2C",'Mapa riesgos'!$T$20),"")</f>
        <v/>
      </c>
      <c r="AD27" s="36" t="str">
        <f>IF(AND('Mapa riesgos'!$AD$21="Media",'Mapa riesgos'!$AF$21="Mayor"),CONCATENATE("R2C",'Mapa riesgos'!$T$21),"")</f>
        <v/>
      </c>
      <c r="AE27" s="36" t="str">
        <f>IF(AND('Mapa riesgos'!$AD$22="Media",'Mapa riesgos'!$AF$22="Mayor"),CONCATENATE("R2C",'Mapa riesgos'!$T$22),"")</f>
        <v/>
      </c>
      <c r="AF27" s="36" t="str">
        <f>IF(AND('Mapa riesgos'!$AD$23="Media",'Mapa riesgos'!$AF$23="Mayor"),CONCATENATE("R2C",'Mapa riesgos'!$T$23),"")</f>
        <v/>
      </c>
      <c r="AG27" s="37" t="str">
        <f>IF(AND('Mapa riesgos'!$AD$24="Media",'Mapa riesgos'!$AF$24="Mayor"),CONCATENATE("R2C",'Mapa riesgos'!$T$24),"")</f>
        <v/>
      </c>
      <c r="AH27" s="38" t="str">
        <f>IF(AND('Mapa riesgos'!$AD$19="Media",'Mapa riesgos'!$AF$19="Catastrófico"),CONCATENATE("R2C",'Mapa riesgos'!$T$19),"")</f>
        <v/>
      </c>
      <c r="AI27" s="39" t="str">
        <f>IF(AND('Mapa riesgos'!$AD$20="Media",'Mapa riesgos'!$AF$20="Catastrófico"),CONCATENATE("R2C",'Mapa riesgos'!$T$20),"")</f>
        <v/>
      </c>
      <c r="AJ27" s="39" t="str">
        <f>IF(AND('Mapa riesgos'!$AD$21="Media",'Mapa riesgos'!$AF$21="Catastrófico"),CONCATENATE("R2C",'Mapa riesgos'!$T$21),"")</f>
        <v/>
      </c>
      <c r="AK27" s="39" t="str">
        <f>IF(AND('Mapa riesgos'!$AD$22="Media",'Mapa riesgos'!$AF$22="Catastrófico"),CONCATENATE("R2C",'Mapa riesgos'!$T$22),"")</f>
        <v/>
      </c>
      <c r="AL27" s="39" t="str">
        <f>IF(AND('Mapa riesgos'!$AD$23="Media",'Mapa riesgos'!$AF$23="Catastrófico"),CONCATENATE("R2C",'Mapa riesgos'!$T$23),"")</f>
        <v/>
      </c>
      <c r="AM27" s="40" t="str">
        <f>IF(AND('Mapa riesgos'!$AD$24="Media",'Mapa riesgos'!$AF$24="Catastrófico"),CONCATENATE("R2C",'Mapa riesgos'!$T$24),"")</f>
        <v/>
      </c>
      <c r="AN27" s="66"/>
      <c r="AO27" s="557"/>
      <c r="AP27" s="558"/>
      <c r="AQ27" s="558"/>
      <c r="AR27" s="558"/>
      <c r="AS27" s="558"/>
      <c r="AT27" s="559"/>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25">
      <c r="A28" s="66"/>
      <c r="B28" s="429"/>
      <c r="C28" s="429"/>
      <c r="D28" s="430"/>
      <c r="E28" s="528"/>
      <c r="F28" s="527"/>
      <c r="G28" s="527"/>
      <c r="H28" s="527"/>
      <c r="I28" s="543"/>
      <c r="J28" s="50" t="str">
        <f>IF(AND('Mapa riesgos'!$AD$25="Media",'Mapa riesgos'!$AF$25="Leve"),CONCATENATE("R3C",'Mapa riesgos'!$T$25),"")</f>
        <v/>
      </c>
      <c r="K28" s="51" t="str">
        <f>IF(AND('Mapa riesgos'!$AD$26="Media",'Mapa riesgos'!$AF$26="Leve"),CONCATENATE("R3C",'Mapa riesgos'!$T$26),"")</f>
        <v/>
      </c>
      <c r="L28" s="51" t="str">
        <f>IF(AND('Mapa riesgos'!$AD$27="Media",'Mapa riesgos'!$AF$27="Leve"),CONCATENATE("R3C",'Mapa riesgos'!$T$27),"")</f>
        <v/>
      </c>
      <c r="M28" s="51" t="str">
        <f>IF(AND('Mapa riesgos'!$AD$28="Media",'Mapa riesgos'!$AF$28="Leve"),CONCATENATE("R3C",'Mapa riesgos'!$T$28),"")</f>
        <v/>
      </c>
      <c r="N28" s="51" t="str">
        <f>IF(AND('Mapa riesgos'!$AD$29="Media",'Mapa riesgos'!$AF$29="Leve"),CONCATENATE("R3C",'Mapa riesgos'!$T$29),"")</f>
        <v/>
      </c>
      <c r="O28" s="52" t="str">
        <f>IF(AND('Mapa riesgos'!$AD$30="Media",'Mapa riesgos'!$AF$30="Leve"),CONCATENATE("R3C",'Mapa riesgos'!$T$30),"")</f>
        <v/>
      </c>
      <c r="P28" s="50" t="str">
        <f>IF(AND('Mapa riesgos'!$AD$25="Media",'Mapa riesgos'!$AF$25="Menor"),CONCATENATE("R3C",'Mapa riesgos'!$T$25),"")</f>
        <v/>
      </c>
      <c r="Q28" s="51" t="str">
        <f>IF(AND('Mapa riesgos'!$AD$26="Media",'Mapa riesgos'!$AF$26="Menor"),CONCATENATE("R3C",'Mapa riesgos'!$T$26),"")</f>
        <v/>
      </c>
      <c r="R28" s="51" t="str">
        <f>IF(AND('Mapa riesgos'!$AD$27="Media",'Mapa riesgos'!$AF$27="Menor"),CONCATENATE("R3C",'Mapa riesgos'!$T$27),"")</f>
        <v/>
      </c>
      <c r="S28" s="51" t="str">
        <f>IF(AND('Mapa riesgos'!$AD$28="Media",'Mapa riesgos'!$AF$28="Menor"),CONCATENATE("R3C",'Mapa riesgos'!$T$28),"")</f>
        <v/>
      </c>
      <c r="T28" s="51" t="str">
        <f>IF(AND('Mapa riesgos'!$AD$29="Media",'Mapa riesgos'!$AF$29="Menor"),CONCATENATE("R3C",'Mapa riesgos'!$T$29),"")</f>
        <v/>
      </c>
      <c r="U28" s="52" t="str">
        <f>IF(AND('Mapa riesgos'!$AD$30="Media",'Mapa riesgos'!$AF$30="Menor"),CONCATENATE("R3C",'Mapa riesgos'!$T$30),"")</f>
        <v/>
      </c>
      <c r="V28" s="50" t="str">
        <f>IF(AND('Mapa riesgos'!$AD$25="Media",'Mapa riesgos'!$AF$25="Moderado"),CONCATENATE("R3C",'Mapa riesgos'!$T$25),"")</f>
        <v>R3C1</v>
      </c>
      <c r="W28" s="51" t="str">
        <f>IF(AND('Mapa riesgos'!$AD$26="Media",'Mapa riesgos'!$AF$26="Moderado"),CONCATENATE("R3C",'Mapa riesgos'!$T$26),"")</f>
        <v/>
      </c>
      <c r="X28" s="51" t="str">
        <f>IF(AND('Mapa riesgos'!$AD$27="Media",'Mapa riesgos'!$AF$27="Moderado"),CONCATENATE("R3C",'Mapa riesgos'!$T$27),"")</f>
        <v/>
      </c>
      <c r="Y28" s="51" t="str">
        <f>IF(AND('Mapa riesgos'!$AD$28="Media",'Mapa riesgos'!$AF$28="Moderado"),CONCATENATE("R3C",'Mapa riesgos'!$T$28),"")</f>
        <v/>
      </c>
      <c r="Z28" s="51" t="str">
        <f>IF(AND('Mapa riesgos'!$AD$29="Media",'Mapa riesgos'!$AF$29="Moderado"),CONCATENATE("R3C",'Mapa riesgos'!$T$29),"")</f>
        <v/>
      </c>
      <c r="AA28" s="52" t="str">
        <f>IF(AND('Mapa riesgos'!$AD$30="Media",'Mapa riesgos'!$AF$30="Moderado"),CONCATENATE("R3C",'Mapa riesgos'!$T$30),"")</f>
        <v/>
      </c>
      <c r="AB28" s="35" t="str">
        <f>IF(AND('Mapa riesgos'!$AD$25="Media",'Mapa riesgos'!$AF$25="Mayor"),CONCATENATE("R3C",'Mapa riesgos'!$T$25),"")</f>
        <v/>
      </c>
      <c r="AC28" s="36" t="str">
        <f>IF(AND('Mapa riesgos'!$AD$26="Media",'Mapa riesgos'!$AF$26="Mayor"),CONCATENATE("R3C",'Mapa riesgos'!$T$26),"")</f>
        <v/>
      </c>
      <c r="AD28" s="36" t="str">
        <f>IF(AND('Mapa riesgos'!$AD$27="Media",'Mapa riesgos'!$AF$27="Mayor"),CONCATENATE("R3C",'Mapa riesgos'!$T$27),"")</f>
        <v/>
      </c>
      <c r="AE28" s="36" t="str">
        <f>IF(AND('Mapa riesgos'!$AD$28="Media",'Mapa riesgos'!$AF$28="Mayor"),CONCATENATE("R3C",'Mapa riesgos'!$T$28),"")</f>
        <v/>
      </c>
      <c r="AF28" s="36" t="str">
        <f>IF(AND('Mapa riesgos'!$AD$29="Media",'Mapa riesgos'!$AF$29="Mayor"),CONCATENATE("R3C",'Mapa riesgos'!$T$29),"")</f>
        <v/>
      </c>
      <c r="AG28" s="37" t="str">
        <f>IF(AND('Mapa riesgos'!$AD$30="Media",'Mapa riesgos'!$AF$30="Mayor"),CONCATENATE("R3C",'Mapa riesgos'!$T$30),"")</f>
        <v/>
      </c>
      <c r="AH28" s="38" t="str">
        <f>IF(AND('Mapa riesgos'!$AD$25="Media",'Mapa riesgos'!$AF$25="Catastrófico"),CONCATENATE("R3C",'Mapa riesgos'!$T$25),"")</f>
        <v/>
      </c>
      <c r="AI28" s="39" t="str">
        <f>IF(AND('Mapa riesgos'!$AD$26="Media",'Mapa riesgos'!$AF$26="Catastrófico"),CONCATENATE("R3C",'Mapa riesgos'!$T$26),"")</f>
        <v/>
      </c>
      <c r="AJ28" s="39" t="str">
        <f>IF(AND('Mapa riesgos'!$AD$27="Media",'Mapa riesgos'!$AF$27="Catastrófico"),CONCATENATE("R3C",'Mapa riesgos'!$T$27),"")</f>
        <v/>
      </c>
      <c r="AK28" s="39" t="str">
        <f>IF(AND('Mapa riesgos'!$AD$28="Media",'Mapa riesgos'!$AF$28="Catastrófico"),CONCATENATE("R3C",'Mapa riesgos'!$T$28),"")</f>
        <v/>
      </c>
      <c r="AL28" s="39" t="str">
        <f>IF(AND('Mapa riesgos'!$AD$29="Media",'Mapa riesgos'!$AF$29="Catastrófico"),CONCATENATE("R3C",'Mapa riesgos'!$T$29),"")</f>
        <v/>
      </c>
      <c r="AM28" s="40" t="str">
        <f>IF(AND('Mapa riesgos'!$AD$30="Media",'Mapa riesgos'!$AF$30="Catastrófico"),CONCATENATE("R3C",'Mapa riesgos'!$T$30),"")</f>
        <v/>
      </c>
      <c r="AN28" s="66"/>
      <c r="AO28" s="557"/>
      <c r="AP28" s="558"/>
      <c r="AQ28" s="558"/>
      <c r="AR28" s="558"/>
      <c r="AS28" s="558"/>
      <c r="AT28" s="559"/>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25">
      <c r="A29" s="66"/>
      <c r="B29" s="429"/>
      <c r="C29" s="429"/>
      <c r="D29" s="430"/>
      <c r="E29" s="528"/>
      <c r="F29" s="527"/>
      <c r="G29" s="527"/>
      <c r="H29" s="527"/>
      <c r="I29" s="543"/>
      <c r="J29" s="50" t="str">
        <f>IF(AND('Mapa riesgos'!$AD$31="Media",'Mapa riesgos'!$AF$31="Leve"),CONCATENATE("R4C",'Mapa riesgos'!$T$31),"")</f>
        <v/>
      </c>
      <c r="K29" s="51" t="str">
        <f>IF(AND('Mapa riesgos'!$AD$32="Media",'Mapa riesgos'!$AF$32="Leve"),CONCATENATE("R4C",'Mapa riesgos'!$T$32),"")</f>
        <v/>
      </c>
      <c r="L29" s="51" t="str">
        <f>IF(AND('Mapa riesgos'!$AD$33="Media",'Mapa riesgos'!$AF$33="Leve"),CONCATENATE("R4C",'Mapa riesgos'!$T$33),"")</f>
        <v/>
      </c>
      <c r="M29" s="51" t="str">
        <f>IF(AND('Mapa riesgos'!$AD$34="Media",'Mapa riesgos'!$AF$34="Leve"),CONCATENATE("R4C",'Mapa riesgos'!$T$34),"")</f>
        <v/>
      </c>
      <c r="N29" s="51" t="str">
        <f>IF(AND('Mapa riesgos'!$AD$35="Media",'Mapa riesgos'!$AF$35="Leve"),CONCATENATE("R4C",'Mapa riesgos'!$T$35),"")</f>
        <v/>
      </c>
      <c r="O29" s="52" t="str">
        <f>IF(AND('Mapa riesgos'!$AD$36="Media",'Mapa riesgos'!$AF$36="Leve"),CONCATENATE("R4C",'Mapa riesgos'!$T$36),"")</f>
        <v/>
      </c>
      <c r="P29" s="50" t="str">
        <f>IF(AND('Mapa riesgos'!$AD$31="Media",'Mapa riesgos'!$AF$31="Menor"),CONCATENATE("R4C",'Mapa riesgos'!$T$31),"")</f>
        <v/>
      </c>
      <c r="Q29" s="51" t="str">
        <f>IF(AND('Mapa riesgos'!$AD$32="Media",'Mapa riesgos'!$AF$32="Menor"),CONCATENATE("R4C",'Mapa riesgos'!$T$32),"")</f>
        <v/>
      </c>
      <c r="R29" s="51" t="str">
        <f>IF(AND('Mapa riesgos'!$AD$33="Media",'Mapa riesgos'!$AF$33="Menor"),CONCATENATE("R4C",'Mapa riesgos'!$T$33),"")</f>
        <v/>
      </c>
      <c r="S29" s="51" t="str">
        <f>IF(AND('Mapa riesgos'!$AD$34="Media",'Mapa riesgos'!$AF$34="Menor"),CONCATENATE("R4C",'Mapa riesgos'!$T$34),"")</f>
        <v/>
      </c>
      <c r="T29" s="51" t="str">
        <f>IF(AND('Mapa riesgos'!$AD$35="Media",'Mapa riesgos'!$AF$35="Menor"),CONCATENATE("R4C",'Mapa riesgos'!$T$35),"")</f>
        <v/>
      </c>
      <c r="U29" s="52" t="str">
        <f>IF(AND('Mapa riesgos'!$AD$36="Media",'Mapa riesgos'!$AF$36="Menor"),CONCATENATE("R4C",'Mapa riesgos'!$T$36),"")</f>
        <v/>
      </c>
      <c r="V29" s="50" t="str">
        <f>IF(AND('Mapa riesgos'!$AD$31="Media",'Mapa riesgos'!$AF$31="Moderado"),CONCATENATE("R4C",'Mapa riesgos'!$T$31),"")</f>
        <v/>
      </c>
      <c r="W29" s="51" t="str">
        <f>IF(AND('Mapa riesgos'!$AD$32="Media",'Mapa riesgos'!$AF$32="Moderado"),CONCATENATE("R4C",'Mapa riesgos'!$T$32),"")</f>
        <v/>
      </c>
      <c r="X29" s="51" t="str">
        <f>IF(AND('Mapa riesgos'!$AD$33="Media",'Mapa riesgos'!$AF$33="Moderado"),CONCATENATE("R4C",'Mapa riesgos'!$T$33),"")</f>
        <v/>
      </c>
      <c r="Y29" s="51" t="str">
        <f>IF(AND('Mapa riesgos'!$AD$34="Media",'Mapa riesgos'!$AF$34="Moderado"),CONCATENATE("R4C",'Mapa riesgos'!$T$34),"")</f>
        <v/>
      </c>
      <c r="Z29" s="51" t="str">
        <f>IF(AND('Mapa riesgos'!$AD$35="Media",'Mapa riesgos'!$AF$35="Moderado"),CONCATENATE("R4C",'Mapa riesgos'!$T$35),"")</f>
        <v/>
      </c>
      <c r="AA29" s="52" t="str">
        <f>IF(AND('Mapa riesgos'!$AD$36="Media",'Mapa riesgos'!$AF$36="Moderado"),CONCATENATE("R4C",'Mapa riesgos'!$T$36),"")</f>
        <v/>
      </c>
      <c r="AB29" s="35" t="str">
        <f>IF(AND('Mapa riesgos'!$AD$31="Media",'Mapa riesgos'!$AF$31="Mayor"),CONCATENATE("R4C",'Mapa riesgos'!$T$31),"")</f>
        <v/>
      </c>
      <c r="AC29" s="36" t="str">
        <f>IF(AND('Mapa riesgos'!$AD$32="Media",'Mapa riesgos'!$AF$32="Mayor"),CONCATENATE("R4C",'Mapa riesgos'!$T$32),"")</f>
        <v/>
      </c>
      <c r="AD29" s="36" t="str">
        <f>IF(AND('Mapa riesgos'!$AD$33="Media",'Mapa riesgos'!$AF$33="Mayor"),CONCATENATE("R4C",'Mapa riesgos'!$T$33),"")</f>
        <v/>
      </c>
      <c r="AE29" s="36" t="str">
        <f>IF(AND('Mapa riesgos'!$AD$34="Media",'Mapa riesgos'!$AF$34="Mayor"),CONCATENATE("R4C",'Mapa riesgos'!$T$34),"")</f>
        <v/>
      </c>
      <c r="AF29" s="36" t="str">
        <f>IF(AND('Mapa riesgos'!$AD$35="Media",'Mapa riesgos'!$AF$35="Mayor"),CONCATENATE("R4C",'Mapa riesgos'!$T$35),"")</f>
        <v/>
      </c>
      <c r="AG29" s="37" t="str">
        <f>IF(AND('Mapa riesgos'!$AD$36="Media",'Mapa riesgos'!$AF$36="Mayor"),CONCATENATE("R4C",'Mapa riesgos'!$T$36),"")</f>
        <v/>
      </c>
      <c r="AH29" s="38" t="str">
        <f>IF(AND('Mapa riesgos'!$AD$31="Media",'Mapa riesgos'!$AF$31="Catastrófico"),CONCATENATE("R4C",'Mapa riesgos'!$T$31),"")</f>
        <v/>
      </c>
      <c r="AI29" s="39" t="str">
        <f>IF(AND('Mapa riesgos'!$AD$32="Media",'Mapa riesgos'!$AF$32="Catastrófico"),CONCATENATE("R4C",'Mapa riesgos'!$T$32),"")</f>
        <v/>
      </c>
      <c r="AJ29" s="39" t="str">
        <f>IF(AND('Mapa riesgos'!$AD$33="Media",'Mapa riesgos'!$AF$33="Catastrófico"),CONCATENATE("R4C",'Mapa riesgos'!$T$33),"")</f>
        <v/>
      </c>
      <c r="AK29" s="39" t="str">
        <f>IF(AND('Mapa riesgos'!$AD$34="Media",'Mapa riesgos'!$AF$34="Catastrófico"),CONCATENATE("R4C",'Mapa riesgos'!$T$34),"")</f>
        <v/>
      </c>
      <c r="AL29" s="39" t="str">
        <f>IF(AND('Mapa riesgos'!$AD$35="Media",'Mapa riesgos'!$AF$35="Catastrófico"),CONCATENATE("R4C",'Mapa riesgos'!$T$35),"")</f>
        <v/>
      </c>
      <c r="AM29" s="40" t="str">
        <f>IF(AND('Mapa riesgos'!$AD$36="Media",'Mapa riesgos'!$AF$36="Catastrófico"),CONCATENATE("R4C",'Mapa riesgos'!$T$36),"")</f>
        <v/>
      </c>
      <c r="AN29" s="66"/>
      <c r="AO29" s="557"/>
      <c r="AP29" s="558"/>
      <c r="AQ29" s="558"/>
      <c r="AR29" s="558"/>
      <c r="AS29" s="558"/>
      <c r="AT29" s="559"/>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25">
      <c r="A30" s="66"/>
      <c r="B30" s="429"/>
      <c r="C30" s="429"/>
      <c r="D30" s="430"/>
      <c r="E30" s="528"/>
      <c r="F30" s="527"/>
      <c r="G30" s="527"/>
      <c r="H30" s="527"/>
      <c r="I30" s="543"/>
      <c r="J30" s="50" t="str">
        <f>IF(AND('Mapa riesgos'!$AD$37="Media",'Mapa riesgos'!$AF$37="Leve"),CONCATENATE("R5C",'Mapa riesgos'!$T$37),"")</f>
        <v/>
      </c>
      <c r="K30" s="51" t="str">
        <f>IF(AND('Mapa riesgos'!$AD$38="Media",'Mapa riesgos'!$AF$38="Leve"),CONCATENATE("R5C",'Mapa riesgos'!$T$38),"")</f>
        <v/>
      </c>
      <c r="L30" s="51" t="str">
        <f>IF(AND('Mapa riesgos'!$AD$39="Media",'Mapa riesgos'!$AF$39="Leve"),CONCATENATE("R5C",'Mapa riesgos'!$T$39),"")</f>
        <v/>
      </c>
      <c r="M30" s="51" t="str">
        <f>IF(AND('Mapa riesgos'!$AD$40="Media",'Mapa riesgos'!$AF$40="Leve"),CONCATENATE("R5C",'Mapa riesgos'!$T$40),"")</f>
        <v/>
      </c>
      <c r="N30" s="51" t="str">
        <f>IF(AND('Mapa riesgos'!$AD$41="Media",'Mapa riesgos'!$AF$41="Leve"),CONCATENATE("R5C",'Mapa riesgos'!$T$41),"")</f>
        <v/>
      </c>
      <c r="O30" s="52" t="str">
        <f>IF(AND('Mapa riesgos'!$AD$42="Media",'Mapa riesgos'!$AF$42="Leve"),CONCATENATE("R5C",'Mapa riesgos'!$T$42),"")</f>
        <v/>
      </c>
      <c r="P30" s="50" t="str">
        <f>IF(AND('Mapa riesgos'!$AD$37="Media",'Mapa riesgos'!$AF$37="Menor"),CONCATENATE("R5C",'Mapa riesgos'!$T$37),"")</f>
        <v/>
      </c>
      <c r="Q30" s="51" t="str">
        <f>IF(AND('Mapa riesgos'!$AD$38="Media",'Mapa riesgos'!$AF$38="Menor"),CONCATENATE("R5C",'Mapa riesgos'!$T$38),"")</f>
        <v/>
      </c>
      <c r="R30" s="51" t="str">
        <f>IF(AND('Mapa riesgos'!$AD$39="Media",'Mapa riesgos'!$AF$39="Menor"),CONCATENATE("R5C",'Mapa riesgos'!$T$39),"")</f>
        <v/>
      </c>
      <c r="S30" s="51" t="str">
        <f>IF(AND('Mapa riesgos'!$AD$40="Media",'Mapa riesgos'!$AF$40="Menor"),CONCATENATE("R5C",'Mapa riesgos'!$T$40),"")</f>
        <v/>
      </c>
      <c r="T30" s="51" t="str">
        <f>IF(AND('Mapa riesgos'!$AD$41="Media",'Mapa riesgos'!$AF$41="Menor"),CONCATENATE("R5C",'Mapa riesgos'!$T$41),"")</f>
        <v/>
      </c>
      <c r="U30" s="52" t="str">
        <f>IF(AND('Mapa riesgos'!$AD$42="Media",'Mapa riesgos'!$AF$42="Menor"),CONCATENATE("R5C",'Mapa riesgos'!$T$42),"")</f>
        <v/>
      </c>
      <c r="V30" s="50" t="str">
        <f>IF(AND('Mapa riesgos'!$AD$37="Media",'Mapa riesgos'!$AF$37="Moderado"),CONCATENATE("R5C",'Mapa riesgos'!$T$37),"")</f>
        <v/>
      </c>
      <c r="W30" s="51" t="str">
        <f>IF(AND('Mapa riesgos'!$AD$38="Media",'Mapa riesgos'!$AF$38="Moderado"),CONCATENATE("R5C",'Mapa riesgos'!$T$38),"")</f>
        <v/>
      </c>
      <c r="X30" s="51" t="str">
        <f>IF(AND('Mapa riesgos'!$AD$39="Media",'Mapa riesgos'!$AF$39="Moderado"),CONCATENATE("R5C",'Mapa riesgos'!$T$39),"")</f>
        <v/>
      </c>
      <c r="Y30" s="51" t="str">
        <f>IF(AND('Mapa riesgos'!$AD$40="Media",'Mapa riesgos'!$AF$40="Moderado"),CONCATENATE("R5C",'Mapa riesgos'!$T$40),"")</f>
        <v/>
      </c>
      <c r="Z30" s="51" t="str">
        <f>IF(AND('Mapa riesgos'!$AD$41="Media",'Mapa riesgos'!$AF$41="Moderado"),CONCATENATE("R5C",'Mapa riesgos'!$T$41),"")</f>
        <v/>
      </c>
      <c r="AA30" s="52" t="str">
        <f>IF(AND('Mapa riesgos'!$AD$42="Media",'Mapa riesgos'!$AF$42="Moderado"),CONCATENATE("R5C",'Mapa riesgos'!$T$42),"")</f>
        <v/>
      </c>
      <c r="AB30" s="35" t="str">
        <f>IF(AND('Mapa riesgos'!$AD$37="Media",'Mapa riesgos'!$AF$37="Mayor"),CONCATENATE("R5C",'Mapa riesgos'!$T$37),"")</f>
        <v/>
      </c>
      <c r="AC30" s="36" t="str">
        <f>IF(AND('Mapa riesgos'!$AD$38="Media",'Mapa riesgos'!$AF$38="Mayor"),CONCATENATE("R5C",'Mapa riesgos'!$T$38),"")</f>
        <v/>
      </c>
      <c r="AD30" s="36" t="str">
        <f>IF(AND('Mapa riesgos'!$AD$39="Media",'Mapa riesgos'!$AF$39="Mayor"),CONCATENATE("R5C",'Mapa riesgos'!$T$39),"")</f>
        <v/>
      </c>
      <c r="AE30" s="36" t="str">
        <f>IF(AND('Mapa riesgos'!$AD$40="Media",'Mapa riesgos'!$AF$40="Mayor"),CONCATENATE("R5C",'Mapa riesgos'!$T$40),"")</f>
        <v/>
      </c>
      <c r="AF30" s="36" t="str">
        <f>IF(AND('Mapa riesgos'!$AD$41="Media",'Mapa riesgos'!$AF$41="Mayor"),CONCATENATE("R5C",'Mapa riesgos'!$T$41),"")</f>
        <v/>
      </c>
      <c r="AG30" s="37" t="str">
        <f>IF(AND('Mapa riesgos'!$AD$42="Media",'Mapa riesgos'!$AF$42="Mayor"),CONCATENATE("R5C",'Mapa riesgos'!$T$42),"")</f>
        <v/>
      </c>
      <c r="AH30" s="38" t="str">
        <f>IF(AND('Mapa riesgos'!$AD$37="Media",'Mapa riesgos'!$AF$37="Catastrófico"),CONCATENATE("R5C",'Mapa riesgos'!$T$37),"")</f>
        <v/>
      </c>
      <c r="AI30" s="39" t="str">
        <f>IF(AND('Mapa riesgos'!$AD$38="Media",'Mapa riesgos'!$AF$38="Catastrófico"),CONCATENATE("R5C",'Mapa riesgos'!$T$38),"")</f>
        <v/>
      </c>
      <c r="AJ30" s="39" t="str">
        <f>IF(AND('Mapa riesgos'!$AD$39="Media",'Mapa riesgos'!$AF$39="Catastrófico"),CONCATENATE("R5C",'Mapa riesgos'!$T$39),"")</f>
        <v/>
      </c>
      <c r="AK30" s="39" t="str">
        <f>IF(AND('Mapa riesgos'!$AD$40="Media",'Mapa riesgos'!$AF$40="Catastrófico"),CONCATENATE("R5C",'Mapa riesgos'!$T$40),"")</f>
        <v/>
      </c>
      <c r="AL30" s="39" t="str">
        <f>IF(AND('Mapa riesgos'!$AD$41="Media",'Mapa riesgos'!$AF$41="Catastrófico"),CONCATENATE("R5C",'Mapa riesgos'!$T$41),"")</f>
        <v/>
      </c>
      <c r="AM30" s="40" t="str">
        <f>IF(AND('Mapa riesgos'!$AD$42="Media",'Mapa riesgos'!$AF$42="Catastrófico"),CONCATENATE("R5C",'Mapa riesgos'!$T$42),"")</f>
        <v/>
      </c>
      <c r="AN30" s="66"/>
      <c r="AO30" s="557"/>
      <c r="AP30" s="558"/>
      <c r="AQ30" s="558"/>
      <c r="AR30" s="558"/>
      <c r="AS30" s="558"/>
      <c r="AT30" s="559"/>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25">
      <c r="A31" s="66"/>
      <c r="B31" s="429"/>
      <c r="C31" s="429"/>
      <c r="D31" s="430"/>
      <c r="E31" s="528"/>
      <c r="F31" s="527"/>
      <c r="G31" s="527"/>
      <c r="H31" s="527"/>
      <c r="I31" s="543"/>
      <c r="J31" s="50" t="str">
        <f>IF(AND('Mapa riesgos'!$AD$43="Media",'Mapa riesgos'!$AF$43="Leve"),CONCATENATE("R6C",'Mapa riesgos'!$T$43),"")</f>
        <v/>
      </c>
      <c r="K31" s="51" t="str">
        <f>IF(AND('Mapa riesgos'!$AD$44="Media",'Mapa riesgos'!$AF$44="Leve"),CONCATENATE("R6C",'Mapa riesgos'!$T$44),"")</f>
        <v/>
      </c>
      <c r="L31" s="51" t="str">
        <f>IF(AND('Mapa riesgos'!$AD$45="Media",'Mapa riesgos'!$AF$45="Leve"),CONCATENATE("R6C",'Mapa riesgos'!$T$45),"")</f>
        <v/>
      </c>
      <c r="M31" s="51" t="str">
        <f>IF(AND('Mapa riesgos'!$AD$46="Media",'Mapa riesgos'!$AF$46="Leve"),CONCATENATE("R6C",'Mapa riesgos'!$T$46),"")</f>
        <v/>
      </c>
      <c r="N31" s="51" t="str">
        <f>IF(AND('Mapa riesgos'!$AD$47="Media",'Mapa riesgos'!$AF$47="Leve"),CONCATENATE("R6C",'Mapa riesgos'!$T$47),"")</f>
        <v/>
      </c>
      <c r="O31" s="52" t="str">
        <f>IF(AND('Mapa riesgos'!$AD$48="Media",'Mapa riesgos'!$AF$48="Leve"),CONCATENATE("R6C",'Mapa riesgos'!$T$48),"")</f>
        <v/>
      </c>
      <c r="P31" s="50" t="str">
        <f>IF(AND('Mapa riesgos'!$AD$43="Media",'Mapa riesgos'!$AF$43="Menor"),CONCATENATE("R6C",'Mapa riesgos'!$T$43),"")</f>
        <v/>
      </c>
      <c r="Q31" s="51" t="str">
        <f>IF(AND('Mapa riesgos'!$AD$44="Media",'Mapa riesgos'!$AF$44="Menor"),CONCATENATE("R6C",'Mapa riesgos'!$T$44),"")</f>
        <v/>
      </c>
      <c r="R31" s="51" t="str">
        <f>IF(AND('Mapa riesgos'!$AD$45="Media",'Mapa riesgos'!$AF$45="Menor"),CONCATENATE("R6C",'Mapa riesgos'!$T$45),"")</f>
        <v/>
      </c>
      <c r="S31" s="51" t="str">
        <f>IF(AND('Mapa riesgos'!$AD$46="Media",'Mapa riesgos'!$AF$46="Menor"),CONCATENATE("R6C",'Mapa riesgos'!$T$46),"")</f>
        <v/>
      </c>
      <c r="T31" s="51" t="str">
        <f>IF(AND('Mapa riesgos'!$AD$47="Media",'Mapa riesgos'!$AF$47="Menor"),CONCATENATE("R6C",'Mapa riesgos'!$T$47),"")</f>
        <v/>
      </c>
      <c r="U31" s="52" t="str">
        <f>IF(AND('Mapa riesgos'!$AD$48="Media",'Mapa riesgos'!$AF$48="Menor"),CONCATENATE("R6C",'Mapa riesgos'!$T$48),"")</f>
        <v/>
      </c>
      <c r="V31" s="50" t="str">
        <f>IF(AND('Mapa riesgos'!$AD$43="Media",'Mapa riesgos'!$AF$43="Moderado"),CONCATENATE("R6C",'Mapa riesgos'!$T$43),"")</f>
        <v/>
      </c>
      <c r="W31" s="51" t="str">
        <f>IF(AND('Mapa riesgos'!$AD$44="Media",'Mapa riesgos'!$AF$44="Moderado"),CONCATENATE("R6C",'Mapa riesgos'!$T$44),"")</f>
        <v/>
      </c>
      <c r="X31" s="51" t="str">
        <f>IF(AND('Mapa riesgos'!$AD$45="Media",'Mapa riesgos'!$AF$45="Moderado"),CONCATENATE("R6C",'Mapa riesgos'!$T$45),"")</f>
        <v/>
      </c>
      <c r="Y31" s="51" t="str">
        <f>IF(AND('Mapa riesgos'!$AD$46="Media",'Mapa riesgos'!$AF$46="Moderado"),CONCATENATE("R6C",'Mapa riesgos'!$T$46),"")</f>
        <v/>
      </c>
      <c r="Z31" s="51" t="str">
        <f>IF(AND('Mapa riesgos'!$AD$47="Media",'Mapa riesgos'!$AF$47="Moderado"),CONCATENATE("R6C",'Mapa riesgos'!$T$47),"")</f>
        <v/>
      </c>
      <c r="AA31" s="52" t="str">
        <f>IF(AND('Mapa riesgos'!$AD$48="Media",'Mapa riesgos'!$AF$48="Moderado"),CONCATENATE("R6C",'Mapa riesgos'!$T$48),"")</f>
        <v/>
      </c>
      <c r="AB31" s="35" t="str">
        <f>IF(AND('Mapa riesgos'!$AD$43="Media",'Mapa riesgos'!$AF$43="Mayor"),CONCATENATE("R6C",'Mapa riesgos'!$T$43),"")</f>
        <v/>
      </c>
      <c r="AC31" s="36" t="str">
        <f>IF(AND('Mapa riesgos'!$AD$44="Media",'Mapa riesgos'!$AF$44="Mayor"),CONCATENATE("R6C",'Mapa riesgos'!$T$44),"")</f>
        <v/>
      </c>
      <c r="AD31" s="36" t="str">
        <f>IF(AND('Mapa riesgos'!$AD$45="Media",'Mapa riesgos'!$AF$45="Mayor"),CONCATENATE("R6C",'Mapa riesgos'!$T$45),"")</f>
        <v/>
      </c>
      <c r="AE31" s="36" t="str">
        <f>IF(AND('Mapa riesgos'!$AD$46="Media",'Mapa riesgos'!$AF$46="Mayor"),CONCATENATE("R6C",'Mapa riesgos'!$T$46),"")</f>
        <v/>
      </c>
      <c r="AF31" s="36" t="str">
        <f>IF(AND('Mapa riesgos'!$AD$47="Media",'Mapa riesgos'!$AF$47="Mayor"),CONCATENATE("R6C",'Mapa riesgos'!$T$47),"")</f>
        <v/>
      </c>
      <c r="AG31" s="37" t="str">
        <f>IF(AND('Mapa riesgos'!$AD$48="Media",'Mapa riesgos'!$AF$48="Mayor"),CONCATENATE("R6C",'Mapa riesgos'!$T$48),"")</f>
        <v/>
      </c>
      <c r="AH31" s="38" t="str">
        <f>IF(AND('Mapa riesgos'!$AD$43="Media",'Mapa riesgos'!$AF$43="Catastrófico"),CONCATENATE("R6C",'Mapa riesgos'!$T$43),"")</f>
        <v/>
      </c>
      <c r="AI31" s="39" t="str">
        <f>IF(AND('Mapa riesgos'!$AD$44="Media",'Mapa riesgos'!$AF$44="Catastrófico"),CONCATENATE("R6C",'Mapa riesgos'!$T$44),"")</f>
        <v/>
      </c>
      <c r="AJ31" s="39" t="str">
        <f>IF(AND('Mapa riesgos'!$AD$45="Media",'Mapa riesgos'!$AF$45="Catastrófico"),CONCATENATE("R6C",'Mapa riesgos'!$T$45),"")</f>
        <v/>
      </c>
      <c r="AK31" s="39" t="str">
        <f>IF(AND('Mapa riesgos'!$AD$46="Media",'Mapa riesgos'!$AF$46="Catastrófico"),CONCATENATE("R6C",'Mapa riesgos'!$T$46),"")</f>
        <v/>
      </c>
      <c r="AL31" s="39" t="str">
        <f>IF(AND('Mapa riesgos'!$AD$47="Media",'Mapa riesgos'!$AF$47="Catastrófico"),CONCATENATE("R6C",'Mapa riesgos'!$T$47),"")</f>
        <v/>
      </c>
      <c r="AM31" s="40" t="str">
        <f>IF(AND('Mapa riesgos'!$AD$48="Media",'Mapa riesgos'!$AF$48="Catastrófico"),CONCATENATE("R6C",'Mapa riesgos'!$T$48),"")</f>
        <v/>
      </c>
      <c r="AN31" s="66"/>
      <c r="AO31" s="557"/>
      <c r="AP31" s="558"/>
      <c r="AQ31" s="558"/>
      <c r="AR31" s="558"/>
      <c r="AS31" s="558"/>
      <c r="AT31" s="559"/>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25">
      <c r="A32" s="66"/>
      <c r="B32" s="429"/>
      <c r="C32" s="429"/>
      <c r="D32" s="430"/>
      <c r="E32" s="528"/>
      <c r="F32" s="527"/>
      <c r="G32" s="527"/>
      <c r="H32" s="527"/>
      <c r="I32" s="543"/>
      <c r="J32" s="50" t="str">
        <f>IF(AND('Mapa riesgos'!$AD$49="Media",'Mapa riesgos'!$AF$49="Leve"),CONCATENATE("R7C",'Mapa riesgos'!$T$49),"")</f>
        <v/>
      </c>
      <c r="K32" s="51" t="str">
        <f>IF(AND('Mapa riesgos'!$AD$50="Media",'Mapa riesgos'!$AF$50="Leve"),CONCATENATE("R7C",'Mapa riesgos'!$T$50),"")</f>
        <v/>
      </c>
      <c r="L32" s="51" t="str">
        <f>IF(AND('Mapa riesgos'!$AD$51="Media",'Mapa riesgos'!$AF$51="Leve"),CONCATENATE("R7C",'Mapa riesgos'!$T$51),"")</f>
        <v/>
      </c>
      <c r="M32" s="51" t="str">
        <f>IF(AND('Mapa riesgos'!$AD$52="Media",'Mapa riesgos'!$AF$52="Leve"),CONCATENATE("R7C",'Mapa riesgos'!$T$52),"")</f>
        <v/>
      </c>
      <c r="N32" s="51" t="str">
        <f>IF(AND('Mapa riesgos'!$AD$53="Media",'Mapa riesgos'!$AF$53="Leve"),CONCATENATE("R7C",'Mapa riesgos'!$T$53),"")</f>
        <v/>
      </c>
      <c r="O32" s="52" t="str">
        <f>IF(AND('Mapa riesgos'!$AD$54="Media",'Mapa riesgos'!$AF$54="Leve"),CONCATENATE("R7C",'Mapa riesgos'!$T$54),"")</f>
        <v/>
      </c>
      <c r="P32" s="50" t="str">
        <f>IF(AND('Mapa riesgos'!$AD$49="Media",'Mapa riesgos'!$AF$49="Menor"),CONCATENATE("R7C",'Mapa riesgos'!$T$49),"")</f>
        <v/>
      </c>
      <c r="Q32" s="51" t="str">
        <f>IF(AND('Mapa riesgos'!$AD$50="Media",'Mapa riesgos'!$AF$50="Menor"),CONCATENATE("R7C",'Mapa riesgos'!$T$50),"")</f>
        <v/>
      </c>
      <c r="R32" s="51" t="str">
        <f>IF(AND('Mapa riesgos'!$AD$51="Media",'Mapa riesgos'!$AF$51="Menor"),CONCATENATE("R7C",'Mapa riesgos'!$T$51),"")</f>
        <v/>
      </c>
      <c r="S32" s="51" t="str">
        <f>IF(AND('Mapa riesgos'!$AD$52="Media",'Mapa riesgos'!$AF$52="Menor"),CONCATENATE("R7C",'Mapa riesgos'!$T$52),"")</f>
        <v/>
      </c>
      <c r="T32" s="51" t="str">
        <f>IF(AND('Mapa riesgos'!$AD$53="Media",'Mapa riesgos'!$AF$53="Menor"),CONCATENATE("R7C",'Mapa riesgos'!$T$53),"")</f>
        <v/>
      </c>
      <c r="U32" s="52" t="str">
        <f>IF(AND('Mapa riesgos'!$AD$54="Media",'Mapa riesgos'!$AF$54="Menor"),CONCATENATE("R7C",'Mapa riesgos'!$T$54),"")</f>
        <v/>
      </c>
      <c r="V32" s="50" t="str">
        <f>IF(AND('Mapa riesgos'!$AD$49="Media",'Mapa riesgos'!$AF$49="Moderado"),CONCATENATE("R7C",'Mapa riesgos'!$T$49),"")</f>
        <v/>
      </c>
      <c r="W32" s="51" t="str">
        <f>IF(AND('Mapa riesgos'!$AD$50="Media",'Mapa riesgos'!$AF$50="Moderado"),CONCATENATE("R7C",'Mapa riesgos'!$T$50),"")</f>
        <v/>
      </c>
      <c r="X32" s="51" t="str">
        <f>IF(AND('Mapa riesgos'!$AD$51="Media",'Mapa riesgos'!$AF$51="Moderado"),CONCATENATE("R7C",'Mapa riesgos'!$T$51),"")</f>
        <v/>
      </c>
      <c r="Y32" s="51" t="str">
        <f>IF(AND('Mapa riesgos'!$AD$52="Media",'Mapa riesgos'!$AF$52="Moderado"),CONCATENATE("R7C",'Mapa riesgos'!$T$52),"")</f>
        <v/>
      </c>
      <c r="Z32" s="51" t="str">
        <f>IF(AND('Mapa riesgos'!$AD$53="Media",'Mapa riesgos'!$AF$53="Moderado"),CONCATENATE("R7C",'Mapa riesgos'!$T$53),"")</f>
        <v/>
      </c>
      <c r="AA32" s="52" t="str">
        <f>IF(AND('Mapa riesgos'!$AD$54="Media",'Mapa riesgos'!$AF$54="Moderado"),CONCATENATE("R7C",'Mapa riesgos'!$T$54),"")</f>
        <v/>
      </c>
      <c r="AB32" s="35" t="str">
        <f>IF(AND('Mapa riesgos'!$AD$49="Media",'Mapa riesgos'!$AF$49="Mayor"),CONCATENATE("R7C",'Mapa riesgos'!$T$49),"")</f>
        <v/>
      </c>
      <c r="AC32" s="36" t="str">
        <f>IF(AND('Mapa riesgos'!$AD$50="Media",'Mapa riesgos'!$AF$50="Mayor"),CONCATENATE("R7C",'Mapa riesgos'!$T$50),"")</f>
        <v/>
      </c>
      <c r="AD32" s="36" t="str">
        <f>IF(AND('Mapa riesgos'!$AD$51="Media",'Mapa riesgos'!$AF$51="Mayor"),CONCATENATE("R7C",'Mapa riesgos'!$T$51),"")</f>
        <v/>
      </c>
      <c r="AE32" s="36" t="str">
        <f>IF(AND('Mapa riesgos'!$AD$52="Media",'Mapa riesgos'!$AF$52="Mayor"),CONCATENATE("R7C",'Mapa riesgos'!$T$52),"")</f>
        <v/>
      </c>
      <c r="AF32" s="36" t="str">
        <f>IF(AND('Mapa riesgos'!$AD$53="Media",'Mapa riesgos'!$AF$53="Mayor"),CONCATENATE("R7C",'Mapa riesgos'!$T$53),"")</f>
        <v/>
      </c>
      <c r="AG32" s="37" t="str">
        <f>IF(AND('Mapa riesgos'!$AD$54="Media",'Mapa riesgos'!$AF$54="Mayor"),CONCATENATE("R7C",'Mapa riesgos'!$T$54),"")</f>
        <v/>
      </c>
      <c r="AH32" s="38" t="str">
        <f>IF(AND('Mapa riesgos'!$AD$49="Media",'Mapa riesgos'!$AF$49="Catastrófico"),CONCATENATE("R7C",'Mapa riesgos'!$T$49),"")</f>
        <v/>
      </c>
      <c r="AI32" s="39" t="str">
        <f>IF(AND('Mapa riesgos'!$AD$50="Media",'Mapa riesgos'!$AF$50="Catastrófico"),CONCATENATE("R7C",'Mapa riesgos'!$T$50),"")</f>
        <v/>
      </c>
      <c r="AJ32" s="39" t="str">
        <f>IF(AND('Mapa riesgos'!$AD$51="Media",'Mapa riesgos'!$AF$51="Catastrófico"),CONCATENATE("R7C",'Mapa riesgos'!$T$51),"")</f>
        <v/>
      </c>
      <c r="AK32" s="39" t="str">
        <f>IF(AND('Mapa riesgos'!$AD$52="Media",'Mapa riesgos'!$AF$52="Catastrófico"),CONCATENATE("R7C",'Mapa riesgos'!$T$52),"")</f>
        <v/>
      </c>
      <c r="AL32" s="39" t="str">
        <f>IF(AND('Mapa riesgos'!$AD$53="Media",'Mapa riesgos'!$AF$53="Catastrófico"),CONCATENATE("R7C",'Mapa riesgos'!$T$53),"")</f>
        <v/>
      </c>
      <c r="AM32" s="40" t="str">
        <f>IF(AND('Mapa riesgos'!$AD$54="Media",'Mapa riesgos'!$AF$54="Catastrófico"),CONCATENATE("R7C",'Mapa riesgos'!$T$54),"")</f>
        <v/>
      </c>
      <c r="AN32" s="66"/>
      <c r="AO32" s="557"/>
      <c r="AP32" s="558"/>
      <c r="AQ32" s="558"/>
      <c r="AR32" s="558"/>
      <c r="AS32" s="558"/>
      <c r="AT32" s="559"/>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25">
      <c r="A33" s="66"/>
      <c r="B33" s="429"/>
      <c r="C33" s="429"/>
      <c r="D33" s="430"/>
      <c r="E33" s="528"/>
      <c r="F33" s="527"/>
      <c r="G33" s="527"/>
      <c r="H33" s="527"/>
      <c r="I33" s="543"/>
      <c r="J33" s="50" t="str">
        <f>IF(AND('Mapa riesgos'!$AD$55="Media",'Mapa riesgos'!$AF$55="Leve"),CONCATENATE("R8C",'Mapa riesgos'!$T$55),"")</f>
        <v/>
      </c>
      <c r="K33" s="51" t="str">
        <f>IF(AND('Mapa riesgos'!$AD$56="Media",'Mapa riesgos'!$AF$56="Leve"),CONCATENATE("R8C",'Mapa riesgos'!$T$56),"")</f>
        <v/>
      </c>
      <c r="L33" s="51" t="str">
        <f>IF(AND('Mapa riesgos'!$AD$57="Media",'Mapa riesgos'!$AF$57="Leve"),CONCATENATE("R8C",'Mapa riesgos'!$T$57),"")</f>
        <v/>
      </c>
      <c r="M33" s="51" t="str">
        <f>IF(AND('Mapa riesgos'!$AD$58="Media",'Mapa riesgos'!$AF$58="Leve"),CONCATENATE("R8C",'Mapa riesgos'!$T$58),"")</f>
        <v/>
      </c>
      <c r="N33" s="51" t="str">
        <f>IF(AND('Mapa riesgos'!$AD$59="Media",'Mapa riesgos'!$AF$59="Leve"),CONCATENATE("R8C",'Mapa riesgos'!$T$59),"")</f>
        <v/>
      </c>
      <c r="O33" s="52" t="str">
        <f>IF(AND('Mapa riesgos'!$AD$60="Media",'Mapa riesgos'!$AF$60="Leve"),CONCATENATE("R8C",'Mapa riesgos'!$T$60),"")</f>
        <v/>
      </c>
      <c r="P33" s="50" t="str">
        <f>IF(AND('Mapa riesgos'!$AD$55="Media",'Mapa riesgos'!$AF$55="Menor"),CONCATENATE("R8C",'Mapa riesgos'!$T$55),"")</f>
        <v/>
      </c>
      <c r="Q33" s="51" t="str">
        <f>IF(AND('Mapa riesgos'!$AD$56="Media",'Mapa riesgos'!$AF$56="Menor"),CONCATENATE("R8C",'Mapa riesgos'!$T$56),"")</f>
        <v/>
      </c>
      <c r="R33" s="51" t="str">
        <f>IF(AND('Mapa riesgos'!$AD$57="Media",'Mapa riesgos'!$AF$57="Menor"),CONCATENATE("R8C",'Mapa riesgos'!$T$57),"")</f>
        <v/>
      </c>
      <c r="S33" s="51" t="str">
        <f>IF(AND('Mapa riesgos'!$AD$58="Media",'Mapa riesgos'!$AF$58="Menor"),CONCATENATE("R8C",'Mapa riesgos'!$T$58),"")</f>
        <v/>
      </c>
      <c r="T33" s="51" t="str">
        <f>IF(AND('Mapa riesgos'!$AD$59="Media",'Mapa riesgos'!$AF$59="Menor"),CONCATENATE("R8C",'Mapa riesgos'!$T$59),"")</f>
        <v/>
      </c>
      <c r="U33" s="52" t="str">
        <f>IF(AND('Mapa riesgos'!$AD$60="Media",'Mapa riesgos'!$AF$60="Menor"),CONCATENATE("R8C",'Mapa riesgos'!$T$60),"")</f>
        <v/>
      </c>
      <c r="V33" s="50" t="str">
        <f>IF(AND('Mapa riesgos'!$AD$55="Media",'Mapa riesgos'!$AF$55="Moderado"),CONCATENATE("R8C",'Mapa riesgos'!$T$55),"")</f>
        <v/>
      </c>
      <c r="W33" s="51" t="str">
        <f>IF(AND('Mapa riesgos'!$AD$56="Media",'Mapa riesgos'!$AF$56="Moderado"),CONCATENATE("R8C",'Mapa riesgos'!$T$56),"")</f>
        <v/>
      </c>
      <c r="X33" s="51" t="str">
        <f>IF(AND('Mapa riesgos'!$AD$57="Media",'Mapa riesgos'!$AF$57="Moderado"),CONCATENATE("R8C",'Mapa riesgos'!$T$57),"")</f>
        <v/>
      </c>
      <c r="Y33" s="51" t="str">
        <f>IF(AND('Mapa riesgos'!$AD$58="Media",'Mapa riesgos'!$AF$58="Moderado"),CONCATENATE("R8C",'Mapa riesgos'!$T$58),"")</f>
        <v/>
      </c>
      <c r="Z33" s="51" t="str">
        <f>IF(AND('Mapa riesgos'!$AD$59="Media",'Mapa riesgos'!$AF$59="Moderado"),CONCATENATE("R8C",'Mapa riesgos'!$T$59),"")</f>
        <v/>
      </c>
      <c r="AA33" s="52" t="str">
        <f>IF(AND('Mapa riesgos'!$AD$60="Media",'Mapa riesgos'!$AF$60="Moderado"),CONCATENATE("R8C",'Mapa riesgos'!$T$60),"")</f>
        <v/>
      </c>
      <c r="AB33" s="35" t="str">
        <f>IF(AND('Mapa riesgos'!$AD$55="Media",'Mapa riesgos'!$AF$55="Mayor"),CONCATENATE("R8C",'Mapa riesgos'!$T$55),"")</f>
        <v/>
      </c>
      <c r="AC33" s="36" t="str">
        <f>IF(AND('Mapa riesgos'!$AD$56="Media",'Mapa riesgos'!$AF$56="Mayor"),CONCATENATE("R8C",'Mapa riesgos'!$T$56),"")</f>
        <v/>
      </c>
      <c r="AD33" s="36" t="str">
        <f>IF(AND('Mapa riesgos'!$AD$57="Media",'Mapa riesgos'!$AF$57="Mayor"),CONCATENATE("R8C",'Mapa riesgos'!$T$57),"")</f>
        <v/>
      </c>
      <c r="AE33" s="36" t="str">
        <f>IF(AND('Mapa riesgos'!$AD$58="Media",'Mapa riesgos'!$AF$58="Mayor"),CONCATENATE("R8C",'Mapa riesgos'!$T$58),"")</f>
        <v/>
      </c>
      <c r="AF33" s="36" t="str">
        <f>IF(AND('Mapa riesgos'!$AD$59="Media",'Mapa riesgos'!$AF$59="Mayor"),CONCATENATE("R8C",'Mapa riesgos'!$T$59),"")</f>
        <v/>
      </c>
      <c r="AG33" s="37" t="str">
        <f>IF(AND('Mapa riesgos'!$AD$60="Media",'Mapa riesgos'!$AF$60="Mayor"),CONCATENATE("R8C",'Mapa riesgos'!$T$60),"")</f>
        <v/>
      </c>
      <c r="AH33" s="38" t="str">
        <f>IF(AND('Mapa riesgos'!$AD$55="Media",'Mapa riesgos'!$AF$55="Catastrófico"),CONCATENATE("R8C",'Mapa riesgos'!$T$55),"")</f>
        <v/>
      </c>
      <c r="AI33" s="39" t="str">
        <f>IF(AND('Mapa riesgos'!$AD$56="Media",'Mapa riesgos'!$AF$56="Catastrófico"),CONCATENATE("R8C",'Mapa riesgos'!$T$56),"")</f>
        <v/>
      </c>
      <c r="AJ33" s="39" t="str">
        <f>IF(AND('Mapa riesgos'!$AD$57="Media",'Mapa riesgos'!$AF$57="Catastrófico"),CONCATENATE("R8C",'Mapa riesgos'!$T$57),"")</f>
        <v/>
      </c>
      <c r="AK33" s="39" t="str">
        <f>IF(AND('Mapa riesgos'!$AD$58="Media",'Mapa riesgos'!$AF$58="Catastrófico"),CONCATENATE("R8C",'Mapa riesgos'!$T$58),"")</f>
        <v/>
      </c>
      <c r="AL33" s="39" t="str">
        <f>IF(AND('Mapa riesgos'!$AD$59="Media",'Mapa riesgos'!$AF$59="Catastrófico"),CONCATENATE("R8C",'Mapa riesgos'!$T$59),"")</f>
        <v/>
      </c>
      <c r="AM33" s="40" t="str">
        <f>IF(AND('Mapa riesgos'!$AD$60="Media",'Mapa riesgos'!$AF$60="Catastrófico"),CONCATENATE("R8C",'Mapa riesgos'!$T$60),"")</f>
        <v/>
      </c>
      <c r="AN33" s="66"/>
      <c r="AO33" s="557"/>
      <c r="AP33" s="558"/>
      <c r="AQ33" s="558"/>
      <c r="AR33" s="558"/>
      <c r="AS33" s="558"/>
      <c r="AT33" s="559"/>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25">
      <c r="A34" s="66"/>
      <c r="B34" s="429"/>
      <c r="C34" s="429"/>
      <c r="D34" s="430"/>
      <c r="E34" s="528"/>
      <c r="F34" s="527"/>
      <c r="G34" s="527"/>
      <c r="H34" s="527"/>
      <c r="I34" s="543"/>
      <c r="J34" s="50" t="str">
        <f>IF(AND('Mapa riesgos'!$AD$61="Media",'Mapa riesgos'!$AF$61="Leve"),CONCATENATE("R9C",'Mapa riesgos'!$T$61),"")</f>
        <v/>
      </c>
      <c r="K34" s="51" t="str">
        <f>IF(AND('Mapa riesgos'!$AD$62="Media",'Mapa riesgos'!$AF$62="Leve"),CONCATENATE("R9C",'Mapa riesgos'!$T$62),"")</f>
        <v/>
      </c>
      <c r="L34" s="51" t="str">
        <f>IF(AND('Mapa riesgos'!$AD$63="Media",'Mapa riesgos'!$AF$63="Leve"),CONCATENATE("R9C",'Mapa riesgos'!$T$63),"")</f>
        <v/>
      </c>
      <c r="M34" s="51" t="str">
        <f>IF(AND('Mapa riesgos'!$AD$64="Media",'Mapa riesgos'!$AF$64="Leve"),CONCATENATE("R9C",'Mapa riesgos'!$T$64),"")</f>
        <v/>
      </c>
      <c r="N34" s="51" t="str">
        <f>IF(AND('Mapa riesgos'!$AD$65="Media",'Mapa riesgos'!$AF$65="Leve"),CONCATENATE("R9C",'Mapa riesgos'!$T$65),"")</f>
        <v/>
      </c>
      <c r="O34" s="52" t="str">
        <f>IF(AND('Mapa riesgos'!$AD$66="Media",'Mapa riesgos'!$AF$66="Leve"),CONCATENATE("R9C",'Mapa riesgos'!$T$66),"")</f>
        <v/>
      </c>
      <c r="P34" s="50" t="str">
        <f>IF(AND('Mapa riesgos'!$AD$61="Media",'Mapa riesgos'!$AF$61="Menor"),CONCATENATE("R9C",'Mapa riesgos'!$T$61),"")</f>
        <v/>
      </c>
      <c r="Q34" s="51" t="str">
        <f>IF(AND('Mapa riesgos'!$AD$62="Media",'Mapa riesgos'!$AF$62="Menor"),CONCATENATE("R9C",'Mapa riesgos'!$T$62),"")</f>
        <v/>
      </c>
      <c r="R34" s="51" t="str">
        <f>IF(AND('Mapa riesgos'!$AD$63="Media",'Mapa riesgos'!$AF$63="Menor"),CONCATENATE("R9C",'Mapa riesgos'!$T$63),"")</f>
        <v/>
      </c>
      <c r="S34" s="51" t="str">
        <f>IF(AND('Mapa riesgos'!$AD$64="Media",'Mapa riesgos'!$AF$64="Menor"),CONCATENATE("R9C",'Mapa riesgos'!$T$64),"")</f>
        <v/>
      </c>
      <c r="T34" s="51" t="str">
        <f>IF(AND('Mapa riesgos'!$AD$65="Media",'Mapa riesgos'!$AF$65="Menor"),CONCATENATE("R9C",'Mapa riesgos'!$T$65),"")</f>
        <v/>
      </c>
      <c r="U34" s="52" t="str">
        <f>IF(AND('Mapa riesgos'!$AD$66="Media",'Mapa riesgos'!$AF$66="Menor"),CONCATENATE("R9C",'Mapa riesgos'!$T$66),"")</f>
        <v/>
      </c>
      <c r="V34" s="50" t="str">
        <f>IF(AND('Mapa riesgos'!$AD$61="Media",'Mapa riesgos'!$AF$61="Moderado"),CONCATENATE("R9C",'Mapa riesgos'!$T$61),"")</f>
        <v/>
      </c>
      <c r="W34" s="51" t="str">
        <f>IF(AND('Mapa riesgos'!$AD$62="Media",'Mapa riesgos'!$AF$62="Moderado"),CONCATENATE("R9C",'Mapa riesgos'!$T$62),"")</f>
        <v/>
      </c>
      <c r="X34" s="51" t="str">
        <f>IF(AND('Mapa riesgos'!$AD$63="Media",'Mapa riesgos'!$AF$63="Moderado"),CONCATENATE("R9C",'Mapa riesgos'!$T$63),"")</f>
        <v/>
      </c>
      <c r="Y34" s="51" t="str">
        <f>IF(AND('Mapa riesgos'!$AD$64="Media",'Mapa riesgos'!$AF$64="Moderado"),CONCATENATE("R9C",'Mapa riesgos'!$T$64),"")</f>
        <v/>
      </c>
      <c r="Z34" s="51" t="str">
        <f>IF(AND('Mapa riesgos'!$AD$65="Media",'Mapa riesgos'!$AF$65="Moderado"),CONCATENATE("R9C",'Mapa riesgos'!$T$65),"")</f>
        <v/>
      </c>
      <c r="AA34" s="52" t="str">
        <f>IF(AND('Mapa riesgos'!$AD$66="Media",'Mapa riesgos'!$AF$66="Moderado"),CONCATENATE("R9C",'Mapa riesgos'!$T$66),"")</f>
        <v/>
      </c>
      <c r="AB34" s="35" t="str">
        <f>IF(AND('Mapa riesgos'!$AD$61="Media",'Mapa riesgos'!$AF$61="Mayor"),CONCATENATE("R9C",'Mapa riesgos'!$T$61),"")</f>
        <v/>
      </c>
      <c r="AC34" s="36" t="str">
        <f>IF(AND('Mapa riesgos'!$AD$62="Media",'Mapa riesgos'!$AF$62="Mayor"),CONCATENATE("R9C",'Mapa riesgos'!$T$62),"")</f>
        <v/>
      </c>
      <c r="AD34" s="36" t="str">
        <f>IF(AND('Mapa riesgos'!$AD$63="Media",'Mapa riesgos'!$AF$63="Mayor"),CONCATENATE("R9C",'Mapa riesgos'!$T$63),"")</f>
        <v/>
      </c>
      <c r="AE34" s="36" t="str">
        <f>IF(AND('Mapa riesgos'!$AD$64="Media",'Mapa riesgos'!$AF$64="Mayor"),CONCATENATE("R9C",'Mapa riesgos'!$T$64),"")</f>
        <v/>
      </c>
      <c r="AF34" s="36" t="str">
        <f>IF(AND('Mapa riesgos'!$AD$65="Media",'Mapa riesgos'!$AF$65="Mayor"),CONCATENATE("R9C",'Mapa riesgos'!$T$65),"")</f>
        <v/>
      </c>
      <c r="AG34" s="37" t="str">
        <f>IF(AND('Mapa riesgos'!$AD$66="Media",'Mapa riesgos'!$AF$66="Mayor"),CONCATENATE("R9C",'Mapa riesgos'!$T$66),"")</f>
        <v/>
      </c>
      <c r="AH34" s="38" t="str">
        <f>IF(AND('Mapa riesgos'!$AD$61="Media",'Mapa riesgos'!$AF$61="Catastrófico"),CONCATENATE("R9C",'Mapa riesgos'!$T$61),"")</f>
        <v/>
      </c>
      <c r="AI34" s="39" t="str">
        <f>IF(AND('Mapa riesgos'!$AD$62="Media",'Mapa riesgos'!$AF$62="Catastrófico"),CONCATENATE("R9C",'Mapa riesgos'!$T$62),"")</f>
        <v/>
      </c>
      <c r="AJ34" s="39" t="str">
        <f>IF(AND('Mapa riesgos'!$AD$63="Media",'Mapa riesgos'!$AF$63="Catastrófico"),CONCATENATE("R9C",'Mapa riesgos'!$T$63),"")</f>
        <v/>
      </c>
      <c r="AK34" s="39" t="str">
        <f>IF(AND('Mapa riesgos'!$AD$64="Media",'Mapa riesgos'!$AF$64="Catastrófico"),CONCATENATE("R9C",'Mapa riesgos'!$T$64),"")</f>
        <v/>
      </c>
      <c r="AL34" s="39" t="str">
        <f>IF(AND('Mapa riesgos'!$AD$65="Media",'Mapa riesgos'!$AF$65="Catastrófico"),CONCATENATE("R9C",'Mapa riesgos'!$T$65),"")</f>
        <v/>
      </c>
      <c r="AM34" s="40" t="str">
        <f>IF(AND('Mapa riesgos'!$AD$66="Media",'Mapa riesgos'!$AF$66="Catastrófico"),CONCATENATE("R9C",'Mapa riesgos'!$T$66),"")</f>
        <v/>
      </c>
      <c r="AN34" s="66"/>
      <c r="AO34" s="557"/>
      <c r="AP34" s="558"/>
      <c r="AQ34" s="558"/>
      <c r="AR34" s="558"/>
      <c r="AS34" s="558"/>
      <c r="AT34" s="559"/>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
      <c r="A35" s="66"/>
      <c r="B35" s="429"/>
      <c r="C35" s="429"/>
      <c r="D35" s="430"/>
      <c r="E35" s="529"/>
      <c r="F35" s="530"/>
      <c r="G35" s="530"/>
      <c r="H35" s="530"/>
      <c r="I35" s="544"/>
      <c r="J35" s="50" t="str">
        <f>IF(AND('Mapa riesgos'!$AD$67="Media",'Mapa riesgos'!$AF$67="Leve"),CONCATENATE("R10C",'Mapa riesgos'!$T$67),"")</f>
        <v/>
      </c>
      <c r="K35" s="51" t="str">
        <f>IF(AND('Mapa riesgos'!$AD$68="Media",'Mapa riesgos'!$AF$68="Leve"),CONCATENATE("R10C",'Mapa riesgos'!$T$68),"")</f>
        <v/>
      </c>
      <c r="L35" s="51" t="str">
        <f>IF(AND('Mapa riesgos'!$AD$69="Media",'Mapa riesgos'!$AF$69="Leve"),CONCATENATE("R10C",'Mapa riesgos'!$T$69),"")</f>
        <v/>
      </c>
      <c r="M35" s="51" t="str">
        <f>IF(AND('Mapa riesgos'!$AD$70="Media",'Mapa riesgos'!$AF$70="Leve"),CONCATENATE("R10C",'Mapa riesgos'!$T$70),"")</f>
        <v/>
      </c>
      <c r="N35" s="51" t="str">
        <f>IF(AND('Mapa riesgos'!$AD$71="Media",'Mapa riesgos'!$AF$71="Leve"),CONCATENATE("R10C",'Mapa riesgos'!$T$71),"")</f>
        <v/>
      </c>
      <c r="O35" s="52" t="str">
        <f>IF(AND('Mapa riesgos'!$AD$72="Media",'Mapa riesgos'!$AF$72="Leve"),CONCATENATE("R10C",'Mapa riesgos'!$T$72),"")</f>
        <v/>
      </c>
      <c r="P35" s="50" t="str">
        <f>IF(AND('Mapa riesgos'!$AD$67="Media",'Mapa riesgos'!$AF$67="Menor"),CONCATENATE("R10C",'Mapa riesgos'!$T$67),"")</f>
        <v/>
      </c>
      <c r="Q35" s="51" t="str">
        <f>IF(AND('Mapa riesgos'!$AD$68="Media",'Mapa riesgos'!$AF$68="Menor"),CONCATENATE("R10C",'Mapa riesgos'!$T$68),"")</f>
        <v/>
      </c>
      <c r="R35" s="51" t="str">
        <f>IF(AND('Mapa riesgos'!$AD$69="Media",'Mapa riesgos'!$AF$69="Menor"),CONCATENATE("R10C",'Mapa riesgos'!$T$69),"")</f>
        <v/>
      </c>
      <c r="S35" s="51" t="str">
        <f>IF(AND('Mapa riesgos'!$AD$70="Media",'Mapa riesgos'!$AF$70="Menor"),CONCATENATE("R10C",'Mapa riesgos'!$T$70),"")</f>
        <v/>
      </c>
      <c r="T35" s="51" t="str">
        <f>IF(AND('Mapa riesgos'!$AD$71="Media",'Mapa riesgos'!$AF$71="Menor"),CONCATENATE("R10C",'Mapa riesgos'!$T$71),"")</f>
        <v/>
      </c>
      <c r="U35" s="52" t="str">
        <f>IF(AND('Mapa riesgos'!$AD$72="Media",'Mapa riesgos'!$AF$72="Menor"),CONCATENATE("R10C",'Mapa riesgos'!$T$72),"")</f>
        <v/>
      </c>
      <c r="V35" s="50" t="str">
        <f>IF(AND('Mapa riesgos'!$AD$67="Media",'Mapa riesgos'!$AF$67="Moderado"),CONCATENATE("R10C",'Mapa riesgos'!$T$67),"")</f>
        <v/>
      </c>
      <c r="W35" s="51" t="str">
        <f>IF(AND('Mapa riesgos'!$AD$68="Media",'Mapa riesgos'!$AF$68="Moderado"),CONCATENATE("R10C",'Mapa riesgos'!$T$68),"")</f>
        <v/>
      </c>
      <c r="X35" s="51" t="str">
        <f>IF(AND('Mapa riesgos'!$AD$69="Media",'Mapa riesgos'!$AF$69="Moderado"),CONCATENATE("R10C",'Mapa riesgos'!$T$69),"")</f>
        <v/>
      </c>
      <c r="Y35" s="51" t="str">
        <f>IF(AND('Mapa riesgos'!$AD$70="Media",'Mapa riesgos'!$AF$70="Moderado"),CONCATENATE("R10C",'Mapa riesgos'!$T$70),"")</f>
        <v/>
      </c>
      <c r="Z35" s="51" t="str">
        <f>IF(AND('Mapa riesgos'!$AD$71="Media",'Mapa riesgos'!$AF$71="Moderado"),CONCATENATE("R10C",'Mapa riesgos'!$T$71),"")</f>
        <v/>
      </c>
      <c r="AA35" s="52" t="str">
        <f>IF(AND('Mapa riesgos'!$AD$72="Media",'Mapa riesgos'!$AF$72="Moderado"),CONCATENATE("R10C",'Mapa riesgos'!$T$72),"")</f>
        <v/>
      </c>
      <c r="AB35" s="41" t="str">
        <f>IF(AND('Mapa riesgos'!$AD$67="Media",'Mapa riesgos'!$AF$67="Mayor"),CONCATENATE("R10C",'Mapa riesgos'!$T$67),"")</f>
        <v/>
      </c>
      <c r="AC35" s="42" t="str">
        <f>IF(AND('Mapa riesgos'!$AD$68="Media",'Mapa riesgos'!$AF$68="Mayor"),CONCATENATE("R10C",'Mapa riesgos'!$T$68),"")</f>
        <v/>
      </c>
      <c r="AD35" s="42" t="str">
        <f>IF(AND('Mapa riesgos'!$AD$69="Media",'Mapa riesgos'!$AF$69="Mayor"),CONCATENATE("R10C",'Mapa riesgos'!$T$69),"")</f>
        <v/>
      </c>
      <c r="AE35" s="42" t="str">
        <f>IF(AND('Mapa riesgos'!$AD$70="Media",'Mapa riesgos'!$AF$70="Mayor"),CONCATENATE("R10C",'Mapa riesgos'!$T$70),"")</f>
        <v/>
      </c>
      <c r="AF35" s="42" t="str">
        <f>IF(AND('Mapa riesgos'!$AD$71="Media",'Mapa riesgos'!$AF$71="Mayor"),CONCATENATE("R10C",'Mapa riesgos'!$T$71),"")</f>
        <v/>
      </c>
      <c r="AG35" s="43" t="str">
        <f>IF(AND('Mapa riesgos'!$AD$72="Media",'Mapa riesgos'!$AF$72="Mayor"),CONCATENATE("R10C",'Mapa riesgos'!$T$72),"")</f>
        <v/>
      </c>
      <c r="AH35" s="44" t="str">
        <f>IF(AND('Mapa riesgos'!$AD$67="Media",'Mapa riesgos'!$AF$67="Catastrófico"),CONCATENATE("R10C",'Mapa riesgos'!$T$67),"")</f>
        <v/>
      </c>
      <c r="AI35" s="45" t="str">
        <f>IF(AND('Mapa riesgos'!$AD$68="Media",'Mapa riesgos'!$AF$68="Catastrófico"),CONCATENATE("R10C",'Mapa riesgos'!$T$68),"")</f>
        <v/>
      </c>
      <c r="AJ35" s="45" t="str">
        <f>IF(AND('Mapa riesgos'!$AD$69="Media",'Mapa riesgos'!$AF$69="Catastrófico"),CONCATENATE("R10C",'Mapa riesgos'!$T$69),"")</f>
        <v/>
      </c>
      <c r="AK35" s="45" t="str">
        <f>IF(AND('Mapa riesgos'!$AD$70="Media",'Mapa riesgos'!$AF$70="Catastrófico"),CONCATENATE("R10C",'Mapa riesgos'!$T$70),"")</f>
        <v/>
      </c>
      <c r="AL35" s="45" t="str">
        <f>IF(AND('Mapa riesgos'!$AD$71="Media",'Mapa riesgos'!$AF$71="Catastrófico"),CONCATENATE("R10C",'Mapa riesgos'!$T$71),"")</f>
        <v/>
      </c>
      <c r="AM35" s="46" t="str">
        <f>IF(AND('Mapa riesgos'!$AD$72="Media",'Mapa riesgos'!$AF$72="Catastrófico"),CONCATENATE("R10C",'Mapa riesgos'!$T$72),"")</f>
        <v/>
      </c>
      <c r="AN35" s="66"/>
      <c r="AO35" s="560"/>
      <c r="AP35" s="561"/>
      <c r="AQ35" s="561"/>
      <c r="AR35" s="561"/>
      <c r="AS35" s="561"/>
      <c r="AT35" s="562"/>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25">
      <c r="A36" s="66"/>
      <c r="B36" s="429"/>
      <c r="C36" s="429"/>
      <c r="D36" s="430"/>
      <c r="E36" s="524" t="s">
        <v>183</v>
      </c>
      <c r="F36" s="525"/>
      <c r="G36" s="525"/>
      <c r="H36" s="525"/>
      <c r="I36" s="525"/>
      <c r="J36" s="56" t="str">
        <f>IF(AND('Mapa riesgos'!$AD$13="Baja",'Mapa riesgos'!$AF$13="Leve"),CONCATENATE("R1C",'Mapa riesgos'!$T$13),"")</f>
        <v/>
      </c>
      <c r="K36" s="57" t="str">
        <f>IF(AND('Mapa riesgos'!$AD$14="Baja",'Mapa riesgos'!$AF$14="Leve"),CONCATENATE("R1C",'Mapa riesgos'!$T$14),"")</f>
        <v/>
      </c>
      <c r="L36" s="57" t="str">
        <f>IF(AND('Mapa riesgos'!$AD$15="Baja",'Mapa riesgos'!$AF$15="Leve"),CONCATENATE("R1C",'Mapa riesgos'!$T$15),"")</f>
        <v/>
      </c>
      <c r="M36" s="57" t="str">
        <f>IF(AND('Mapa riesgos'!$AD$16="Baja",'Mapa riesgos'!$AF$16="Leve"),CONCATENATE("R1C",'Mapa riesgos'!$T$16),"")</f>
        <v/>
      </c>
      <c r="N36" s="57" t="str">
        <f>IF(AND('Mapa riesgos'!$AD$17="Baja",'Mapa riesgos'!$AF$17="Leve"),CONCATENATE("R1C",'Mapa riesgos'!$T$17),"")</f>
        <v/>
      </c>
      <c r="O36" s="58" t="str">
        <f>IF(AND('Mapa riesgos'!$AD$18="Baja",'Mapa riesgos'!$AF$18="Leve"),CONCATENATE("R1C",'Mapa riesgos'!$T$18),"")</f>
        <v/>
      </c>
      <c r="P36" s="47" t="str">
        <f>IF(AND('Mapa riesgos'!$AD$13="Baja",'Mapa riesgos'!$AF$13="Menor"),CONCATENATE("R1C",'Mapa riesgos'!$T$13),"")</f>
        <v/>
      </c>
      <c r="Q36" s="48" t="str">
        <f>IF(AND('Mapa riesgos'!$AD$14="Baja",'Mapa riesgos'!$AF$14="Menor"),CONCATENATE("R1C",'Mapa riesgos'!$T$14),"")</f>
        <v/>
      </c>
      <c r="R36" s="48" t="str">
        <f>IF(AND('Mapa riesgos'!$AD$15="Baja",'Mapa riesgos'!$AF$15="Menor"),CONCATENATE("R1C",'Mapa riesgos'!$T$15),"")</f>
        <v/>
      </c>
      <c r="S36" s="48" t="str">
        <f>IF(AND('Mapa riesgos'!$AD$16="Baja",'Mapa riesgos'!$AF$16="Menor"),CONCATENATE("R1C",'Mapa riesgos'!$T$16),"")</f>
        <v/>
      </c>
      <c r="T36" s="48" t="str">
        <f>IF(AND('Mapa riesgos'!$AD$17="Baja",'Mapa riesgos'!$AF$17="Menor"),CONCATENATE("R1C",'Mapa riesgos'!$T$17),"")</f>
        <v/>
      </c>
      <c r="U36" s="49" t="str">
        <f>IF(AND('Mapa riesgos'!$AD$18="Baja",'Mapa riesgos'!$AF$18="Menor"),CONCATENATE("R1C",'Mapa riesgos'!$T$18),"")</f>
        <v/>
      </c>
      <c r="V36" s="47" t="str">
        <f>IF(AND('Mapa riesgos'!$AD$13="Baja",'Mapa riesgos'!$AF$13="Moderado"),CONCATENATE("R1C",'Mapa riesgos'!$T$13),"")</f>
        <v/>
      </c>
      <c r="W36" s="48" t="str">
        <f>IF(AND('Mapa riesgos'!$AD$14="Baja",'Mapa riesgos'!$AF$14="Moderado"),CONCATENATE("R1C",'Mapa riesgos'!$T$14),"")</f>
        <v>R1C2</v>
      </c>
      <c r="X36" s="48" t="str">
        <f>IF(AND('Mapa riesgos'!$AD$15="Baja",'Mapa riesgos'!$AF$15="Moderado"),CONCATENATE("R1C",'Mapa riesgos'!$T$15),"")</f>
        <v/>
      </c>
      <c r="Y36" s="48" t="str">
        <f>IF(AND('Mapa riesgos'!$AD$16="Baja",'Mapa riesgos'!$AF$16="Moderado"),CONCATENATE("R1C",'Mapa riesgos'!$T$16),"")</f>
        <v/>
      </c>
      <c r="Z36" s="48" t="str">
        <f>IF(AND('Mapa riesgos'!$AD$17="Baja",'Mapa riesgos'!$AF$17="Moderado"),CONCATENATE("R1C",'Mapa riesgos'!$T$17),"")</f>
        <v/>
      </c>
      <c r="AA36" s="49" t="str">
        <f>IF(AND('Mapa riesgos'!$AD$18="Baja",'Mapa riesgos'!$AF$18="Moderado"),CONCATENATE("R1C",'Mapa riesgos'!$T$18),"")</f>
        <v/>
      </c>
      <c r="AB36" s="29" t="str">
        <f>IF(AND('Mapa riesgos'!$AD$13="Baja",'Mapa riesgos'!$AF$13="Mayor"),CONCATENATE("R1C",'Mapa riesgos'!$T$13),"")</f>
        <v/>
      </c>
      <c r="AC36" s="30" t="str">
        <f>IF(AND('Mapa riesgos'!$AD$14="Baja",'Mapa riesgos'!$AF$14="Mayor"),CONCATENATE("R1C",'Mapa riesgos'!$T$14),"")</f>
        <v/>
      </c>
      <c r="AD36" s="30" t="str">
        <f>IF(AND('Mapa riesgos'!$AD$15="Baja",'Mapa riesgos'!$AF$15="Mayor"),CONCATENATE("R1C",'Mapa riesgos'!$T$15),"")</f>
        <v/>
      </c>
      <c r="AE36" s="30" t="str">
        <f>IF(AND('Mapa riesgos'!$AD$16="Baja",'Mapa riesgos'!$AF$16="Mayor"),CONCATENATE("R1C",'Mapa riesgos'!$T$16),"")</f>
        <v/>
      </c>
      <c r="AF36" s="30" t="str">
        <f>IF(AND('Mapa riesgos'!$AD$17="Baja",'Mapa riesgos'!$AF$17="Mayor"),CONCATENATE("R1C",'Mapa riesgos'!$T$17),"")</f>
        <v/>
      </c>
      <c r="AG36" s="31" t="str">
        <f>IF(AND('Mapa riesgos'!$AD$18="Baja",'Mapa riesgos'!$AF$18="Mayor"),CONCATENATE("R1C",'Mapa riesgos'!$T$18),"")</f>
        <v/>
      </c>
      <c r="AH36" s="32" t="str">
        <f>IF(AND('Mapa riesgos'!$AD$13="Baja",'Mapa riesgos'!$AF$13="Catastrófico"),CONCATENATE("R1C",'Mapa riesgos'!$T$13),"")</f>
        <v/>
      </c>
      <c r="AI36" s="33" t="str">
        <f>IF(AND('Mapa riesgos'!$AD$14="Baja",'Mapa riesgos'!$AF$14="Catastrófico"),CONCATENATE("R1C",'Mapa riesgos'!$T$14),"")</f>
        <v/>
      </c>
      <c r="AJ36" s="33" t="str">
        <f>IF(AND('Mapa riesgos'!$AD$15="Baja",'Mapa riesgos'!$AF$15="Catastrófico"),CONCATENATE("R1C",'Mapa riesgos'!$T$15),"")</f>
        <v/>
      </c>
      <c r="AK36" s="33" t="str">
        <f>IF(AND('Mapa riesgos'!$AD$16="Baja",'Mapa riesgos'!$AF$16="Catastrófico"),CONCATENATE("R1C",'Mapa riesgos'!$T$16),"")</f>
        <v/>
      </c>
      <c r="AL36" s="33" t="str">
        <f>IF(AND('Mapa riesgos'!$AD$17="Baja",'Mapa riesgos'!$AF$17="Catastrófico"),CONCATENATE("R1C",'Mapa riesgos'!$T$17),"")</f>
        <v/>
      </c>
      <c r="AM36" s="34" t="str">
        <f>IF(AND('Mapa riesgos'!$AD$18="Baja",'Mapa riesgos'!$AF$18="Catastrófico"),CONCATENATE("R1C",'Mapa riesgos'!$T$18),"")</f>
        <v/>
      </c>
      <c r="AN36" s="66"/>
      <c r="AO36" s="545" t="s">
        <v>184</v>
      </c>
      <c r="AP36" s="546"/>
      <c r="AQ36" s="546"/>
      <c r="AR36" s="546"/>
      <c r="AS36" s="546"/>
      <c r="AT36" s="547"/>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25">
      <c r="A37" s="66"/>
      <c r="B37" s="429"/>
      <c r="C37" s="429"/>
      <c r="D37" s="430"/>
      <c r="E37" s="526"/>
      <c r="F37" s="527"/>
      <c r="G37" s="527"/>
      <c r="H37" s="527"/>
      <c r="I37" s="527"/>
      <c r="J37" s="59" t="str">
        <f>IF(AND('Mapa riesgos'!$AD$19="Baja",'Mapa riesgos'!$AF$19="Leve"),CONCATENATE("R2C",'Mapa riesgos'!$T$19),"")</f>
        <v/>
      </c>
      <c r="K37" s="60" t="str">
        <f>IF(AND('Mapa riesgos'!$AD$20="Baja",'Mapa riesgos'!$AF$20="Leve"),CONCATENATE("R2C",'Mapa riesgos'!$T$20),"")</f>
        <v/>
      </c>
      <c r="L37" s="60" t="str">
        <f>IF(AND('Mapa riesgos'!$AD$21="Baja",'Mapa riesgos'!$AF$21="Leve"),CONCATENATE("R2C",'Mapa riesgos'!$T$21),"")</f>
        <v/>
      </c>
      <c r="M37" s="60" t="str">
        <f>IF(AND('Mapa riesgos'!$AD$22="Baja",'Mapa riesgos'!$AF$22="Leve"),CONCATENATE("R2C",'Mapa riesgos'!$T$22),"")</f>
        <v/>
      </c>
      <c r="N37" s="60" t="str">
        <f>IF(AND('Mapa riesgos'!$AD$23="Baja",'Mapa riesgos'!$AF$23="Leve"),CONCATENATE("R2C",'Mapa riesgos'!$T$23),"")</f>
        <v/>
      </c>
      <c r="O37" s="61" t="str">
        <f>IF(AND('Mapa riesgos'!$AD$24="Baja",'Mapa riesgos'!$AF$24="Leve"),CONCATENATE("R2C",'Mapa riesgos'!$T$24),"")</f>
        <v/>
      </c>
      <c r="P37" s="50" t="str">
        <f>IF(AND('Mapa riesgos'!$AD$19="Baja",'Mapa riesgos'!$AF$19="Menor"),CONCATENATE("R2C",'Mapa riesgos'!$T$19),"")</f>
        <v/>
      </c>
      <c r="Q37" s="51" t="str">
        <f>IF(AND('Mapa riesgos'!$AD$20="Baja",'Mapa riesgos'!$AF$20="Menor"),CONCATENATE("R2C",'Mapa riesgos'!$T$20),"")</f>
        <v/>
      </c>
      <c r="R37" s="51" t="str">
        <f>IF(AND('Mapa riesgos'!$AD$21="Baja",'Mapa riesgos'!$AF$21="Menor"),CONCATENATE("R2C",'Mapa riesgos'!$T$21),"")</f>
        <v/>
      </c>
      <c r="S37" s="51" t="str">
        <f>IF(AND('Mapa riesgos'!$AD$22="Baja",'Mapa riesgos'!$AF$22="Menor"),CONCATENATE("R2C",'Mapa riesgos'!$T$22),"")</f>
        <v/>
      </c>
      <c r="T37" s="51" t="str">
        <f>IF(AND('Mapa riesgos'!$AD$23="Baja",'Mapa riesgos'!$AF$23="Menor"),CONCATENATE("R2C",'Mapa riesgos'!$T$23),"")</f>
        <v/>
      </c>
      <c r="U37" s="52" t="str">
        <f>IF(AND('Mapa riesgos'!$AD$24="Baja",'Mapa riesgos'!$AF$24="Menor"),CONCATENATE("R2C",'Mapa riesgos'!$T$24),"")</f>
        <v/>
      </c>
      <c r="V37" s="50" t="str">
        <f>IF(AND('Mapa riesgos'!$AD$19="Baja",'Mapa riesgos'!$AF$19="Moderado"),CONCATENATE("R2C",'Mapa riesgos'!$T$19),"")</f>
        <v/>
      </c>
      <c r="W37" s="51" t="str">
        <f>IF(AND('Mapa riesgos'!$AD$20="Baja",'Mapa riesgos'!$AF$20="Moderado"),CONCATENATE("R2C",'Mapa riesgos'!$T$20),"")</f>
        <v>R2C2</v>
      </c>
      <c r="X37" s="51" t="str">
        <f>IF(AND('Mapa riesgos'!$AD$21="Baja",'Mapa riesgos'!$AF$21="Moderado"),CONCATENATE("R2C",'Mapa riesgos'!$T$21),"")</f>
        <v/>
      </c>
      <c r="Y37" s="51" t="str">
        <f>IF(AND('Mapa riesgos'!$AD$22="Baja",'Mapa riesgos'!$AF$22="Moderado"),CONCATENATE("R2C",'Mapa riesgos'!$T$22),"")</f>
        <v/>
      </c>
      <c r="Z37" s="51" t="str">
        <f>IF(AND('Mapa riesgos'!$AD$23="Baja",'Mapa riesgos'!$AF$23="Moderado"),CONCATENATE("R2C",'Mapa riesgos'!$T$23),"")</f>
        <v/>
      </c>
      <c r="AA37" s="52" t="str">
        <f>IF(AND('Mapa riesgos'!$AD$24="Baja",'Mapa riesgos'!$AF$24="Moderado"),CONCATENATE("R2C",'Mapa riesgos'!$T$24),"")</f>
        <v/>
      </c>
      <c r="AB37" s="35" t="str">
        <f>IF(AND('Mapa riesgos'!$AD$19="Baja",'Mapa riesgos'!$AF$19="Mayor"),CONCATENATE("R2C",'Mapa riesgos'!$T$19),"")</f>
        <v/>
      </c>
      <c r="AC37" s="36" t="str">
        <f>IF(AND('Mapa riesgos'!$AD$20="Baja",'Mapa riesgos'!$AF$20="Mayor"),CONCATENATE("R2C",'Mapa riesgos'!$T$20),"")</f>
        <v/>
      </c>
      <c r="AD37" s="36" t="str">
        <f>IF(AND('Mapa riesgos'!$AD$21="Baja",'Mapa riesgos'!$AF$21="Mayor"),CONCATENATE("R2C",'Mapa riesgos'!$T$21),"")</f>
        <v/>
      </c>
      <c r="AE37" s="36" t="str">
        <f>IF(AND('Mapa riesgos'!$AD$22="Baja",'Mapa riesgos'!$AF$22="Mayor"),CONCATENATE("R2C",'Mapa riesgos'!$T$22),"")</f>
        <v/>
      </c>
      <c r="AF37" s="36" t="str">
        <f>IF(AND('Mapa riesgos'!$AD$23="Baja",'Mapa riesgos'!$AF$23="Mayor"),CONCATENATE("R2C",'Mapa riesgos'!$T$23),"")</f>
        <v/>
      </c>
      <c r="AG37" s="37" t="str">
        <f>IF(AND('Mapa riesgos'!$AD$24="Baja",'Mapa riesgos'!$AF$24="Mayor"),CONCATENATE("R2C",'Mapa riesgos'!$T$24),"")</f>
        <v/>
      </c>
      <c r="AH37" s="38" t="str">
        <f>IF(AND('Mapa riesgos'!$AD$19="Baja",'Mapa riesgos'!$AF$19="Catastrófico"),CONCATENATE("R2C",'Mapa riesgos'!$T$19),"")</f>
        <v/>
      </c>
      <c r="AI37" s="39" t="str">
        <f>IF(AND('Mapa riesgos'!$AD$20="Baja",'Mapa riesgos'!$AF$20="Catastrófico"),CONCATENATE("R2C",'Mapa riesgos'!$T$20),"")</f>
        <v/>
      </c>
      <c r="AJ37" s="39" t="str">
        <f>IF(AND('Mapa riesgos'!$AD$21="Baja",'Mapa riesgos'!$AF$21="Catastrófico"),CONCATENATE("R2C",'Mapa riesgos'!$T$21),"")</f>
        <v/>
      </c>
      <c r="AK37" s="39" t="str">
        <f>IF(AND('Mapa riesgos'!$AD$22="Baja",'Mapa riesgos'!$AF$22="Catastrófico"),CONCATENATE("R2C",'Mapa riesgos'!$T$22),"")</f>
        <v/>
      </c>
      <c r="AL37" s="39" t="str">
        <f>IF(AND('Mapa riesgos'!$AD$23="Baja",'Mapa riesgos'!$AF$23="Catastrófico"),CONCATENATE("R2C",'Mapa riesgos'!$T$23),"")</f>
        <v/>
      </c>
      <c r="AM37" s="40" t="str">
        <f>IF(AND('Mapa riesgos'!$AD$24="Baja",'Mapa riesgos'!$AF$24="Catastrófico"),CONCATENATE("R2C",'Mapa riesgos'!$T$24),"")</f>
        <v/>
      </c>
      <c r="AN37" s="66"/>
      <c r="AO37" s="548"/>
      <c r="AP37" s="549"/>
      <c r="AQ37" s="549"/>
      <c r="AR37" s="549"/>
      <c r="AS37" s="549"/>
      <c r="AT37" s="550"/>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25">
      <c r="A38" s="66"/>
      <c r="B38" s="429"/>
      <c r="C38" s="429"/>
      <c r="D38" s="430"/>
      <c r="E38" s="528"/>
      <c r="F38" s="527"/>
      <c r="G38" s="527"/>
      <c r="H38" s="527"/>
      <c r="I38" s="527"/>
      <c r="J38" s="59" t="str">
        <f>IF(AND('Mapa riesgos'!$AD$25="Baja",'Mapa riesgos'!$AF$25="Leve"),CONCATENATE("R3C",'Mapa riesgos'!$T$25),"")</f>
        <v/>
      </c>
      <c r="K38" s="60" t="str">
        <f>IF(AND('Mapa riesgos'!$AD$26="Baja",'Mapa riesgos'!$AF$26="Leve"),CONCATENATE("R3C",'Mapa riesgos'!$T$26),"")</f>
        <v/>
      </c>
      <c r="L38" s="60" t="str">
        <f>IF(AND('Mapa riesgos'!$AD$27="Baja",'Mapa riesgos'!$AF$27="Leve"),CONCATENATE("R3C",'Mapa riesgos'!$T$27),"")</f>
        <v/>
      </c>
      <c r="M38" s="60" t="str">
        <f>IF(AND('Mapa riesgos'!$AD$28="Baja",'Mapa riesgos'!$AF$28="Leve"),CONCATENATE("R3C",'Mapa riesgos'!$T$28),"")</f>
        <v/>
      </c>
      <c r="N38" s="60" t="str">
        <f>IF(AND('Mapa riesgos'!$AD$29="Baja",'Mapa riesgos'!$AF$29="Leve"),CONCATENATE("R3C",'Mapa riesgos'!$T$29),"")</f>
        <v/>
      </c>
      <c r="O38" s="61" t="str">
        <f>IF(AND('Mapa riesgos'!$AD$30="Baja",'Mapa riesgos'!$AF$30="Leve"),CONCATENATE("R3C",'Mapa riesgos'!$T$30),"")</f>
        <v/>
      </c>
      <c r="P38" s="50" t="str">
        <f>IF(AND('Mapa riesgos'!$AD$25="Baja",'Mapa riesgos'!$AF$25="Menor"),CONCATENATE("R3C",'Mapa riesgos'!$T$25),"")</f>
        <v/>
      </c>
      <c r="Q38" s="51" t="str">
        <f>IF(AND('Mapa riesgos'!$AD$26="Baja",'Mapa riesgos'!$AF$26="Menor"),CONCATENATE("R3C",'Mapa riesgos'!$T$26),"")</f>
        <v/>
      </c>
      <c r="R38" s="51" t="str">
        <f>IF(AND('Mapa riesgos'!$AD$27="Baja",'Mapa riesgos'!$AF$27="Menor"),CONCATENATE("R3C",'Mapa riesgos'!$T$27),"")</f>
        <v/>
      </c>
      <c r="S38" s="51" t="str">
        <f>IF(AND('Mapa riesgos'!$AD$28="Baja",'Mapa riesgos'!$AF$28="Menor"),CONCATENATE("R3C",'Mapa riesgos'!$T$28),"")</f>
        <v/>
      </c>
      <c r="T38" s="51" t="str">
        <f>IF(AND('Mapa riesgos'!$AD$29="Baja",'Mapa riesgos'!$AF$29="Menor"),CONCATENATE("R3C",'Mapa riesgos'!$T$29),"")</f>
        <v/>
      </c>
      <c r="U38" s="52" t="str">
        <f>IF(AND('Mapa riesgos'!$AD$30="Baja",'Mapa riesgos'!$AF$30="Menor"),CONCATENATE("R3C",'Mapa riesgos'!$T$30),"")</f>
        <v/>
      </c>
      <c r="V38" s="50" t="str">
        <f>IF(AND('Mapa riesgos'!$AD$25="Baja",'Mapa riesgos'!$AF$25="Moderado"),CONCATENATE("R3C",'Mapa riesgos'!$T$25),"")</f>
        <v/>
      </c>
      <c r="W38" s="51" t="str">
        <f>IF(AND('Mapa riesgos'!$AD$26="Baja",'Mapa riesgos'!$AF$26="Moderado"),CONCATENATE("R3C",'Mapa riesgos'!$T$26),"")</f>
        <v/>
      </c>
      <c r="X38" s="51" t="str">
        <f>IF(AND('Mapa riesgos'!$AD$27="Baja",'Mapa riesgos'!$AF$27="Moderado"),CONCATENATE("R3C",'Mapa riesgos'!$T$27),"")</f>
        <v/>
      </c>
      <c r="Y38" s="51" t="str">
        <f>IF(AND('Mapa riesgos'!$AD$28="Baja",'Mapa riesgos'!$AF$28="Moderado"),CONCATENATE("R3C",'Mapa riesgos'!$T$28),"")</f>
        <v/>
      </c>
      <c r="Z38" s="51" t="str">
        <f>IF(AND('Mapa riesgos'!$AD$29="Baja",'Mapa riesgos'!$AF$29="Moderado"),CONCATENATE("R3C",'Mapa riesgos'!$T$29),"")</f>
        <v/>
      </c>
      <c r="AA38" s="52" t="str">
        <f>IF(AND('Mapa riesgos'!$AD$30="Baja",'Mapa riesgos'!$AF$30="Moderado"),CONCATENATE("R3C",'Mapa riesgos'!$T$30),"")</f>
        <v/>
      </c>
      <c r="AB38" s="35" t="str">
        <f>IF(AND('Mapa riesgos'!$AD$25="Baja",'Mapa riesgos'!$AF$25="Mayor"),CONCATENATE("R3C",'Mapa riesgos'!$T$25),"")</f>
        <v/>
      </c>
      <c r="AC38" s="36" t="str">
        <f>IF(AND('Mapa riesgos'!$AD$26="Baja",'Mapa riesgos'!$AF$26="Mayor"),CONCATENATE("R3C",'Mapa riesgos'!$T$26),"")</f>
        <v/>
      </c>
      <c r="AD38" s="36" t="str">
        <f>IF(AND('Mapa riesgos'!$AD$27="Baja",'Mapa riesgos'!$AF$27="Mayor"),CONCATENATE("R3C",'Mapa riesgos'!$T$27),"")</f>
        <v/>
      </c>
      <c r="AE38" s="36" t="str">
        <f>IF(AND('Mapa riesgos'!$AD$28="Baja",'Mapa riesgos'!$AF$28="Mayor"),CONCATENATE("R3C",'Mapa riesgos'!$T$28),"")</f>
        <v/>
      </c>
      <c r="AF38" s="36" t="str">
        <f>IF(AND('Mapa riesgos'!$AD$29="Baja",'Mapa riesgos'!$AF$29="Mayor"),CONCATENATE("R3C",'Mapa riesgos'!$T$29),"")</f>
        <v/>
      </c>
      <c r="AG38" s="37" t="str">
        <f>IF(AND('Mapa riesgos'!$AD$30="Baja",'Mapa riesgos'!$AF$30="Mayor"),CONCATENATE("R3C",'Mapa riesgos'!$T$30),"")</f>
        <v/>
      </c>
      <c r="AH38" s="38" t="str">
        <f>IF(AND('Mapa riesgos'!$AD$25="Baja",'Mapa riesgos'!$AF$25="Catastrófico"),CONCATENATE("R3C",'Mapa riesgos'!$T$25),"")</f>
        <v/>
      </c>
      <c r="AI38" s="39" t="str">
        <f>IF(AND('Mapa riesgos'!$AD$26="Baja",'Mapa riesgos'!$AF$26="Catastrófico"),CONCATENATE("R3C",'Mapa riesgos'!$T$26),"")</f>
        <v/>
      </c>
      <c r="AJ38" s="39" t="str">
        <f>IF(AND('Mapa riesgos'!$AD$27="Baja",'Mapa riesgos'!$AF$27="Catastrófico"),CONCATENATE("R3C",'Mapa riesgos'!$T$27),"")</f>
        <v/>
      </c>
      <c r="AK38" s="39" t="str">
        <f>IF(AND('Mapa riesgos'!$AD$28="Baja",'Mapa riesgos'!$AF$28="Catastrófico"),CONCATENATE("R3C",'Mapa riesgos'!$T$28),"")</f>
        <v/>
      </c>
      <c r="AL38" s="39" t="str">
        <f>IF(AND('Mapa riesgos'!$AD$29="Baja",'Mapa riesgos'!$AF$29="Catastrófico"),CONCATENATE("R3C",'Mapa riesgos'!$T$29),"")</f>
        <v/>
      </c>
      <c r="AM38" s="40" t="str">
        <f>IF(AND('Mapa riesgos'!$AD$30="Baja",'Mapa riesgos'!$AF$30="Catastrófico"),CONCATENATE("R3C",'Mapa riesgos'!$T$30),"")</f>
        <v/>
      </c>
      <c r="AN38" s="66"/>
      <c r="AO38" s="548"/>
      <c r="AP38" s="549"/>
      <c r="AQ38" s="549"/>
      <c r="AR38" s="549"/>
      <c r="AS38" s="549"/>
      <c r="AT38" s="550"/>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25">
      <c r="A39" s="66"/>
      <c r="B39" s="429"/>
      <c r="C39" s="429"/>
      <c r="D39" s="430"/>
      <c r="E39" s="528"/>
      <c r="F39" s="527"/>
      <c r="G39" s="527"/>
      <c r="H39" s="527"/>
      <c r="I39" s="527"/>
      <c r="J39" s="59" t="str">
        <f>IF(AND('Mapa riesgos'!$AD$31="Baja",'Mapa riesgos'!$AF$31="Leve"),CONCATENATE("R4C",'Mapa riesgos'!$T$31),"")</f>
        <v/>
      </c>
      <c r="K39" s="60" t="str">
        <f>IF(AND('Mapa riesgos'!$AD$32="Baja",'Mapa riesgos'!$AF$32="Leve"),CONCATENATE("R4C",'Mapa riesgos'!$T$32),"")</f>
        <v/>
      </c>
      <c r="L39" s="60" t="str">
        <f>IF(AND('Mapa riesgos'!$AD$33="Baja",'Mapa riesgos'!$AF$33="Leve"),CONCATENATE("R4C",'Mapa riesgos'!$T$33),"")</f>
        <v/>
      </c>
      <c r="M39" s="60" t="str">
        <f>IF(AND('Mapa riesgos'!$AD$34="Baja",'Mapa riesgos'!$AF$34="Leve"),CONCATENATE("R4C",'Mapa riesgos'!$T$34),"")</f>
        <v/>
      </c>
      <c r="N39" s="60" t="str">
        <f>IF(AND('Mapa riesgos'!$AD$35="Baja",'Mapa riesgos'!$AF$35="Leve"),CONCATENATE("R4C",'Mapa riesgos'!$T$35),"")</f>
        <v/>
      </c>
      <c r="O39" s="61" t="str">
        <f>IF(AND('Mapa riesgos'!$AD$36="Baja",'Mapa riesgos'!$AF$36="Leve"),CONCATENATE("R4C",'Mapa riesgos'!$T$36),"")</f>
        <v/>
      </c>
      <c r="P39" s="50" t="str">
        <f>IF(AND('Mapa riesgos'!$AD$31="Baja",'Mapa riesgos'!$AF$31="Menor"),CONCATENATE("R4C",'Mapa riesgos'!$T$31),"")</f>
        <v/>
      </c>
      <c r="Q39" s="51" t="str">
        <f>IF(AND('Mapa riesgos'!$AD$32="Baja",'Mapa riesgos'!$AF$32="Menor"),CONCATENATE("R4C",'Mapa riesgos'!$T$32),"")</f>
        <v/>
      </c>
      <c r="R39" s="51" t="str">
        <f>IF(AND('Mapa riesgos'!$AD$33="Baja",'Mapa riesgos'!$AF$33="Menor"),CONCATENATE("R4C",'Mapa riesgos'!$T$33),"")</f>
        <v/>
      </c>
      <c r="S39" s="51" t="str">
        <f>IF(AND('Mapa riesgos'!$AD$34="Baja",'Mapa riesgos'!$AF$34="Menor"),CONCATENATE("R4C",'Mapa riesgos'!$T$34),"")</f>
        <v/>
      </c>
      <c r="T39" s="51" t="str">
        <f>IF(AND('Mapa riesgos'!$AD$35="Baja",'Mapa riesgos'!$AF$35="Menor"),CONCATENATE("R4C",'Mapa riesgos'!$T$35),"")</f>
        <v/>
      </c>
      <c r="U39" s="52" t="str">
        <f>IF(AND('Mapa riesgos'!$AD$36="Baja",'Mapa riesgos'!$AF$36="Menor"),CONCATENATE("R4C",'Mapa riesgos'!$T$36),"")</f>
        <v/>
      </c>
      <c r="V39" s="50" t="str">
        <f>IF(AND('Mapa riesgos'!$AD$31="Baja",'Mapa riesgos'!$AF$31="Moderado"),CONCATENATE("R4C",'Mapa riesgos'!$T$31),"")</f>
        <v>R4C1</v>
      </c>
      <c r="W39" s="51" t="str">
        <f>IF(AND('Mapa riesgos'!$AD$32="Baja",'Mapa riesgos'!$AF$32="Moderado"),CONCATENATE("R4C",'Mapa riesgos'!$T$32),"")</f>
        <v/>
      </c>
      <c r="X39" s="51" t="str">
        <f>IF(AND('Mapa riesgos'!$AD$33="Baja",'Mapa riesgos'!$AF$33="Moderado"),CONCATENATE("R4C",'Mapa riesgos'!$T$33),"")</f>
        <v/>
      </c>
      <c r="Y39" s="51" t="str">
        <f>IF(AND('Mapa riesgos'!$AD$34="Baja",'Mapa riesgos'!$AF$34="Moderado"),CONCATENATE("R4C",'Mapa riesgos'!$T$34),"")</f>
        <v/>
      </c>
      <c r="Z39" s="51" t="str">
        <f>IF(AND('Mapa riesgos'!$AD$35="Baja",'Mapa riesgos'!$AF$35="Moderado"),CONCATENATE("R4C",'Mapa riesgos'!$T$35),"")</f>
        <v/>
      </c>
      <c r="AA39" s="52" t="str">
        <f>IF(AND('Mapa riesgos'!$AD$36="Baja",'Mapa riesgos'!$AF$36="Moderado"),CONCATENATE("R4C",'Mapa riesgos'!$T$36),"")</f>
        <v/>
      </c>
      <c r="AB39" s="35" t="str">
        <f>IF(AND('Mapa riesgos'!$AD$31="Baja",'Mapa riesgos'!$AF$31="Mayor"),CONCATENATE("R4C",'Mapa riesgos'!$T$31),"")</f>
        <v/>
      </c>
      <c r="AC39" s="36" t="str">
        <f>IF(AND('Mapa riesgos'!$AD$32="Baja",'Mapa riesgos'!$AF$32="Mayor"),CONCATENATE("R4C",'Mapa riesgos'!$T$32),"")</f>
        <v/>
      </c>
      <c r="AD39" s="36" t="str">
        <f>IF(AND('Mapa riesgos'!$AD$33="Baja",'Mapa riesgos'!$AF$33="Mayor"),CONCATENATE("R4C",'Mapa riesgos'!$T$33),"")</f>
        <v/>
      </c>
      <c r="AE39" s="36" t="str">
        <f>IF(AND('Mapa riesgos'!$AD$34="Baja",'Mapa riesgos'!$AF$34="Mayor"),CONCATENATE("R4C",'Mapa riesgos'!$T$34),"")</f>
        <v/>
      </c>
      <c r="AF39" s="36" t="str">
        <f>IF(AND('Mapa riesgos'!$AD$35="Baja",'Mapa riesgos'!$AF$35="Mayor"),CONCATENATE("R4C",'Mapa riesgos'!$T$35),"")</f>
        <v/>
      </c>
      <c r="AG39" s="37" t="str">
        <f>IF(AND('Mapa riesgos'!$AD$36="Baja",'Mapa riesgos'!$AF$36="Mayor"),CONCATENATE("R4C",'Mapa riesgos'!$T$36),"")</f>
        <v/>
      </c>
      <c r="AH39" s="38" t="str">
        <f>IF(AND('Mapa riesgos'!$AD$31="Baja",'Mapa riesgos'!$AF$31="Catastrófico"),CONCATENATE("R4C",'Mapa riesgos'!$T$31),"")</f>
        <v/>
      </c>
      <c r="AI39" s="39" t="str">
        <f>IF(AND('Mapa riesgos'!$AD$32="Baja",'Mapa riesgos'!$AF$32="Catastrófico"),CONCATENATE("R4C",'Mapa riesgos'!$T$32),"")</f>
        <v/>
      </c>
      <c r="AJ39" s="39" t="str">
        <f>IF(AND('Mapa riesgos'!$AD$33="Baja",'Mapa riesgos'!$AF$33="Catastrófico"),CONCATENATE("R4C",'Mapa riesgos'!$T$33),"")</f>
        <v/>
      </c>
      <c r="AK39" s="39" t="str">
        <f>IF(AND('Mapa riesgos'!$AD$34="Baja",'Mapa riesgos'!$AF$34="Catastrófico"),CONCATENATE("R4C",'Mapa riesgos'!$T$34),"")</f>
        <v/>
      </c>
      <c r="AL39" s="39" t="str">
        <f>IF(AND('Mapa riesgos'!$AD$35="Baja",'Mapa riesgos'!$AF$35="Catastrófico"),CONCATENATE("R4C",'Mapa riesgos'!$T$35),"")</f>
        <v/>
      </c>
      <c r="AM39" s="40" t="str">
        <f>IF(AND('Mapa riesgos'!$AD$36="Baja",'Mapa riesgos'!$AF$36="Catastrófico"),CONCATENATE("R4C",'Mapa riesgos'!$T$36),"")</f>
        <v/>
      </c>
      <c r="AN39" s="66"/>
      <c r="AO39" s="548"/>
      <c r="AP39" s="549"/>
      <c r="AQ39" s="549"/>
      <c r="AR39" s="549"/>
      <c r="AS39" s="549"/>
      <c r="AT39" s="550"/>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25">
      <c r="A40" s="66"/>
      <c r="B40" s="429"/>
      <c r="C40" s="429"/>
      <c r="D40" s="430"/>
      <c r="E40" s="528"/>
      <c r="F40" s="527"/>
      <c r="G40" s="527"/>
      <c r="H40" s="527"/>
      <c r="I40" s="527"/>
      <c r="J40" s="59" t="str">
        <f>IF(AND('Mapa riesgos'!$AD$37="Baja",'Mapa riesgos'!$AF$37="Leve"),CONCATENATE("R5C",'Mapa riesgos'!$T$37),"")</f>
        <v/>
      </c>
      <c r="K40" s="60" t="str">
        <f>IF(AND('Mapa riesgos'!$AD$38="Baja",'Mapa riesgos'!$AF$38="Leve"),CONCATENATE("R5C",'Mapa riesgos'!$T$38),"")</f>
        <v/>
      </c>
      <c r="L40" s="60" t="str">
        <f>IF(AND('Mapa riesgos'!$AD$39="Baja",'Mapa riesgos'!$AF$39="Leve"),CONCATENATE("R5C",'Mapa riesgos'!$T$39),"")</f>
        <v/>
      </c>
      <c r="M40" s="60" t="str">
        <f>IF(AND('Mapa riesgos'!$AD$40="Baja",'Mapa riesgos'!$AF$40="Leve"),CONCATENATE("R5C",'Mapa riesgos'!$T$40),"")</f>
        <v/>
      </c>
      <c r="N40" s="60" t="str">
        <f>IF(AND('Mapa riesgos'!$AD$41="Baja",'Mapa riesgos'!$AF$41="Leve"),CONCATENATE("R5C",'Mapa riesgos'!$T$41),"")</f>
        <v/>
      </c>
      <c r="O40" s="61" t="str">
        <f>IF(AND('Mapa riesgos'!$AD$42="Baja",'Mapa riesgos'!$AF$42="Leve"),CONCATENATE("R5C",'Mapa riesgos'!$T$42),"")</f>
        <v/>
      </c>
      <c r="P40" s="50" t="str">
        <f>IF(AND('Mapa riesgos'!$AD$37="Baja",'Mapa riesgos'!$AF$37="Menor"),CONCATENATE("R5C",'Mapa riesgos'!$T$37),"")</f>
        <v/>
      </c>
      <c r="Q40" s="51" t="str">
        <f>IF(AND('Mapa riesgos'!$AD$38="Baja",'Mapa riesgos'!$AF$38="Menor"),CONCATENATE("R5C",'Mapa riesgos'!$T$38),"")</f>
        <v/>
      </c>
      <c r="R40" s="51" t="str">
        <f>IF(AND('Mapa riesgos'!$AD$39="Baja",'Mapa riesgos'!$AF$39="Menor"),CONCATENATE("R5C",'Mapa riesgos'!$T$39),"")</f>
        <v/>
      </c>
      <c r="S40" s="51" t="str">
        <f>IF(AND('Mapa riesgos'!$AD$40="Baja",'Mapa riesgos'!$AF$40="Menor"),CONCATENATE("R5C",'Mapa riesgos'!$T$40),"")</f>
        <v/>
      </c>
      <c r="T40" s="51" t="str">
        <f>IF(AND('Mapa riesgos'!$AD$41="Baja",'Mapa riesgos'!$AF$41="Menor"),CONCATENATE("R5C",'Mapa riesgos'!$T$41),"")</f>
        <v/>
      </c>
      <c r="U40" s="52" t="str">
        <f>IF(AND('Mapa riesgos'!$AD$42="Baja",'Mapa riesgos'!$AF$42="Menor"),CONCATENATE("R5C",'Mapa riesgos'!$T$42),"")</f>
        <v/>
      </c>
      <c r="V40" s="50" t="str">
        <f>IF(AND('Mapa riesgos'!$AD$37="Baja",'Mapa riesgos'!$AF$37="Moderado"),CONCATENATE("R5C",'Mapa riesgos'!$T$37),"")</f>
        <v/>
      </c>
      <c r="W40" s="51" t="str">
        <f>IF(AND('Mapa riesgos'!$AD$38="Baja",'Mapa riesgos'!$AF$38="Moderado"),CONCATENATE("R5C",'Mapa riesgos'!$T$38),"")</f>
        <v/>
      </c>
      <c r="X40" s="51" t="str">
        <f>IF(AND('Mapa riesgos'!$AD$39="Baja",'Mapa riesgos'!$AF$39="Moderado"),CONCATENATE("R5C",'Mapa riesgos'!$T$39),"")</f>
        <v/>
      </c>
      <c r="Y40" s="51" t="str">
        <f>IF(AND('Mapa riesgos'!$AD$40="Baja",'Mapa riesgos'!$AF$40="Moderado"),CONCATENATE("R5C",'Mapa riesgos'!$T$40),"")</f>
        <v/>
      </c>
      <c r="Z40" s="51" t="str">
        <f>IF(AND('Mapa riesgos'!$AD$41="Baja",'Mapa riesgos'!$AF$41="Moderado"),CONCATENATE("R5C",'Mapa riesgos'!$T$41),"")</f>
        <v/>
      </c>
      <c r="AA40" s="52" t="str">
        <f>IF(AND('Mapa riesgos'!$AD$42="Baja",'Mapa riesgos'!$AF$42="Moderado"),CONCATENATE("R5C",'Mapa riesgos'!$T$42),"")</f>
        <v/>
      </c>
      <c r="AB40" s="35" t="str">
        <f>IF(AND('Mapa riesgos'!$AD$37="Baja",'Mapa riesgos'!$AF$37="Mayor"),CONCATENATE("R5C",'Mapa riesgos'!$T$37),"")</f>
        <v/>
      </c>
      <c r="AC40" s="36" t="str">
        <f>IF(AND('Mapa riesgos'!$AD$38="Baja",'Mapa riesgos'!$AF$38="Mayor"),CONCATENATE("R5C",'Mapa riesgos'!$T$38),"")</f>
        <v/>
      </c>
      <c r="AD40" s="36" t="str">
        <f>IF(AND('Mapa riesgos'!$AD$39="Baja",'Mapa riesgos'!$AF$39="Mayor"),CONCATENATE("R5C",'Mapa riesgos'!$T$39),"")</f>
        <v/>
      </c>
      <c r="AE40" s="36" t="str">
        <f>IF(AND('Mapa riesgos'!$AD$40="Baja",'Mapa riesgos'!$AF$40="Mayor"),CONCATENATE("R5C",'Mapa riesgos'!$T$40),"")</f>
        <v/>
      </c>
      <c r="AF40" s="36" t="str">
        <f>IF(AND('Mapa riesgos'!$AD$41="Baja",'Mapa riesgos'!$AF$41="Mayor"),CONCATENATE("R5C",'Mapa riesgos'!$T$41),"")</f>
        <v/>
      </c>
      <c r="AG40" s="37" t="str">
        <f>IF(AND('Mapa riesgos'!$AD$42="Baja",'Mapa riesgos'!$AF$42="Mayor"),CONCATENATE("R5C",'Mapa riesgos'!$T$42),"")</f>
        <v/>
      </c>
      <c r="AH40" s="38" t="str">
        <f>IF(AND('Mapa riesgos'!$AD$37="Baja",'Mapa riesgos'!$AF$37="Catastrófico"),CONCATENATE("R5C",'Mapa riesgos'!$T$37),"")</f>
        <v/>
      </c>
      <c r="AI40" s="39" t="str">
        <f>IF(AND('Mapa riesgos'!$AD$38="Baja",'Mapa riesgos'!$AF$38="Catastrófico"),CONCATENATE("R5C",'Mapa riesgos'!$T$38),"")</f>
        <v/>
      </c>
      <c r="AJ40" s="39" t="str">
        <f>IF(AND('Mapa riesgos'!$AD$39="Baja",'Mapa riesgos'!$AF$39="Catastrófico"),CONCATENATE("R5C",'Mapa riesgos'!$T$39),"")</f>
        <v/>
      </c>
      <c r="AK40" s="39" t="str">
        <f>IF(AND('Mapa riesgos'!$AD$40="Baja",'Mapa riesgos'!$AF$40="Catastrófico"),CONCATENATE("R5C",'Mapa riesgos'!$T$40),"")</f>
        <v/>
      </c>
      <c r="AL40" s="39" t="str">
        <f>IF(AND('Mapa riesgos'!$AD$41="Baja",'Mapa riesgos'!$AF$41="Catastrófico"),CONCATENATE("R5C",'Mapa riesgos'!$T$41),"")</f>
        <v/>
      </c>
      <c r="AM40" s="40" t="str">
        <f>IF(AND('Mapa riesgos'!$AD$42="Baja",'Mapa riesgos'!$AF$42="Catastrófico"),CONCATENATE("R5C",'Mapa riesgos'!$T$42),"")</f>
        <v/>
      </c>
      <c r="AN40" s="66"/>
      <c r="AO40" s="548"/>
      <c r="AP40" s="549"/>
      <c r="AQ40" s="549"/>
      <c r="AR40" s="549"/>
      <c r="AS40" s="549"/>
      <c r="AT40" s="550"/>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25">
      <c r="A41" s="66"/>
      <c r="B41" s="429"/>
      <c r="C41" s="429"/>
      <c r="D41" s="430"/>
      <c r="E41" s="528"/>
      <c r="F41" s="527"/>
      <c r="G41" s="527"/>
      <c r="H41" s="527"/>
      <c r="I41" s="527"/>
      <c r="J41" s="59" t="str">
        <f>IF(AND('Mapa riesgos'!$AD$43="Baja",'Mapa riesgos'!$AF$43="Leve"),CONCATENATE("R6C",'Mapa riesgos'!$T$43),"")</f>
        <v/>
      </c>
      <c r="K41" s="60" t="str">
        <f>IF(AND('Mapa riesgos'!$AD$44="Baja",'Mapa riesgos'!$AF$44="Leve"),CONCATENATE("R6C",'Mapa riesgos'!$T$44),"")</f>
        <v/>
      </c>
      <c r="L41" s="60" t="str">
        <f>IF(AND('Mapa riesgos'!$AD$45="Baja",'Mapa riesgos'!$AF$45="Leve"),CONCATENATE("R6C",'Mapa riesgos'!$T$45),"")</f>
        <v/>
      </c>
      <c r="M41" s="60" t="str">
        <f>IF(AND('Mapa riesgos'!$AD$46="Baja",'Mapa riesgos'!$AF$46="Leve"),CONCATENATE("R6C",'Mapa riesgos'!$T$46),"")</f>
        <v/>
      </c>
      <c r="N41" s="60" t="str">
        <f>IF(AND('Mapa riesgos'!$AD$47="Baja",'Mapa riesgos'!$AF$47="Leve"),CONCATENATE("R6C",'Mapa riesgos'!$T$47),"")</f>
        <v/>
      </c>
      <c r="O41" s="61" t="str">
        <f>IF(AND('Mapa riesgos'!$AD$48="Baja",'Mapa riesgos'!$AF$48="Leve"),CONCATENATE("R6C",'Mapa riesgos'!$T$48),"")</f>
        <v/>
      </c>
      <c r="P41" s="50" t="str">
        <f>IF(AND('Mapa riesgos'!$AD$43="Baja",'Mapa riesgos'!$AF$43="Menor"),CONCATENATE("R6C",'Mapa riesgos'!$T$43),"")</f>
        <v/>
      </c>
      <c r="Q41" s="51" t="str">
        <f>IF(AND('Mapa riesgos'!$AD$44="Baja",'Mapa riesgos'!$AF$44="Menor"),CONCATENATE("R6C",'Mapa riesgos'!$T$44),"")</f>
        <v/>
      </c>
      <c r="R41" s="51" t="str">
        <f>IF(AND('Mapa riesgos'!$AD$45="Baja",'Mapa riesgos'!$AF$45="Menor"),CONCATENATE("R6C",'Mapa riesgos'!$T$45),"")</f>
        <v/>
      </c>
      <c r="S41" s="51" t="str">
        <f>IF(AND('Mapa riesgos'!$AD$46="Baja",'Mapa riesgos'!$AF$46="Menor"),CONCATENATE("R6C",'Mapa riesgos'!$T$46),"")</f>
        <v/>
      </c>
      <c r="T41" s="51" t="str">
        <f>IF(AND('Mapa riesgos'!$AD$47="Baja",'Mapa riesgos'!$AF$47="Menor"),CONCATENATE("R6C",'Mapa riesgos'!$T$47),"")</f>
        <v/>
      </c>
      <c r="U41" s="52" t="str">
        <f>IF(AND('Mapa riesgos'!$AD$48="Baja",'Mapa riesgos'!$AF$48="Menor"),CONCATENATE("R6C",'Mapa riesgos'!$T$48),"")</f>
        <v/>
      </c>
      <c r="V41" s="50" t="str">
        <f>IF(AND('Mapa riesgos'!$AD$43="Baja",'Mapa riesgos'!$AF$43="Moderado"),CONCATENATE("R6C",'Mapa riesgos'!$T$43),"")</f>
        <v/>
      </c>
      <c r="W41" s="51" t="str">
        <f>IF(AND('Mapa riesgos'!$AD$44="Baja",'Mapa riesgos'!$AF$44="Moderado"),CONCATENATE("R6C",'Mapa riesgos'!$T$44),"")</f>
        <v/>
      </c>
      <c r="X41" s="51" t="str">
        <f>IF(AND('Mapa riesgos'!$AD$45="Baja",'Mapa riesgos'!$AF$45="Moderado"),CONCATENATE("R6C",'Mapa riesgos'!$T$45),"")</f>
        <v/>
      </c>
      <c r="Y41" s="51" t="str">
        <f>IF(AND('Mapa riesgos'!$AD$46="Baja",'Mapa riesgos'!$AF$46="Moderado"),CONCATENATE("R6C",'Mapa riesgos'!$T$46),"")</f>
        <v/>
      </c>
      <c r="Z41" s="51" t="str">
        <f>IF(AND('Mapa riesgos'!$AD$47="Baja",'Mapa riesgos'!$AF$47="Moderado"),CONCATENATE("R6C",'Mapa riesgos'!$T$47),"")</f>
        <v/>
      </c>
      <c r="AA41" s="52" t="str">
        <f>IF(AND('Mapa riesgos'!$AD$48="Baja",'Mapa riesgos'!$AF$48="Moderado"),CONCATENATE("R6C",'Mapa riesgos'!$T$48),"")</f>
        <v/>
      </c>
      <c r="AB41" s="35" t="str">
        <f>IF(AND('Mapa riesgos'!$AD$43="Baja",'Mapa riesgos'!$AF$43="Mayor"),CONCATENATE("R6C",'Mapa riesgos'!$T$43),"")</f>
        <v/>
      </c>
      <c r="AC41" s="36" t="str">
        <f>IF(AND('Mapa riesgos'!$AD$44="Baja",'Mapa riesgos'!$AF$44="Mayor"),CONCATENATE("R6C",'Mapa riesgos'!$T$44),"")</f>
        <v/>
      </c>
      <c r="AD41" s="36" t="str">
        <f>IF(AND('Mapa riesgos'!$AD$45="Baja",'Mapa riesgos'!$AF$45="Mayor"),CONCATENATE("R6C",'Mapa riesgos'!$T$45),"")</f>
        <v/>
      </c>
      <c r="AE41" s="36" t="str">
        <f>IF(AND('Mapa riesgos'!$AD$46="Baja",'Mapa riesgos'!$AF$46="Mayor"),CONCATENATE("R6C",'Mapa riesgos'!$T$46),"")</f>
        <v/>
      </c>
      <c r="AF41" s="36" t="str">
        <f>IF(AND('Mapa riesgos'!$AD$47="Baja",'Mapa riesgos'!$AF$47="Mayor"),CONCATENATE("R6C",'Mapa riesgos'!$T$47),"")</f>
        <v/>
      </c>
      <c r="AG41" s="37" t="str">
        <f>IF(AND('Mapa riesgos'!$AD$48="Baja",'Mapa riesgos'!$AF$48="Mayor"),CONCATENATE("R6C",'Mapa riesgos'!$T$48),"")</f>
        <v/>
      </c>
      <c r="AH41" s="38" t="str">
        <f>IF(AND('Mapa riesgos'!$AD$43="Baja",'Mapa riesgos'!$AF$43="Catastrófico"),CONCATENATE("R6C",'Mapa riesgos'!$T$43),"")</f>
        <v/>
      </c>
      <c r="AI41" s="39" t="str">
        <f>IF(AND('Mapa riesgos'!$AD$44="Baja",'Mapa riesgos'!$AF$44="Catastrófico"),CONCATENATE("R6C",'Mapa riesgos'!$T$44),"")</f>
        <v/>
      </c>
      <c r="AJ41" s="39" t="str">
        <f>IF(AND('Mapa riesgos'!$AD$45="Baja",'Mapa riesgos'!$AF$45="Catastrófico"),CONCATENATE("R6C",'Mapa riesgos'!$T$45),"")</f>
        <v/>
      </c>
      <c r="AK41" s="39" t="str">
        <f>IF(AND('Mapa riesgos'!$AD$46="Baja",'Mapa riesgos'!$AF$46="Catastrófico"),CONCATENATE("R6C",'Mapa riesgos'!$T$46),"")</f>
        <v/>
      </c>
      <c r="AL41" s="39" t="str">
        <f>IF(AND('Mapa riesgos'!$AD$47="Baja",'Mapa riesgos'!$AF$47="Catastrófico"),CONCATENATE("R6C",'Mapa riesgos'!$T$47),"")</f>
        <v/>
      </c>
      <c r="AM41" s="40" t="str">
        <f>IF(AND('Mapa riesgos'!$AD$48="Baja",'Mapa riesgos'!$AF$48="Catastrófico"),CONCATENATE("R6C",'Mapa riesgos'!$T$48),"")</f>
        <v/>
      </c>
      <c r="AN41" s="66"/>
      <c r="AO41" s="548"/>
      <c r="AP41" s="549"/>
      <c r="AQ41" s="549"/>
      <c r="AR41" s="549"/>
      <c r="AS41" s="549"/>
      <c r="AT41" s="550"/>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25">
      <c r="A42" s="66"/>
      <c r="B42" s="429"/>
      <c r="C42" s="429"/>
      <c r="D42" s="430"/>
      <c r="E42" s="528"/>
      <c r="F42" s="527"/>
      <c r="G42" s="527"/>
      <c r="H42" s="527"/>
      <c r="I42" s="527"/>
      <c r="J42" s="59" t="str">
        <f>IF(AND('Mapa riesgos'!$AD$49="Baja",'Mapa riesgos'!$AF$49="Leve"),CONCATENATE("R7C",'Mapa riesgos'!$T$49),"")</f>
        <v/>
      </c>
      <c r="K42" s="60" t="str">
        <f>IF(AND('Mapa riesgos'!$AD$50="Baja",'Mapa riesgos'!$AF$50="Leve"),CONCATENATE("R7C",'Mapa riesgos'!$T$50),"")</f>
        <v/>
      </c>
      <c r="L42" s="60" t="str">
        <f>IF(AND('Mapa riesgos'!$AD$51="Baja",'Mapa riesgos'!$AF$51="Leve"),CONCATENATE("R7C",'Mapa riesgos'!$T$51),"")</f>
        <v/>
      </c>
      <c r="M42" s="60" t="str">
        <f>IF(AND('Mapa riesgos'!$AD$52="Baja",'Mapa riesgos'!$AF$52="Leve"),CONCATENATE("R7C",'Mapa riesgos'!$T$52),"")</f>
        <v/>
      </c>
      <c r="N42" s="60" t="str">
        <f>IF(AND('Mapa riesgos'!$AD$53="Baja",'Mapa riesgos'!$AF$53="Leve"),CONCATENATE("R7C",'Mapa riesgos'!$T$53),"")</f>
        <v/>
      </c>
      <c r="O42" s="61" t="str">
        <f>IF(AND('Mapa riesgos'!$AD$54="Baja",'Mapa riesgos'!$AF$54="Leve"),CONCATENATE("R7C",'Mapa riesgos'!$T$54),"")</f>
        <v/>
      </c>
      <c r="P42" s="50" t="str">
        <f>IF(AND('Mapa riesgos'!$AD$49="Baja",'Mapa riesgos'!$AF$49="Menor"),CONCATENATE("R7C",'Mapa riesgos'!$T$49),"")</f>
        <v/>
      </c>
      <c r="Q42" s="51" t="str">
        <f>IF(AND('Mapa riesgos'!$AD$50="Baja",'Mapa riesgos'!$AF$50="Menor"),CONCATENATE("R7C",'Mapa riesgos'!$T$50),"")</f>
        <v/>
      </c>
      <c r="R42" s="51" t="str">
        <f>IF(AND('Mapa riesgos'!$AD$51="Baja",'Mapa riesgos'!$AF$51="Menor"),CONCATENATE("R7C",'Mapa riesgos'!$T$51),"")</f>
        <v/>
      </c>
      <c r="S42" s="51" t="str">
        <f>IF(AND('Mapa riesgos'!$AD$52="Baja",'Mapa riesgos'!$AF$52="Menor"),CONCATENATE("R7C",'Mapa riesgos'!$T$52),"")</f>
        <v/>
      </c>
      <c r="T42" s="51" t="str">
        <f>IF(AND('Mapa riesgos'!$AD$53="Baja",'Mapa riesgos'!$AF$53="Menor"),CONCATENATE("R7C",'Mapa riesgos'!$T$53),"")</f>
        <v/>
      </c>
      <c r="U42" s="52" t="str">
        <f>IF(AND('Mapa riesgos'!$AD$54="Baja",'Mapa riesgos'!$AF$54="Menor"),CONCATENATE("R7C",'Mapa riesgos'!$T$54),"")</f>
        <v/>
      </c>
      <c r="V42" s="50" t="str">
        <f>IF(AND('Mapa riesgos'!$AD$49="Baja",'Mapa riesgos'!$AF$49="Moderado"),CONCATENATE("R7C",'Mapa riesgos'!$T$49),"")</f>
        <v/>
      </c>
      <c r="W42" s="51" t="str">
        <f>IF(AND('Mapa riesgos'!$AD$50="Baja",'Mapa riesgos'!$AF$50="Moderado"),CONCATENATE("R7C",'Mapa riesgos'!$T$50),"")</f>
        <v/>
      </c>
      <c r="X42" s="51" t="str">
        <f>IF(AND('Mapa riesgos'!$AD$51="Baja",'Mapa riesgos'!$AF$51="Moderado"),CONCATENATE("R7C",'Mapa riesgos'!$T$51),"")</f>
        <v/>
      </c>
      <c r="Y42" s="51" t="str">
        <f>IF(AND('Mapa riesgos'!$AD$52="Baja",'Mapa riesgos'!$AF$52="Moderado"),CONCATENATE("R7C",'Mapa riesgos'!$T$52),"")</f>
        <v/>
      </c>
      <c r="Z42" s="51" t="str">
        <f>IF(AND('Mapa riesgos'!$AD$53="Baja",'Mapa riesgos'!$AF$53="Moderado"),CONCATENATE("R7C",'Mapa riesgos'!$T$53),"")</f>
        <v/>
      </c>
      <c r="AA42" s="52" t="str">
        <f>IF(AND('Mapa riesgos'!$AD$54="Baja",'Mapa riesgos'!$AF$54="Moderado"),CONCATENATE("R7C",'Mapa riesgos'!$T$54),"")</f>
        <v/>
      </c>
      <c r="AB42" s="35" t="str">
        <f>IF(AND('Mapa riesgos'!$AD$49="Baja",'Mapa riesgos'!$AF$49="Mayor"),CONCATENATE("R7C",'Mapa riesgos'!$T$49),"")</f>
        <v/>
      </c>
      <c r="AC42" s="36" t="str">
        <f>IF(AND('Mapa riesgos'!$AD$50="Baja",'Mapa riesgos'!$AF$50="Mayor"),CONCATENATE("R7C",'Mapa riesgos'!$T$50),"")</f>
        <v/>
      </c>
      <c r="AD42" s="36" t="str">
        <f>IF(AND('Mapa riesgos'!$AD$51="Baja",'Mapa riesgos'!$AF$51="Mayor"),CONCATENATE("R7C",'Mapa riesgos'!$T$51),"")</f>
        <v/>
      </c>
      <c r="AE42" s="36" t="str">
        <f>IF(AND('Mapa riesgos'!$AD$52="Baja",'Mapa riesgos'!$AF$52="Mayor"),CONCATENATE("R7C",'Mapa riesgos'!$T$52),"")</f>
        <v/>
      </c>
      <c r="AF42" s="36" t="str">
        <f>IF(AND('Mapa riesgos'!$AD$53="Baja",'Mapa riesgos'!$AF$53="Mayor"),CONCATENATE("R7C",'Mapa riesgos'!$T$53),"")</f>
        <v/>
      </c>
      <c r="AG42" s="37" t="str">
        <f>IF(AND('Mapa riesgos'!$AD$54="Baja",'Mapa riesgos'!$AF$54="Mayor"),CONCATENATE("R7C",'Mapa riesgos'!$T$54),"")</f>
        <v/>
      </c>
      <c r="AH42" s="38" t="str">
        <f>IF(AND('Mapa riesgos'!$AD$49="Baja",'Mapa riesgos'!$AF$49="Catastrófico"),CONCATENATE("R7C",'Mapa riesgos'!$T$49),"")</f>
        <v/>
      </c>
      <c r="AI42" s="39" t="str">
        <f>IF(AND('Mapa riesgos'!$AD$50="Baja",'Mapa riesgos'!$AF$50="Catastrófico"),CONCATENATE("R7C",'Mapa riesgos'!$T$50),"")</f>
        <v/>
      </c>
      <c r="AJ42" s="39" t="str">
        <f>IF(AND('Mapa riesgos'!$AD$51="Baja",'Mapa riesgos'!$AF$51="Catastrófico"),CONCATENATE("R7C",'Mapa riesgos'!$T$51),"")</f>
        <v/>
      </c>
      <c r="AK42" s="39" t="str">
        <f>IF(AND('Mapa riesgos'!$AD$52="Baja",'Mapa riesgos'!$AF$52="Catastrófico"),CONCATENATE("R7C",'Mapa riesgos'!$T$52),"")</f>
        <v/>
      </c>
      <c r="AL42" s="39" t="str">
        <f>IF(AND('Mapa riesgos'!$AD$53="Baja",'Mapa riesgos'!$AF$53="Catastrófico"),CONCATENATE("R7C",'Mapa riesgos'!$T$53),"")</f>
        <v/>
      </c>
      <c r="AM42" s="40" t="str">
        <f>IF(AND('Mapa riesgos'!$AD$54="Baja",'Mapa riesgos'!$AF$54="Catastrófico"),CONCATENATE("R7C",'Mapa riesgos'!$T$54),"")</f>
        <v/>
      </c>
      <c r="AN42" s="66"/>
      <c r="AO42" s="548"/>
      <c r="AP42" s="549"/>
      <c r="AQ42" s="549"/>
      <c r="AR42" s="549"/>
      <c r="AS42" s="549"/>
      <c r="AT42" s="550"/>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25">
      <c r="A43" s="66"/>
      <c r="B43" s="429"/>
      <c r="C43" s="429"/>
      <c r="D43" s="430"/>
      <c r="E43" s="528"/>
      <c r="F43" s="527"/>
      <c r="G43" s="527"/>
      <c r="H43" s="527"/>
      <c r="I43" s="527"/>
      <c r="J43" s="59" t="str">
        <f>IF(AND('Mapa riesgos'!$AD$55="Baja",'Mapa riesgos'!$AF$55="Leve"),CONCATENATE("R8C",'Mapa riesgos'!$T$55),"")</f>
        <v/>
      </c>
      <c r="K43" s="60" t="str">
        <f>IF(AND('Mapa riesgos'!$AD$56="Baja",'Mapa riesgos'!$AF$56="Leve"),CONCATENATE("R8C",'Mapa riesgos'!$T$56),"")</f>
        <v/>
      </c>
      <c r="L43" s="60" t="str">
        <f>IF(AND('Mapa riesgos'!$AD$57="Baja",'Mapa riesgos'!$AF$57="Leve"),CONCATENATE("R8C",'Mapa riesgos'!$T$57),"")</f>
        <v/>
      </c>
      <c r="M43" s="60" t="str">
        <f>IF(AND('Mapa riesgos'!$AD$58="Baja",'Mapa riesgos'!$AF$58="Leve"),CONCATENATE("R8C",'Mapa riesgos'!$T$58),"")</f>
        <v/>
      </c>
      <c r="N43" s="60" t="str">
        <f>IF(AND('Mapa riesgos'!$AD$59="Baja",'Mapa riesgos'!$AF$59="Leve"),CONCATENATE("R8C",'Mapa riesgos'!$T$59),"")</f>
        <v/>
      </c>
      <c r="O43" s="61" t="str">
        <f>IF(AND('Mapa riesgos'!$AD$60="Baja",'Mapa riesgos'!$AF$60="Leve"),CONCATENATE("R8C",'Mapa riesgos'!$T$60),"")</f>
        <v/>
      </c>
      <c r="P43" s="50" t="str">
        <f>IF(AND('Mapa riesgos'!$AD$55="Baja",'Mapa riesgos'!$AF$55="Menor"),CONCATENATE("R8C",'Mapa riesgos'!$T$55),"")</f>
        <v/>
      </c>
      <c r="Q43" s="51" t="str">
        <f>IF(AND('Mapa riesgos'!$AD$56="Baja",'Mapa riesgos'!$AF$56="Menor"),CONCATENATE("R8C",'Mapa riesgos'!$T$56),"")</f>
        <v/>
      </c>
      <c r="R43" s="51" t="str">
        <f>IF(AND('Mapa riesgos'!$AD$57="Baja",'Mapa riesgos'!$AF$57="Menor"),CONCATENATE("R8C",'Mapa riesgos'!$T$57),"")</f>
        <v/>
      </c>
      <c r="S43" s="51" t="str">
        <f>IF(AND('Mapa riesgos'!$AD$58="Baja",'Mapa riesgos'!$AF$58="Menor"),CONCATENATE("R8C",'Mapa riesgos'!$T$58),"")</f>
        <v/>
      </c>
      <c r="T43" s="51" t="str">
        <f>IF(AND('Mapa riesgos'!$AD$59="Baja",'Mapa riesgos'!$AF$59="Menor"),CONCATENATE("R8C",'Mapa riesgos'!$T$59),"")</f>
        <v/>
      </c>
      <c r="U43" s="52" t="str">
        <f>IF(AND('Mapa riesgos'!$AD$60="Baja",'Mapa riesgos'!$AF$60="Menor"),CONCATENATE("R8C",'Mapa riesgos'!$T$60),"")</f>
        <v/>
      </c>
      <c r="V43" s="50" t="str">
        <f>IF(AND('Mapa riesgos'!$AD$55="Baja",'Mapa riesgos'!$AF$55="Moderado"),CONCATENATE("R8C",'Mapa riesgos'!$T$55),"")</f>
        <v/>
      </c>
      <c r="W43" s="51" t="str">
        <f>IF(AND('Mapa riesgos'!$AD$56="Baja",'Mapa riesgos'!$AF$56="Moderado"),CONCATENATE("R8C",'Mapa riesgos'!$T$56),"")</f>
        <v/>
      </c>
      <c r="X43" s="51" t="str">
        <f>IF(AND('Mapa riesgos'!$AD$57="Baja",'Mapa riesgos'!$AF$57="Moderado"),CONCATENATE("R8C",'Mapa riesgos'!$T$57),"")</f>
        <v/>
      </c>
      <c r="Y43" s="51" t="str">
        <f>IF(AND('Mapa riesgos'!$AD$58="Baja",'Mapa riesgos'!$AF$58="Moderado"),CONCATENATE("R8C",'Mapa riesgos'!$T$58),"")</f>
        <v/>
      </c>
      <c r="Z43" s="51" t="str">
        <f>IF(AND('Mapa riesgos'!$AD$59="Baja",'Mapa riesgos'!$AF$59="Moderado"),CONCATENATE("R8C",'Mapa riesgos'!$T$59),"")</f>
        <v/>
      </c>
      <c r="AA43" s="52" t="str">
        <f>IF(AND('Mapa riesgos'!$AD$60="Baja",'Mapa riesgos'!$AF$60="Moderado"),CONCATENATE("R8C",'Mapa riesgos'!$T$60),"")</f>
        <v/>
      </c>
      <c r="AB43" s="35" t="str">
        <f>IF(AND('Mapa riesgos'!$AD$55="Baja",'Mapa riesgos'!$AF$55="Mayor"),CONCATENATE("R8C",'Mapa riesgos'!$T$55),"")</f>
        <v/>
      </c>
      <c r="AC43" s="36" t="str">
        <f>IF(AND('Mapa riesgos'!$AD$56="Baja",'Mapa riesgos'!$AF$56="Mayor"),CONCATENATE("R8C",'Mapa riesgos'!$T$56),"")</f>
        <v/>
      </c>
      <c r="AD43" s="36" t="str">
        <f>IF(AND('Mapa riesgos'!$AD$57="Baja",'Mapa riesgos'!$AF$57="Mayor"),CONCATENATE("R8C",'Mapa riesgos'!$T$57),"")</f>
        <v/>
      </c>
      <c r="AE43" s="36" t="str">
        <f>IF(AND('Mapa riesgos'!$AD$58="Baja",'Mapa riesgos'!$AF$58="Mayor"),CONCATENATE("R8C",'Mapa riesgos'!$T$58),"")</f>
        <v/>
      </c>
      <c r="AF43" s="36" t="str">
        <f>IF(AND('Mapa riesgos'!$AD$59="Baja",'Mapa riesgos'!$AF$59="Mayor"),CONCATENATE("R8C",'Mapa riesgos'!$T$59),"")</f>
        <v/>
      </c>
      <c r="AG43" s="37" t="str">
        <f>IF(AND('Mapa riesgos'!$AD$60="Baja",'Mapa riesgos'!$AF$60="Mayor"),CONCATENATE("R8C",'Mapa riesgos'!$T$60),"")</f>
        <v/>
      </c>
      <c r="AH43" s="38" t="str">
        <f>IF(AND('Mapa riesgos'!$AD$55="Baja",'Mapa riesgos'!$AF$55="Catastrófico"),CONCATENATE("R8C",'Mapa riesgos'!$T$55),"")</f>
        <v/>
      </c>
      <c r="AI43" s="39" t="str">
        <f>IF(AND('Mapa riesgos'!$AD$56="Baja",'Mapa riesgos'!$AF$56="Catastrófico"),CONCATENATE("R8C",'Mapa riesgos'!$T$56),"")</f>
        <v/>
      </c>
      <c r="AJ43" s="39" t="str">
        <f>IF(AND('Mapa riesgos'!$AD$57="Baja",'Mapa riesgos'!$AF$57="Catastrófico"),CONCATENATE("R8C",'Mapa riesgos'!$T$57),"")</f>
        <v/>
      </c>
      <c r="AK43" s="39" t="str">
        <f>IF(AND('Mapa riesgos'!$AD$58="Baja",'Mapa riesgos'!$AF$58="Catastrófico"),CONCATENATE("R8C",'Mapa riesgos'!$T$58),"")</f>
        <v/>
      </c>
      <c r="AL43" s="39" t="str">
        <f>IF(AND('Mapa riesgos'!$AD$59="Baja",'Mapa riesgos'!$AF$59="Catastrófico"),CONCATENATE("R8C",'Mapa riesgos'!$T$59),"")</f>
        <v/>
      </c>
      <c r="AM43" s="40" t="str">
        <f>IF(AND('Mapa riesgos'!$AD$60="Baja",'Mapa riesgos'!$AF$60="Catastrófico"),CONCATENATE("R8C",'Mapa riesgos'!$T$60),"")</f>
        <v/>
      </c>
      <c r="AN43" s="66"/>
      <c r="AO43" s="548"/>
      <c r="AP43" s="549"/>
      <c r="AQ43" s="549"/>
      <c r="AR43" s="549"/>
      <c r="AS43" s="549"/>
      <c r="AT43" s="550"/>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25">
      <c r="A44" s="66"/>
      <c r="B44" s="429"/>
      <c r="C44" s="429"/>
      <c r="D44" s="430"/>
      <c r="E44" s="528"/>
      <c r="F44" s="527"/>
      <c r="G44" s="527"/>
      <c r="H44" s="527"/>
      <c r="I44" s="527"/>
      <c r="J44" s="59" t="str">
        <f>IF(AND('Mapa riesgos'!$AD$61="Baja",'Mapa riesgos'!$AF$61="Leve"),CONCATENATE("R9C",'Mapa riesgos'!$T$61),"")</f>
        <v/>
      </c>
      <c r="K44" s="60" t="str">
        <f>IF(AND('Mapa riesgos'!$AD$62="Baja",'Mapa riesgos'!$AF$62="Leve"),CONCATENATE("R9C",'Mapa riesgos'!$T$62),"")</f>
        <v/>
      </c>
      <c r="L44" s="60" t="str">
        <f>IF(AND('Mapa riesgos'!$AD$63="Baja",'Mapa riesgos'!$AF$63="Leve"),CONCATENATE("R9C",'Mapa riesgos'!$T$63),"")</f>
        <v/>
      </c>
      <c r="M44" s="60" t="str">
        <f>IF(AND('Mapa riesgos'!$AD$64="Baja",'Mapa riesgos'!$AF$64="Leve"),CONCATENATE("R9C",'Mapa riesgos'!$T$64),"")</f>
        <v/>
      </c>
      <c r="N44" s="60" t="str">
        <f>IF(AND('Mapa riesgos'!$AD$65="Baja",'Mapa riesgos'!$AF$65="Leve"),CONCATENATE("R9C",'Mapa riesgos'!$T$65),"")</f>
        <v/>
      </c>
      <c r="O44" s="61" t="str">
        <f>IF(AND('Mapa riesgos'!$AD$66="Baja",'Mapa riesgos'!$AF$66="Leve"),CONCATENATE("R9C",'Mapa riesgos'!$T$66),"")</f>
        <v/>
      </c>
      <c r="P44" s="50" t="str">
        <f>IF(AND('Mapa riesgos'!$AD$61="Baja",'Mapa riesgos'!$AF$61="Menor"),CONCATENATE("R9C",'Mapa riesgos'!$T$61),"")</f>
        <v/>
      </c>
      <c r="Q44" s="51" t="str">
        <f>IF(AND('Mapa riesgos'!$AD$62="Baja",'Mapa riesgos'!$AF$62="Menor"),CONCATENATE("R9C",'Mapa riesgos'!$T$62),"")</f>
        <v/>
      </c>
      <c r="R44" s="51" t="str">
        <f>IF(AND('Mapa riesgos'!$AD$63="Baja",'Mapa riesgos'!$AF$63="Menor"),CONCATENATE("R9C",'Mapa riesgos'!$T$63),"")</f>
        <v/>
      </c>
      <c r="S44" s="51" t="str">
        <f>IF(AND('Mapa riesgos'!$AD$64="Baja",'Mapa riesgos'!$AF$64="Menor"),CONCATENATE("R9C",'Mapa riesgos'!$T$64),"")</f>
        <v/>
      </c>
      <c r="T44" s="51" t="str">
        <f>IF(AND('Mapa riesgos'!$AD$65="Baja",'Mapa riesgos'!$AF$65="Menor"),CONCATENATE("R9C",'Mapa riesgos'!$T$65),"")</f>
        <v/>
      </c>
      <c r="U44" s="52" t="str">
        <f>IF(AND('Mapa riesgos'!$AD$66="Baja",'Mapa riesgos'!$AF$66="Menor"),CONCATENATE("R9C",'Mapa riesgos'!$T$66),"")</f>
        <v/>
      </c>
      <c r="V44" s="50" t="str">
        <f>IF(AND('Mapa riesgos'!$AD$61="Baja",'Mapa riesgos'!$AF$61="Moderado"),CONCATENATE("R9C",'Mapa riesgos'!$T$61),"")</f>
        <v/>
      </c>
      <c r="W44" s="51" t="str">
        <f>IF(AND('Mapa riesgos'!$AD$62="Baja",'Mapa riesgos'!$AF$62="Moderado"),CONCATENATE("R9C",'Mapa riesgos'!$T$62),"")</f>
        <v/>
      </c>
      <c r="X44" s="51" t="str">
        <f>IF(AND('Mapa riesgos'!$AD$63="Baja",'Mapa riesgos'!$AF$63="Moderado"),CONCATENATE("R9C",'Mapa riesgos'!$T$63),"")</f>
        <v/>
      </c>
      <c r="Y44" s="51" t="str">
        <f>IF(AND('Mapa riesgos'!$AD$64="Baja",'Mapa riesgos'!$AF$64="Moderado"),CONCATENATE("R9C",'Mapa riesgos'!$T$64),"")</f>
        <v/>
      </c>
      <c r="Z44" s="51" t="str">
        <f>IF(AND('Mapa riesgos'!$AD$65="Baja",'Mapa riesgos'!$AF$65="Moderado"),CONCATENATE("R9C",'Mapa riesgos'!$T$65),"")</f>
        <v/>
      </c>
      <c r="AA44" s="52" t="str">
        <f>IF(AND('Mapa riesgos'!$AD$66="Baja",'Mapa riesgos'!$AF$66="Moderado"),CONCATENATE("R9C",'Mapa riesgos'!$T$66),"")</f>
        <v/>
      </c>
      <c r="AB44" s="35" t="str">
        <f>IF(AND('Mapa riesgos'!$AD$61="Baja",'Mapa riesgos'!$AF$61="Mayor"),CONCATENATE("R9C",'Mapa riesgos'!$T$61),"")</f>
        <v/>
      </c>
      <c r="AC44" s="36" t="str">
        <f>IF(AND('Mapa riesgos'!$AD$62="Baja",'Mapa riesgos'!$AF$62="Mayor"),CONCATENATE("R9C",'Mapa riesgos'!$T$62),"")</f>
        <v/>
      </c>
      <c r="AD44" s="36" t="str">
        <f>IF(AND('Mapa riesgos'!$AD$63="Baja",'Mapa riesgos'!$AF$63="Mayor"),CONCATENATE("R9C",'Mapa riesgos'!$T$63),"")</f>
        <v/>
      </c>
      <c r="AE44" s="36" t="str">
        <f>IF(AND('Mapa riesgos'!$AD$64="Baja",'Mapa riesgos'!$AF$64="Mayor"),CONCATENATE("R9C",'Mapa riesgos'!$T$64),"")</f>
        <v/>
      </c>
      <c r="AF44" s="36" t="str">
        <f>IF(AND('Mapa riesgos'!$AD$65="Baja",'Mapa riesgos'!$AF$65="Mayor"),CONCATENATE("R9C",'Mapa riesgos'!$T$65),"")</f>
        <v/>
      </c>
      <c r="AG44" s="37" t="str">
        <f>IF(AND('Mapa riesgos'!$AD$66="Baja",'Mapa riesgos'!$AF$66="Mayor"),CONCATENATE("R9C",'Mapa riesgos'!$T$66),"")</f>
        <v/>
      </c>
      <c r="AH44" s="38" t="str">
        <f>IF(AND('Mapa riesgos'!$AD$61="Baja",'Mapa riesgos'!$AF$61="Catastrófico"),CONCATENATE("R9C",'Mapa riesgos'!$T$61),"")</f>
        <v/>
      </c>
      <c r="AI44" s="39" t="str">
        <f>IF(AND('Mapa riesgos'!$AD$62="Baja",'Mapa riesgos'!$AF$62="Catastrófico"),CONCATENATE("R9C",'Mapa riesgos'!$T$62),"")</f>
        <v/>
      </c>
      <c r="AJ44" s="39" t="str">
        <f>IF(AND('Mapa riesgos'!$AD$63="Baja",'Mapa riesgos'!$AF$63="Catastrófico"),CONCATENATE("R9C",'Mapa riesgos'!$T$63),"")</f>
        <v/>
      </c>
      <c r="AK44" s="39" t="str">
        <f>IF(AND('Mapa riesgos'!$AD$64="Baja",'Mapa riesgos'!$AF$64="Catastrófico"),CONCATENATE("R9C",'Mapa riesgos'!$T$64),"")</f>
        <v/>
      </c>
      <c r="AL44" s="39" t="str">
        <f>IF(AND('Mapa riesgos'!$AD$65="Baja",'Mapa riesgos'!$AF$65="Catastrófico"),CONCATENATE("R9C",'Mapa riesgos'!$T$65),"")</f>
        <v/>
      </c>
      <c r="AM44" s="40" t="str">
        <f>IF(AND('Mapa riesgos'!$AD$66="Baja",'Mapa riesgos'!$AF$66="Catastrófico"),CONCATENATE("R9C",'Mapa riesgos'!$T$66),"")</f>
        <v/>
      </c>
      <c r="AN44" s="66"/>
      <c r="AO44" s="548"/>
      <c r="AP44" s="549"/>
      <c r="AQ44" s="549"/>
      <c r="AR44" s="549"/>
      <c r="AS44" s="549"/>
      <c r="AT44" s="550"/>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
      <c r="A45" s="66"/>
      <c r="B45" s="429"/>
      <c r="C45" s="429"/>
      <c r="D45" s="430"/>
      <c r="E45" s="529"/>
      <c r="F45" s="530"/>
      <c r="G45" s="530"/>
      <c r="H45" s="530"/>
      <c r="I45" s="530"/>
      <c r="J45" s="62" t="str">
        <f>IF(AND('Mapa riesgos'!$AD$67="Baja",'Mapa riesgos'!$AF$67="Leve"),CONCATENATE("R10C",'Mapa riesgos'!$T$67),"")</f>
        <v/>
      </c>
      <c r="K45" s="63" t="str">
        <f>IF(AND('Mapa riesgos'!$AD$68="Baja",'Mapa riesgos'!$AF$68="Leve"),CONCATENATE("R10C",'Mapa riesgos'!$T$68),"")</f>
        <v/>
      </c>
      <c r="L45" s="63" t="str">
        <f>IF(AND('Mapa riesgos'!$AD$69="Baja",'Mapa riesgos'!$AF$69="Leve"),CONCATENATE("R10C",'Mapa riesgos'!$T$69),"")</f>
        <v/>
      </c>
      <c r="M45" s="63" t="str">
        <f>IF(AND('Mapa riesgos'!$AD$70="Baja",'Mapa riesgos'!$AF$70="Leve"),CONCATENATE("R10C",'Mapa riesgos'!$T$70),"")</f>
        <v/>
      </c>
      <c r="N45" s="63" t="str">
        <f>IF(AND('Mapa riesgos'!$AD$71="Baja",'Mapa riesgos'!$AF$71="Leve"),CONCATENATE("R10C",'Mapa riesgos'!$T$71),"")</f>
        <v/>
      </c>
      <c r="O45" s="64" t="str">
        <f>IF(AND('Mapa riesgos'!$AD$72="Baja",'Mapa riesgos'!$AF$72="Leve"),CONCATENATE("R10C",'Mapa riesgos'!$T$72),"")</f>
        <v/>
      </c>
      <c r="P45" s="50" t="str">
        <f>IF(AND('Mapa riesgos'!$AD$67="Baja",'Mapa riesgos'!$AF$67="Menor"),CONCATENATE("R10C",'Mapa riesgos'!$T$67),"")</f>
        <v/>
      </c>
      <c r="Q45" s="51" t="str">
        <f>IF(AND('Mapa riesgos'!$AD$68="Baja",'Mapa riesgos'!$AF$68="Menor"),CONCATENATE("R10C",'Mapa riesgos'!$T$68),"")</f>
        <v/>
      </c>
      <c r="R45" s="51" t="str">
        <f>IF(AND('Mapa riesgos'!$AD$69="Baja",'Mapa riesgos'!$AF$69="Menor"),CONCATENATE("R10C",'Mapa riesgos'!$T$69),"")</f>
        <v/>
      </c>
      <c r="S45" s="51" t="str">
        <f>IF(AND('Mapa riesgos'!$AD$70="Baja",'Mapa riesgos'!$AF$70="Menor"),CONCATENATE("R10C",'Mapa riesgos'!$T$70),"")</f>
        <v/>
      </c>
      <c r="T45" s="51" t="str">
        <f>IF(AND('Mapa riesgos'!$AD$71="Baja",'Mapa riesgos'!$AF$71="Menor"),CONCATENATE("R10C",'Mapa riesgos'!$T$71),"")</f>
        <v/>
      </c>
      <c r="U45" s="52" t="str">
        <f>IF(AND('Mapa riesgos'!$AD$72="Baja",'Mapa riesgos'!$AF$72="Menor"),CONCATENATE("R10C",'Mapa riesgos'!$T$72),"")</f>
        <v/>
      </c>
      <c r="V45" s="53" t="str">
        <f>IF(AND('Mapa riesgos'!$AD$67="Baja",'Mapa riesgos'!$AF$67="Moderado"),CONCATENATE("R10C",'Mapa riesgos'!$T$67),"")</f>
        <v/>
      </c>
      <c r="W45" s="54" t="str">
        <f>IF(AND('Mapa riesgos'!$AD$68="Baja",'Mapa riesgos'!$AF$68="Moderado"),CONCATENATE("R10C",'Mapa riesgos'!$T$68),"")</f>
        <v/>
      </c>
      <c r="X45" s="54" t="str">
        <f>IF(AND('Mapa riesgos'!$AD$69="Baja",'Mapa riesgos'!$AF$69="Moderado"),CONCATENATE("R10C",'Mapa riesgos'!$T$69),"")</f>
        <v/>
      </c>
      <c r="Y45" s="54" t="str">
        <f>IF(AND('Mapa riesgos'!$AD$70="Baja",'Mapa riesgos'!$AF$70="Moderado"),CONCATENATE("R10C",'Mapa riesgos'!$T$70),"")</f>
        <v/>
      </c>
      <c r="Z45" s="54" t="str">
        <f>IF(AND('Mapa riesgos'!$AD$71="Baja",'Mapa riesgos'!$AF$71="Moderado"),CONCATENATE("R10C",'Mapa riesgos'!$T$71),"")</f>
        <v/>
      </c>
      <c r="AA45" s="55" t="str">
        <f>IF(AND('Mapa riesgos'!$AD$72="Baja",'Mapa riesgos'!$AF$72="Moderado"),CONCATENATE("R10C",'Mapa riesgos'!$T$72),"")</f>
        <v/>
      </c>
      <c r="AB45" s="41" t="str">
        <f>IF(AND('Mapa riesgos'!$AD$67="Baja",'Mapa riesgos'!$AF$67="Mayor"),CONCATENATE("R10C",'Mapa riesgos'!$T$67),"")</f>
        <v/>
      </c>
      <c r="AC45" s="42" t="str">
        <f>IF(AND('Mapa riesgos'!$AD$68="Baja",'Mapa riesgos'!$AF$68="Mayor"),CONCATENATE("R10C",'Mapa riesgos'!$T$68),"")</f>
        <v/>
      </c>
      <c r="AD45" s="42" t="str">
        <f>IF(AND('Mapa riesgos'!$AD$69="Baja",'Mapa riesgos'!$AF$69="Mayor"),CONCATENATE("R10C",'Mapa riesgos'!$T$69),"")</f>
        <v/>
      </c>
      <c r="AE45" s="42" t="str">
        <f>IF(AND('Mapa riesgos'!$AD$70="Baja",'Mapa riesgos'!$AF$70="Mayor"),CONCATENATE("R10C",'Mapa riesgos'!$T$70),"")</f>
        <v/>
      </c>
      <c r="AF45" s="42" t="str">
        <f>IF(AND('Mapa riesgos'!$AD$71="Baja",'Mapa riesgos'!$AF$71="Mayor"),CONCATENATE("R10C",'Mapa riesgos'!$T$71),"")</f>
        <v/>
      </c>
      <c r="AG45" s="43" t="str">
        <f>IF(AND('Mapa riesgos'!$AD$72="Baja",'Mapa riesgos'!$AF$72="Mayor"),CONCATENATE("R10C",'Mapa riesgos'!$T$72),"")</f>
        <v/>
      </c>
      <c r="AH45" s="44" t="str">
        <f>IF(AND('Mapa riesgos'!$AD$67="Baja",'Mapa riesgos'!$AF$67="Catastrófico"),CONCATENATE("R10C",'Mapa riesgos'!$T$67),"")</f>
        <v/>
      </c>
      <c r="AI45" s="45" t="str">
        <f>IF(AND('Mapa riesgos'!$AD$68="Baja",'Mapa riesgos'!$AF$68="Catastrófico"),CONCATENATE("R10C",'Mapa riesgos'!$T$68),"")</f>
        <v/>
      </c>
      <c r="AJ45" s="45" t="str">
        <f>IF(AND('Mapa riesgos'!$AD$69="Baja",'Mapa riesgos'!$AF$69="Catastrófico"),CONCATENATE("R10C",'Mapa riesgos'!$T$69),"")</f>
        <v/>
      </c>
      <c r="AK45" s="45" t="str">
        <f>IF(AND('Mapa riesgos'!$AD$70="Baja",'Mapa riesgos'!$AF$70="Catastrófico"),CONCATENATE("R10C",'Mapa riesgos'!$T$70),"")</f>
        <v/>
      </c>
      <c r="AL45" s="45" t="str">
        <f>IF(AND('Mapa riesgos'!$AD$71="Baja",'Mapa riesgos'!$AF$71="Catastrófico"),CONCATENATE("R10C",'Mapa riesgos'!$T$71),"")</f>
        <v/>
      </c>
      <c r="AM45" s="46" t="str">
        <f>IF(AND('Mapa riesgos'!$AD$72="Baja",'Mapa riesgos'!$AF$72="Catastrófico"),CONCATENATE("R10C",'Mapa riesgos'!$T$72),"")</f>
        <v/>
      </c>
      <c r="AN45" s="66"/>
      <c r="AO45" s="551"/>
      <c r="AP45" s="552"/>
      <c r="AQ45" s="552"/>
      <c r="AR45" s="552"/>
      <c r="AS45" s="552"/>
      <c r="AT45" s="553"/>
    </row>
    <row r="46" spans="1:80" ht="46.5" customHeight="1" x14ac:dyDescent="0.35">
      <c r="A46" s="66"/>
      <c r="B46" s="429"/>
      <c r="C46" s="429"/>
      <c r="D46" s="430"/>
      <c r="E46" s="524" t="s">
        <v>185</v>
      </c>
      <c r="F46" s="525"/>
      <c r="G46" s="525"/>
      <c r="H46" s="525"/>
      <c r="I46" s="542"/>
      <c r="J46" s="56" t="str">
        <f>IF(AND('Mapa riesgos'!$AD$13="Muy Baja",'Mapa riesgos'!$AF$13="Leve"),CONCATENATE("R1C",'Mapa riesgos'!$T$13),"")</f>
        <v/>
      </c>
      <c r="K46" s="57" t="str">
        <f>IF(AND('Mapa riesgos'!$AD$14="Muy Baja",'Mapa riesgos'!$AF$14="Leve"),CONCATENATE("R1C",'Mapa riesgos'!$T$14),"")</f>
        <v/>
      </c>
      <c r="L46" s="57" t="str">
        <f>IF(AND('Mapa riesgos'!$AD$15="Muy Baja",'Mapa riesgos'!$AF$15="Leve"),CONCATENATE("R1C",'Mapa riesgos'!$T$15),"")</f>
        <v/>
      </c>
      <c r="M46" s="57" t="str">
        <f>IF(AND('Mapa riesgos'!$AD$16="Muy Baja",'Mapa riesgos'!$AF$16="Leve"),CONCATENATE("R1C",'Mapa riesgos'!$T$16),"")</f>
        <v/>
      </c>
      <c r="N46" s="57" t="str">
        <f>IF(AND('Mapa riesgos'!$AD$17="Muy Baja",'Mapa riesgos'!$AF$17="Leve"),CONCATENATE("R1C",'Mapa riesgos'!$T$17),"")</f>
        <v/>
      </c>
      <c r="O46" s="58" t="str">
        <f>IF(AND('Mapa riesgos'!$AD$18="Muy Baja",'Mapa riesgos'!$AF$18="Leve"),CONCATENATE("R1C",'Mapa riesgos'!$T$18),"")</f>
        <v/>
      </c>
      <c r="P46" s="56" t="str">
        <f>IF(AND('Mapa riesgos'!$AD$13="Muy Baja",'Mapa riesgos'!$AF$13="Menor"),CONCATENATE("R1C",'Mapa riesgos'!$T$13),"")</f>
        <v/>
      </c>
      <c r="Q46" s="57" t="str">
        <f>IF(AND('Mapa riesgos'!$AD$14="Muy Baja",'Mapa riesgos'!$AF$14="Menor"),CONCATENATE("R1C",'Mapa riesgos'!$T$14),"")</f>
        <v/>
      </c>
      <c r="R46" s="57" t="str">
        <f>IF(AND('Mapa riesgos'!$AD$15="Muy Baja",'Mapa riesgos'!$AF$15="Menor"),CONCATENATE("R1C",'Mapa riesgos'!$T$15),"")</f>
        <v/>
      </c>
      <c r="S46" s="57" t="str">
        <f>IF(AND('Mapa riesgos'!$AD$16="Muy Baja",'Mapa riesgos'!$AF$16="Menor"),CONCATENATE("R1C",'Mapa riesgos'!$T$16),"")</f>
        <v/>
      </c>
      <c r="T46" s="57" t="str">
        <f>IF(AND('Mapa riesgos'!$AD$17="Muy Baja",'Mapa riesgos'!$AF$17="Menor"),CONCATENATE("R1C",'Mapa riesgos'!$T$17),"")</f>
        <v/>
      </c>
      <c r="U46" s="58" t="str">
        <f>IF(AND('Mapa riesgos'!$AD$18="Muy Baja",'Mapa riesgos'!$AF$18="Menor"),CONCATENATE("R1C",'Mapa riesgos'!$T$18),"")</f>
        <v/>
      </c>
      <c r="V46" s="47" t="str">
        <f>IF(AND('Mapa riesgos'!$AD$13="Muy Baja",'Mapa riesgos'!$AF$13="Moderado"),CONCATENATE("R1C",'Mapa riesgos'!$T$13),"")</f>
        <v/>
      </c>
      <c r="W46" s="65" t="str">
        <f>IF(AND('Mapa riesgos'!$AD$14="Muy Baja",'Mapa riesgos'!$AF$14="Moderado"),CONCATENATE("R1C",'Mapa riesgos'!$T$14),"")</f>
        <v/>
      </c>
      <c r="X46" s="48" t="str">
        <f>IF(AND('Mapa riesgos'!$AD$15="Muy Baja",'Mapa riesgos'!$AF$15="Moderado"),CONCATENATE("R1C",'Mapa riesgos'!$T$15),"")</f>
        <v/>
      </c>
      <c r="Y46" s="48" t="str">
        <f>IF(AND('Mapa riesgos'!$AD$16="Muy Baja",'Mapa riesgos'!$AF$16="Moderado"),CONCATENATE("R1C",'Mapa riesgos'!$T$16),"")</f>
        <v/>
      </c>
      <c r="Z46" s="48" t="str">
        <f>IF(AND('Mapa riesgos'!$AD$17="Muy Baja",'Mapa riesgos'!$AF$17="Moderado"),CONCATENATE("R1C",'Mapa riesgos'!$T$17),"")</f>
        <v/>
      </c>
      <c r="AA46" s="49" t="str">
        <f>IF(AND('Mapa riesgos'!$AD$18="Muy Baja",'Mapa riesgos'!$AF$18="Moderado"),CONCATENATE("R1C",'Mapa riesgos'!$T$18),"")</f>
        <v/>
      </c>
      <c r="AB46" s="29" t="str">
        <f>IF(AND('Mapa riesgos'!$AD$13="Muy Baja",'Mapa riesgos'!$AF$13="Mayor"),CONCATENATE("R1C",'Mapa riesgos'!$T$13),"")</f>
        <v/>
      </c>
      <c r="AC46" s="30" t="str">
        <f>IF(AND('Mapa riesgos'!$AD$14="Muy Baja",'Mapa riesgos'!$AF$14="Mayor"),CONCATENATE("R1C",'Mapa riesgos'!$T$14),"")</f>
        <v/>
      </c>
      <c r="AD46" s="30" t="str">
        <f>IF(AND('Mapa riesgos'!$AD$15="Muy Baja",'Mapa riesgos'!$AF$15="Mayor"),CONCATENATE("R1C",'Mapa riesgos'!$T$15),"")</f>
        <v/>
      </c>
      <c r="AE46" s="30" t="str">
        <f>IF(AND('Mapa riesgos'!$AD$16="Muy Baja",'Mapa riesgos'!$AF$16="Mayor"),CONCATENATE("R1C",'Mapa riesgos'!$T$16),"")</f>
        <v/>
      </c>
      <c r="AF46" s="30" t="str">
        <f>IF(AND('Mapa riesgos'!$AD$17="Muy Baja",'Mapa riesgos'!$AF$17="Mayor"),CONCATENATE("R1C",'Mapa riesgos'!$T$17),"")</f>
        <v/>
      </c>
      <c r="AG46" s="31" t="str">
        <f>IF(AND('Mapa riesgos'!$AD$18="Muy Baja",'Mapa riesgos'!$AF$18="Mayor"),CONCATENATE("R1C",'Mapa riesgos'!$T$18),"")</f>
        <v/>
      </c>
      <c r="AH46" s="32" t="str">
        <f>IF(AND('Mapa riesgos'!$AD$13="Muy Baja",'Mapa riesgos'!$AF$13="Catastrófico"),CONCATENATE("R1C",'Mapa riesgos'!$T$13),"")</f>
        <v/>
      </c>
      <c r="AI46" s="33" t="str">
        <f>IF(AND('Mapa riesgos'!$AD$14="Muy Baja",'Mapa riesgos'!$AF$14="Catastrófico"),CONCATENATE("R1C",'Mapa riesgos'!$T$14),"")</f>
        <v/>
      </c>
      <c r="AJ46" s="33" t="str">
        <f>IF(AND('Mapa riesgos'!$AD$15="Muy Baja",'Mapa riesgos'!$AF$15="Catastrófico"),CONCATENATE("R1C",'Mapa riesgos'!$T$15),"")</f>
        <v/>
      </c>
      <c r="AK46" s="33" t="str">
        <f>IF(AND('Mapa riesgos'!$AD$16="Muy Baja",'Mapa riesgos'!$AF$16="Catastrófico"),CONCATENATE("R1C",'Mapa riesgos'!$T$16),"")</f>
        <v/>
      </c>
      <c r="AL46" s="33" t="str">
        <f>IF(AND('Mapa riesgos'!$AD$17="Muy Baja",'Mapa riesgos'!$AF$17="Catastrófico"),CONCATENATE("R1C",'Mapa riesgos'!$T$17),"")</f>
        <v/>
      </c>
      <c r="AM46" s="34" t="str">
        <f>IF(AND('Mapa riesgos'!$AD$18="Muy Baja",'Mapa riesgos'!$AF$18="Catastrófico"),CONCATENATE("R1C",'Mapa riesgos'!$T$18),"")</f>
        <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25">
      <c r="A47" s="66"/>
      <c r="B47" s="429"/>
      <c r="C47" s="429"/>
      <c r="D47" s="430"/>
      <c r="E47" s="526"/>
      <c r="F47" s="527"/>
      <c r="G47" s="527"/>
      <c r="H47" s="527"/>
      <c r="I47" s="543"/>
      <c r="J47" s="59" t="str">
        <f>IF(AND('Mapa riesgos'!$AD$19="Muy Baja",'Mapa riesgos'!$AF$19="Leve"),CONCATENATE("R2C",'Mapa riesgos'!$T$19),"")</f>
        <v/>
      </c>
      <c r="K47" s="60" t="str">
        <f>IF(AND('Mapa riesgos'!$AD$20="Muy Baja",'Mapa riesgos'!$AF$20="Leve"),CONCATENATE("R2C",'Mapa riesgos'!$T$20),"")</f>
        <v/>
      </c>
      <c r="L47" s="60" t="str">
        <f>IF(AND('Mapa riesgos'!$AD$21="Muy Baja",'Mapa riesgos'!$AF$21="Leve"),CONCATENATE("R2C",'Mapa riesgos'!$T$21),"")</f>
        <v/>
      </c>
      <c r="M47" s="60" t="str">
        <f>IF(AND('Mapa riesgos'!$AD$22="Muy Baja",'Mapa riesgos'!$AF$22="Leve"),CONCATENATE("R2C",'Mapa riesgos'!$T$22),"")</f>
        <v/>
      </c>
      <c r="N47" s="60" t="str">
        <f>IF(AND('Mapa riesgos'!$AD$23="Muy Baja",'Mapa riesgos'!$AF$23="Leve"),CONCATENATE("R2C",'Mapa riesgos'!$T$23),"")</f>
        <v/>
      </c>
      <c r="O47" s="61" t="str">
        <f>IF(AND('Mapa riesgos'!$AD$24="Muy Baja",'Mapa riesgos'!$AF$24="Leve"),CONCATENATE("R2C",'Mapa riesgos'!$T$24),"")</f>
        <v/>
      </c>
      <c r="P47" s="59" t="str">
        <f>IF(AND('Mapa riesgos'!$AD$19="Muy Baja",'Mapa riesgos'!$AF$19="Menor"),CONCATENATE("R2C",'Mapa riesgos'!$T$19),"")</f>
        <v/>
      </c>
      <c r="Q47" s="60" t="str">
        <f>IF(AND('Mapa riesgos'!$AD$20="Muy Baja",'Mapa riesgos'!$AF$20="Menor"),CONCATENATE("R2C",'Mapa riesgos'!$T$20),"")</f>
        <v/>
      </c>
      <c r="R47" s="60" t="str">
        <f>IF(AND('Mapa riesgos'!$AD$21="Muy Baja",'Mapa riesgos'!$AF$21="Menor"),CONCATENATE("R2C",'Mapa riesgos'!$T$21),"")</f>
        <v/>
      </c>
      <c r="S47" s="60" t="str">
        <f>IF(AND('Mapa riesgos'!$AD$22="Muy Baja",'Mapa riesgos'!$AF$22="Menor"),CONCATENATE("R2C",'Mapa riesgos'!$T$22),"")</f>
        <v/>
      </c>
      <c r="T47" s="60" t="str">
        <f>IF(AND('Mapa riesgos'!$AD$23="Muy Baja",'Mapa riesgos'!$AF$23="Menor"),CONCATENATE("R2C",'Mapa riesgos'!$T$23),"")</f>
        <v/>
      </c>
      <c r="U47" s="61" t="str">
        <f>IF(AND('Mapa riesgos'!$AD$24="Muy Baja",'Mapa riesgos'!$AF$24="Menor"),CONCATENATE("R2C",'Mapa riesgos'!$T$24),"")</f>
        <v/>
      </c>
      <c r="V47" s="50" t="str">
        <f>IF(AND('Mapa riesgos'!$AD$19="Muy Baja",'Mapa riesgos'!$AF$19="Moderado"),CONCATENATE("R2C",'Mapa riesgos'!$T$19),"")</f>
        <v/>
      </c>
      <c r="W47" s="51" t="str">
        <f>IF(AND('Mapa riesgos'!$AD$20="Muy Baja",'Mapa riesgos'!$AF$20="Moderado"),CONCATENATE("R2C",'Mapa riesgos'!$T$20),"")</f>
        <v/>
      </c>
      <c r="X47" s="51" t="str">
        <f>IF(AND('Mapa riesgos'!$AD$21="Muy Baja",'Mapa riesgos'!$AF$21="Moderado"),CONCATENATE("R2C",'Mapa riesgos'!$T$21),"")</f>
        <v/>
      </c>
      <c r="Y47" s="51" t="str">
        <f>IF(AND('Mapa riesgos'!$AD$22="Muy Baja",'Mapa riesgos'!$AF$22="Moderado"),CONCATENATE("R2C",'Mapa riesgos'!$T$22),"")</f>
        <v/>
      </c>
      <c r="Z47" s="51" t="str">
        <f>IF(AND('Mapa riesgos'!$AD$23="Muy Baja",'Mapa riesgos'!$AF$23="Moderado"),CONCATENATE("R2C",'Mapa riesgos'!$T$23),"")</f>
        <v/>
      </c>
      <c r="AA47" s="52" t="str">
        <f>IF(AND('Mapa riesgos'!$AD$24="Muy Baja",'Mapa riesgos'!$AF$24="Moderado"),CONCATENATE("R2C",'Mapa riesgos'!$T$24),"")</f>
        <v/>
      </c>
      <c r="AB47" s="35" t="str">
        <f>IF(AND('Mapa riesgos'!$AD$19="Muy Baja",'Mapa riesgos'!$AF$19="Mayor"),CONCATENATE("R2C",'Mapa riesgos'!$T$19),"")</f>
        <v/>
      </c>
      <c r="AC47" s="36" t="str">
        <f>IF(AND('Mapa riesgos'!$AD$20="Muy Baja",'Mapa riesgos'!$AF$20="Mayor"),CONCATENATE("R2C",'Mapa riesgos'!$T$20),"")</f>
        <v/>
      </c>
      <c r="AD47" s="36" t="str">
        <f>IF(AND('Mapa riesgos'!$AD$21="Muy Baja",'Mapa riesgos'!$AF$21="Mayor"),CONCATENATE("R2C",'Mapa riesgos'!$T$21),"")</f>
        <v/>
      </c>
      <c r="AE47" s="36" t="str">
        <f>IF(AND('Mapa riesgos'!$AD$22="Muy Baja",'Mapa riesgos'!$AF$22="Mayor"),CONCATENATE("R2C",'Mapa riesgos'!$T$22),"")</f>
        <v/>
      </c>
      <c r="AF47" s="36" t="str">
        <f>IF(AND('Mapa riesgos'!$AD$23="Muy Baja",'Mapa riesgos'!$AF$23="Mayor"),CONCATENATE("R2C",'Mapa riesgos'!$T$23),"")</f>
        <v/>
      </c>
      <c r="AG47" s="37" t="str">
        <f>IF(AND('Mapa riesgos'!$AD$24="Muy Baja",'Mapa riesgos'!$AF$24="Mayor"),CONCATENATE("R2C",'Mapa riesgos'!$T$24),"")</f>
        <v/>
      </c>
      <c r="AH47" s="38" t="str">
        <f>IF(AND('Mapa riesgos'!$AD$19="Muy Baja",'Mapa riesgos'!$AF$19="Catastrófico"),CONCATENATE("R2C",'Mapa riesgos'!$T$19),"")</f>
        <v/>
      </c>
      <c r="AI47" s="39" t="str">
        <f>IF(AND('Mapa riesgos'!$AD$20="Muy Baja",'Mapa riesgos'!$AF$20="Catastrófico"),CONCATENATE("R2C",'Mapa riesgos'!$T$20),"")</f>
        <v/>
      </c>
      <c r="AJ47" s="39" t="str">
        <f>IF(AND('Mapa riesgos'!$AD$21="Muy Baja",'Mapa riesgos'!$AF$21="Catastrófico"),CONCATENATE("R2C",'Mapa riesgos'!$T$21),"")</f>
        <v/>
      </c>
      <c r="AK47" s="39" t="str">
        <f>IF(AND('Mapa riesgos'!$AD$22="Muy Baja",'Mapa riesgos'!$AF$22="Catastrófico"),CONCATENATE("R2C",'Mapa riesgos'!$T$22),"")</f>
        <v/>
      </c>
      <c r="AL47" s="39" t="str">
        <f>IF(AND('Mapa riesgos'!$AD$23="Muy Baja",'Mapa riesgos'!$AF$23="Catastrófico"),CONCATENATE("R2C",'Mapa riesgos'!$T$23),"")</f>
        <v/>
      </c>
      <c r="AM47" s="40" t="str">
        <f>IF(AND('Mapa riesgos'!$AD$24="Muy Baja",'Mapa riesgos'!$AF$24="Catastrófico"),CONCATENATE("R2C",'Mapa riesgos'!$T$24),"")</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25">
      <c r="A48" s="66"/>
      <c r="B48" s="429"/>
      <c r="C48" s="429"/>
      <c r="D48" s="430"/>
      <c r="E48" s="526"/>
      <c r="F48" s="527"/>
      <c r="G48" s="527"/>
      <c r="H48" s="527"/>
      <c r="I48" s="543"/>
      <c r="J48" s="59" t="str">
        <f>IF(AND('Mapa riesgos'!$AD$25="Muy Baja",'Mapa riesgos'!$AF$25="Leve"),CONCATENATE("R3C",'Mapa riesgos'!$T$25),"")</f>
        <v/>
      </c>
      <c r="K48" s="60" t="str">
        <f>IF(AND('Mapa riesgos'!$AD$26="Muy Baja",'Mapa riesgos'!$AF$26="Leve"),CONCATENATE("R3C",'Mapa riesgos'!$T$26),"")</f>
        <v/>
      </c>
      <c r="L48" s="60" t="str">
        <f>IF(AND('Mapa riesgos'!$AD$27="Muy Baja",'Mapa riesgos'!$AF$27="Leve"),CONCATENATE("R3C",'Mapa riesgos'!$T$27),"")</f>
        <v/>
      </c>
      <c r="M48" s="60" t="str">
        <f>IF(AND('Mapa riesgos'!$AD$28="Muy Baja",'Mapa riesgos'!$AF$28="Leve"),CONCATENATE("R3C",'Mapa riesgos'!$T$28),"")</f>
        <v/>
      </c>
      <c r="N48" s="60" t="str">
        <f>IF(AND('Mapa riesgos'!$AD$29="Muy Baja",'Mapa riesgos'!$AF$29="Leve"),CONCATENATE("R3C",'Mapa riesgos'!$T$29),"")</f>
        <v/>
      </c>
      <c r="O48" s="61" t="str">
        <f>IF(AND('Mapa riesgos'!$AD$30="Muy Baja",'Mapa riesgos'!$AF$30="Leve"),CONCATENATE("R3C",'Mapa riesgos'!$T$30),"")</f>
        <v/>
      </c>
      <c r="P48" s="59" t="str">
        <f>IF(AND('Mapa riesgos'!$AD$25="Muy Baja",'Mapa riesgos'!$AF$25="Menor"),CONCATENATE("R3C",'Mapa riesgos'!$T$25),"")</f>
        <v/>
      </c>
      <c r="Q48" s="60" t="str">
        <f>IF(AND('Mapa riesgos'!$AD$26="Muy Baja",'Mapa riesgos'!$AF$26="Menor"),CONCATENATE("R3C",'Mapa riesgos'!$T$26),"")</f>
        <v/>
      </c>
      <c r="R48" s="60" t="str">
        <f>IF(AND('Mapa riesgos'!$AD$27="Muy Baja",'Mapa riesgos'!$AF$27="Menor"),CONCATENATE("R3C",'Mapa riesgos'!$T$27),"")</f>
        <v/>
      </c>
      <c r="S48" s="60" t="str">
        <f>IF(AND('Mapa riesgos'!$AD$28="Muy Baja",'Mapa riesgos'!$AF$28="Menor"),CONCATENATE("R3C",'Mapa riesgos'!$T$28),"")</f>
        <v/>
      </c>
      <c r="T48" s="60" t="str">
        <f>IF(AND('Mapa riesgos'!$AD$29="Muy Baja",'Mapa riesgos'!$AF$29="Menor"),CONCATENATE("R3C",'Mapa riesgos'!$T$29),"")</f>
        <v/>
      </c>
      <c r="U48" s="61" t="str">
        <f>IF(AND('Mapa riesgos'!$AD$30="Muy Baja",'Mapa riesgos'!$AF$30="Menor"),CONCATENATE("R3C",'Mapa riesgos'!$T$30),"")</f>
        <v/>
      </c>
      <c r="V48" s="50" t="str">
        <f>IF(AND('Mapa riesgos'!$AD$25="Muy Baja",'Mapa riesgos'!$AF$25="Moderado"),CONCATENATE("R3C",'Mapa riesgos'!$T$25),"")</f>
        <v/>
      </c>
      <c r="W48" s="51" t="str">
        <f>IF(AND('Mapa riesgos'!$AD$26="Muy Baja",'Mapa riesgos'!$AF$26="Moderado"),CONCATENATE("R3C",'Mapa riesgos'!$T$26),"")</f>
        <v/>
      </c>
      <c r="X48" s="51" t="str">
        <f>IF(AND('Mapa riesgos'!$AD$27="Muy Baja",'Mapa riesgos'!$AF$27="Moderado"),CONCATENATE("R3C",'Mapa riesgos'!$T$27),"")</f>
        <v/>
      </c>
      <c r="Y48" s="51" t="str">
        <f>IF(AND('Mapa riesgos'!$AD$28="Muy Baja",'Mapa riesgos'!$AF$28="Moderado"),CONCATENATE("R3C",'Mapa riesgos'!$T$28),"")</f>
        <v/>
      </c>
      <c r="Z48" s="51" t="str">
        <f>IF(AND('Mapa riesgos'!$AD$29="Muy Baja",'Mapa riesgos'!$AF$29="Moderado"),CONCATENATE("R3C",'Mapa riesgos'!$T$29),"")</f>
        <v/>
      </c>
      <c r="AA48" s="52" t="str">
        <f>IF(AND('Mapa riesgos'!$AD$30="Muy Baja",'Mapa riesgos'!$AF$30="Moderado"),CONCATENATE("R3C",'Mapa riesgos'!$T$30),"")</f>
        <v/>
      </c>
      <c r="AB48" s="35" t="str">
        <f>IF(AND('Mapa riesgos'!$AD$25="Muy Baja",'Mapa riesgos'!$AF$25="Mayor"),CONCATENATE("R3C",'Mapa riesgos'!$T$25),"")</f>
        <v/>
      </c>
      <c r="AC48" s="36" t="str">
        <f>IF(AND('Mapa riesgos'!$AD$26="Muy Baja",'Mapa riesgos'!$AF$26="Mayor"),CONCATENATE("R3C",'Mapa riesgos'!$T$26),"")</f>
        <v/>
      </c>
      <c r="AD48" s="36" t="str">
        <f>IF(AND('Mapa riesgos'!$AD$27="Muy Baja",'Mapa riesgos'!$AF$27="Mayor"),CONCATENATE("R3C",'Mapa riesgos'!$T$27),"")</f>
        <v/>
      </c>
      <c r="AE48" s="36" t="str">
        <f>IF(AND('Mapa riesgos'!$AD$28="Muy Baja",'Mapa riesgos'!$AF$28="Mayor"),CONCATENATE("R3C",'Mapa riesgos'!$T$28),"")</f>
        <v/>
      </c>
      <c r="AF48" s="36" t="str">
        <f>IF(AND('Mapa riesgos'!$AD$29="Muy Baja",'Mapa riesgos'!$AF$29="Mayor"),CONCATENATE("R3C",'Mapa riesgos'!$T$29),"")</f>
        <v/>
      </c>
      <c r="AG48" s="37" t="str">
        <f>IF(AND('Mapa riesgos'!$AD$30="Muy Baja",'Mapa riesgos'!$AF$30="Mayor"),CONCATENATE("R3C",'Mapa riesgos'!$T$30),"")</f>
        <v/>
      </c>
      <c r="AH48" s="38" t="str">
        <f>IF(AND('Mapa riesgos'!$AD$25="Muy Baja",'Mapa riesgos'!$AF$25="Catastrófico"),CONCATENATE("R3C",'Mapa riesgos'!$T$25),"")</f>
        <v/>
      </c>
      <c r="AI48" s="39" t="str">
        <f>IF(AND('Mapa riesgos'!$AD$26="Muy Baja",'Mapa riesgos'!$AF$26="Catastrófico"),CONCATENATE("R3C",'Mapa riesgos'!$T$26),"")</f>
        <v/>
      </c>
      <c r="AJ48" s="39" t="str">
        <f>IF(AND('Mapa riesgos'!$AD$27="Muy Baja",'Mapa riesgos'!$AF$27="Catastrófico"),CONCATENATE("R3C",'Mapa riesgos'!$T$27),"")</f>
        <v/>
      </c>
      <c r="AK48" s="39" t="str">
        <f>IF(AND('Mapa riesgos'!$AD$28="Muy Baja",'Mapa riesgos'!$AF$28="Catastrófico"),CONCATENATE("R3C",'Mapa riesgos'!$T$28),"")</f>
        <v/>
      </c>
      <c r="AL48" s="39" t="str">
        <f>IF(AND('Mapa riesgos'!$AD$29="Muy Baja",'Mapa riesgos'!$AF$29="Catastrófico"),CONCATENATE("R3C",'Mapa riesgos'!$T$29),"")</f>
        <v/>
      </c>
      <c r="AM48" s="40" t="str">
        <f>IF(AND('Mapa riesgos'!$AD$30="Muy Baja",'Mapa riesgos'!$AF$30="Catastrófico"),CONCATENATE("R3C",'Mapa riesgos'!$T$30),"")</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25">
      <c r="A49" s="66"/>
      <c r="B49" s="429"/>
      <c r="C49" s="429"/>
      <c r="D49" s="430"/>
      <c r="E49" s="528"/>
      <c r="F49" s="527"/>
      <c r="G49" s="527"/>
      <c r="H49" s="527"/>
      <c r="I49" s="543"/>
      <c r="J49" s="59" t="str">
        <f>IF(AND('Mapa riesgos'!$AD$31="Muy Baja",'Mapa riesgos'!$AF$31="Leve"),CONCATENATE("R4C",'Mapa riesgos'!$T$31),"")</f>
        <v/>
      </c>
      <c r="K49" s="60" t="str">
        <f>IF(AND('Mapa riesgos'!$AD$32="Muy Baja",'Mapa riesgos'!$AF$32="Leve"),CONCATENATE("R4C",'Mapa riesgos'!$T$32),"")</f>
        <v/>
      </c>
      <c r="L49" s="60" t="str">
        <f>IF(AND('Mapa riesgos'!$AD$33="Muy Baja",'Mapa riesgos'!$AF$33="Leve"),CONCATENATE("R4C",'Mapa riesgos'!$T$33),"")</f>
        <v/>
      </c>
      <c r="M49" s="60" t="str">
        <f>IF(AND('Mapa riesgos'!$AD$34="Muy Baja",'Mapa riesgos'!$AF$34="Leve"),CONCATENATE("R4C",'Mapa riesgos'!$T$34),"")</f>
        <v/>
      </c>
      <c r="N49" s="60" t="str">
        <f>IF(AND('Mapa riesgos'!$AD$35="Muy Baja",'Mapa riesgos'!$AF$35="Leve"),CONCATENATE("R4C",'Mapa riesgos'!$T$35),"")</f>
        <v/>
      </c>
      <c r="O49" s="61" t="str">
        <f>IF(AND('Mapa riesgos'!$AD$36="Muy Baja",'Mapa riesgos'!$AF$36="Leve"),CONCATENATE("R4C",'Mapa riesgos'!$T$36),"")</f>
        <v/>
      </c>
      <c r="P49" s="59" t="str">
        <f>IF(AND('Mapa riesgos'!$AD$31="Muy Baja",'Mapa riesgos'!$AF$31="Menor"),CONCATENATE("R4C",'Mapa riesgos'!$T$31),"")</f>
        <v/>
      </c>
      <c r="Q49" s="60" t="str">
        <f>IF(AND('Mapa riesgos'!$AD$32="Muy Baja",'Mapa riesgos'!$AF$32="Menor"),CONCATENATE("R4C",'Mapa riesgos'!$T$32),"")</f>
        <v/>
      </c>
      <c r="R49" s="60" t="str">
        <f>IF(AND('Mapa riesgos'!$AD$33="Muy Baja",'Mapa riesgos'!$AF$33="Menor"),CONCATENATE("R4C",'Mapa riesgos'!$T$33),"")</f>
        <v/>
      </c>
      <c r="S49" s="60" t="str">
        <f>IF(AND('Mapa riesgos'!$AD$34="Muy Baja",'Mapa riesgos'!$AF$34="Menor"),CONCATENATE("R4C",'Mapa riesgos'!$T$34),"")</f>
        <v/>
      </c>
      <c r="T49" s="60" t="str">
        <f>IF(AND('Mapa riesgos'!$AD$35="Muy Baja",'Mapa riesgos'!$AF$35="Menor"),CONCATENATE("R4C",'Mapa riesgos'!$T$35),"")</f>
        <v/>
      </c>
      <c r="U49" s="61" t="str">
        <f>IF(AND('Mapa riesgos'!$AD$36="Muy Baja",'Mapa riesgos'!$AF$36="Menor"),CONCATENATE("R4C",'Mapa riesgos'!$T$36),"")</f>
        <v/>
      </c>
      <c r="V49" s="50" t="str">
        <f>IF(AND('Mapa riesgos'!$AD$31="Muy Baja",'Mapa riesgos'!$AF$31="Moderado"),CONCATENATE("R4C",'Mapa riesgos'!$T$31),"")</f>
        <v/>
      </c>
      <c r="W49" s="51" t="str">
        <f>IF(AND('Mapa riesgos'!$AD$32="Muy Baja",'Mapa riesgos'!$AF$32="Moderado"),CONCATENATE("R4C",'Mapa riesgos'!$T$32),"")</f>
        <v/>
      </c>
      <c r="X49" s="51" t="str">
        <f>IF(AND('Mapa riesgos'!$AD$33="Muy Baja",'Mapa riesgos'!$AF$33="Moderado"),CONCATENATE("R4C",'Mapa riesgos'!$T$33),"")</f>
        <v/>
      </c>
      <c r="Y49" s="51" t="str">
        <f>IF(AND('Mapa riesgos'!$AD$34="Muy Baja",'Mapa riesgos'!$AF$34="Moderado"),CONCATENATE("R4C",'Mapa riesgos'!$T$34),"")</f>
        <v/>
      </c>
      <c r="Z49" s="51" t="str">
        <f>IF(AND('Mapa riesgos'!$AD$35="Muy Baja",'Mapa riesgos'!$AF$35="Moderado"),CONCATENATE("R4C",'Mapa riesgos'!$T$35),"")</f>
        <v/>
      </c>
      <c r="AA49" s="52" t="str">
        <f>IF(AND('Mapa riesgos'!$AD$36="Muy Baja",'Mapa riesgos'!$AF$36="Moderado"),CONCATENATE("R4C",'Mapa riesgos'!$T$36),"")</f>
        <v/>
      </c>
      <c r="AB49" s="35" t="str">
        <f>IF(AND('Mapa riesgos'!$AD$31="Muy Baja",'Mapa riesgos'!$AF$31="Mayor"),CONCATENATE("R4C",'Mapa riesgos'!$T$31),"")</f>
        <v/>
      </c>
      <c r="AC49" s="36" t="str">
        <f>IF(AND('Mapa riesgos'!$AD$32="Muy Baja",'Mapa riesgos'!$AF$32="Mayor"),CONCATENATE("R4C",'Mapa riesgos'!$T$32),"")</f>
        <v/>
      </c>
      <c r="AD49" s="36" t="str">
        <f>IF(AND('Mapa riesgos'!$AD$33="Muy Baja",'Mapa riesgos'!$AF$33="Mayor"),CONCATENATE("R4C",'Mapa riesgos'!$T$33),"")</f>
        <v/>
      </c>
      <c r="AE49" s="36" t="str">
        <f>IF(AND('Mapa riesgos'!$AD$34="Muy Baja",'Mapa riesgos'!$AF$34="Mayor"),CONCATENATE("R4C",'Mapa riesgos'!$T$34),"")</f>
        <v/>
      </c>
      <c r="AF49" s="36" t="str">
        <f>IF(AND('Mapa riesgos'!$AD$35="Muy Baja",'Mapa riesgos'!$AF$35="Mayor"),CONCATENATE("R4C",'Mapa riesgos'!$T$35),"")</f>
        <v/>
      </c>
      <c r="AG49" s="37" t="str">
        <f>IF(AND('Mapa riesgos'!$AD$36="Muy Baja",'Mapa riesgos'!$AF$36="Mayor"),CONCATENATE("R4C",'Mapa riesgos'!$T$36),"")</f>
        <v/>
      </c>
      <c r="AH49" s="38" t="str">
        <f>IF(AND('Mapa riesgos'!$AD$31="Muy Baja",'Mapa riesgos'!$AF$31="Catastrófico"),CONCATENATE("R4C",'Mapa riesgos'!$T$31),"")</f>
        <v/>
      </c>
      <c r="AI49" s="39" t="str">
        <f>IF(AND('Mapa riesgos'!$AD$32="Muy Baja",'Mapa riesgos'!$AF$32="Catastrófico"),CONCATENATE("R4C",'Mapa riesgos'!$T$32),"")</f>
        <v/>
      </c>
      <c r="AJ49" s="39" t="str">
        <f>IF(AND('Mapa riesgos'!$AD$33="Muy Baja",'Mapa riesgos'!$AF$33="Catastrófico"),CONCATENATE("R4C",'Mapa riesgos'!$T$33),"")</f>
        <v/>
      </c>
      <c r="AK49" s="39" t="str">
        <f>IF(AND('Mapa riesgos'!$AD$34="Muy Baja",'Mapa riesgos'!$AF$34="Catastrófico"),CONCATENATE("R4C",'Mapa riesgos'!$T$34),"")</f>
        <v/>
      </c>
      <c r="AL49" s="39" t="str">
        <f>IF(AND('Mapa riesgos'!$AD$35="Muy Baja",'Mapa riesgos'!$AF$35="Catastrófico"),CONCATENATE("R4C",'Mapa riesgos'!$T$35),"")</f>
        <v/>
      </c>
      <c r="AM49" s="40" t="str">
        <f>IF(AND('Mapa riesgos'!$AD$36="Muy Baja",'Mapa riesgos'!$AF$36="Catastrófico"),CONCATENATE("R4C",'Mapa riesgos'!$T$36),"")</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25">
      <c r="A50" s="66"/>
      <c r="B50" s="429"/>
      <c r="C50" s="429"/>
      <c r="D50" s="430"/>
      <c r="E50" s="528"/>
      <c r="F50" s="527"/>
      <c r="G50" s="527"/>
      <c r="H50" s="527"/>
      <c r="I50" s="543"/>
      <c r="J50" s="59" t="str">
        <f>IF(AND('Mapa riesgos'!$AD$37="Muy Baja",'Mapa riesgos'!$AF$37="Leve"),CONCATENATE("R5C",'Mapa riesgos'!$T$37),"")</f>
        <v/>
      </c>
      <c r="K50" s="60" t="str">
        <f>IF(AND('Mapa riesgos'!$AD$38="Muy Baja",'Mapa riesgos'!$AF$38="Leve"),CONCATENATE("R5C",'Mapa riesgos'!$T$38),"")</f>
        <v/>
      </c>
      <c r="L50" s="60" t="str">
        <f>IF(AND('Mapa riesgos'!$AD$39="Muy Baja",'Mapa riesgos'!$AF$39="Leve"),CONCATENATE("R5C",'Mapa riesgos'!$T$39),"")</f>
        <v/>
      </c>
      <c r="M50" s="60" t="str">
        <f>IF(AND('Mapa riesgos'!$AD$40="Muy Baja",'Mapa riesgos'!$AF$40="Leve"),CONCATENATE("R5C",'Mapa riesgos'!$T$40),"")</f>
        <v/>
      </c>
      <c r="N50" s="60" t="str">
        <f>IF(AND('Mapa riesgos'!$AD$41="Muy Baja",'Mapa riesgos'!$AF$41="Leve"),CONCATENATE("R5C",'Mapa riesgos'!$T$41),"")</f>
        <v/>
      </c>
      <c r="O50" s="61" t="str">
        <f>IF(AND('Mapa riesgos'!$AD$42="Muy Baja",'Mapa riesgos'!$AF$42="Leve"),CONCATENATE("R5C",'Mapa riesgos'!$T$42),"")</f>
        <v/>
      </c>
      <c r="P50" s="59" t="str">
        <f>IF(AND('Mapa riesgos'!$AD$37="Muy Baja",'Mapa riesgos'!$AF$37="Menor"),CONCATENATE("R5C",'Mapa riesgos'!$T$37),"")</f>
        <v/>
      </c>
      <c r="Q50" s="60" t="str">
        <f>IF(AND('Mapa riesgos'!$AD$38="Muy Baja",'Mapa riesgos'!$AF$38="Menor"),CONCATENATE("R5C",'Mapa riesgos'!$T$38),"")</f>
        <v/>
      </c>
      <c r="R50" s="60" t="str">
        <f>IF(AND('Mapa riesgos'!$AD$39="Muy Baja",'Mapa riesgos'!$AF$39="Menor"),CONCATENATE("R5C",'Mapa riesgos'!$T$39),"")</f>
        <v/>
      </c>
      <c r="S50" s="60" t="str">
        <f>IF(AND('Mapa riesgos'!$AD$40="Muy Baja",'Mapa riesgos'!$AF$40="Menor"),CONCATENATE("R5C",'Mapa riesgos'!$T$40),"")</f>
        <v/>
      </c>
      <c r="T50" s="60" t="str">
        <f>IF(AND('Mapa riesgos'!$AD$41="Muy Baja",'Mapa riesgos'!$AF$41="Menor"),CONCATENATE("R5C",'Mapa riesgos'!$T$41),"")</f>
        <v/>
      </c>
      <c r="U50" s="61" t="str">
        <f>IF(AND('Mapa riesgos'!$AD$42="Muy Baja",'Mapa riesgos'!$AF$42="Menor"),CONCATENATE("R5C",'Mapa riesgos'!$T$42),"")</f>
        <v/>
      </c>
      <c r="V50" s="50" t="str">
        <f>IF(AND('Mapa riesgos'!$AD$37="Muy Baja",'Mapa riesgos'!$AF$37="Moderado"),CONCATENATE("R5C",'Mapa riesgos'!$T$37),"")</f>
        <v/>
      </c>
      <c r="W50" s="51" t="str">
        <f>IF(AND('Mapa riesgos'!$AD$38="Muy Baja",'Mapa riesgos'!$AF$38="Moderado"),CONCATENATE("R5C",'Mapa riesgos'!$T$38),"")</f>
        <v/>
      </c>
      <c r="X50" s="51" t="str">
        <f>IF(AND('Mapa riesgos'!$AD$39="Muy Baja",'Mapa riesgos'!$AF$39="Moderado"),CONCATENATE("R5C",'Mapa riesgos'!$T$39),"")</f>
        <v/>
      </c>
      <c r="Y50" s="51" t="str">
        <f>IF(AND('Mapa riesgos'!$AD$40="Muy Baja",'Mapa riesgos'!$AF$40="Moderado"),CONCATENATE("R5C",'Mapa riesgos'!$T$40),"")</f>
        <v/>
      </c>
      <c r="Z50" s="51" t="str">
        <f>IF(AND('Mapa riesgos'!$AD$41="Muy Baja",'Mapa riesgos'!$AF$41="Moderado"),CONCATENATE("R5C",'Mapa riesgos'!$T$41),"")</f>
        <v/>
      </c>
      <c r="AA50" s="52" t="str">
        <f>IF(AND('Mapa riesgos'!$AD$42="Muy Baja",'Mapa riesgos'!$AF$42="Moderado"),CONCATENATE("R5C",'Mapa riesgos'!$T$42),"")</f>
        <v/>
      </c>
      <c r="AB50" s="35" t="str">
        <f>IF(AND('Mapa riesgos'!$AD$37="Muy Baja",'Mapa riesgos'!$AF$37="Mayor"),CONCATENATE("R5C",'Mapa riesgos'!$T$37),"")</f>
        <v/>
      </c>
      <c r="AC50" s="36" t="str">
        <f>IF(AND('Mapa riesgos'!$AD$38="Muy Baja",'Mapa riesgos'!$AF$38="Mayor"),CONCATENATE("R5C",'Mapa riesgos'!$T$38),"")</f>
        <v/>
      </c>
      <c r="AD50" s="36" t="str">
        <f>IF(AND('Mapa riesgos'!$AD$39="Muy Baja",'Mapa riesgos'!$AF$39="Mayor"),CONCATENATE("R5C",'Mapa riesgos'!$T$39),"")</f>
        <v/>
      </c>
      <c r="AE50" s="36" t="str">
        <f>IF(AND('Mapa riesgos'!$AD$40="Muy Baja",'Mapa riesgos'!$AF$40="Mayor"),CONCATENATE("R5C",'Mapa riesgos'!$T$40),"")</f>
        <v/>
      </c>
      <c r="AF50" s="36" t="str">
        <f>IF(AND('Mapa riesgos'!$AD$41="Muy Baja",'Mapa riesgos'!$AF$41="Mayor"),CONCATENATE("R5C",'Mapa riesgos'!$T$41),"")</f>
        <v/>
      </c>
      <c r="AG50" s="37" t="str">
        <f>IF(AND('Mapa riesgos'!$AD$42="Muy Baja",'Mapa riesgos'!$AF$42="Mayor"),CONCATENATE("R5C",'Mapa riesgos'!$T$42),"")</f>
        <v/>
      </c>
      <c r="AH50" s="38" t="str">
        <f>IF(AND('Mapa riesgos'!$AD$37="Muy Baja",'Mapa riesgos'!$AF$37="Catastrófico"),CONCATENATE("R5C",'Mapa riesgos'!$T$37),"")</f>
        <v/>
      </c>
      <c r="AI50" s="39" t="str">
        <f>IF(AND('Mapa riesgos'!$AD$38="Muy Baja",'Mapa riesgos'!$AF$38="Catastrófico"),CONCATENATE("R5C",'Mapa riesgos'!$T$38),"")</f>
        <v/>
      </c>
      <c r="AJ50" s="39" t="str">
        <f>IF(AND('Mapa riesgos'!$AD$39="Muy Baja",'Mapa riesgos'!$AF$39="Catastrófico"),CONCATENATE("R5C",'Mapa riesgos'!$T$39),"")</f>
        <v/>
      </c>
      <c r="AK50" s="39" t="str">
        <f>IF(AND('Mapa riesgos'!$AD$40="Muy Baja",'Mapa riesgos'!$AF$40="Catastrófico"),CONCATENATE("R5C",'Mapa riesgos'!$T$40),"")</f>
        <v/>
      </c>
      <c r="AL50" s="39" t="str">
        <f>IF(AND('Mapa riesgos'!$AD$41="Muy Baja",'Mapa riesgos'!$AF$41="Catastrófico"),CONCATENATE("R5C",'Mapa riesgos'!$T$41),"")</f>
        <v/>
      </c>
      <c r="AM50" s="40" t="str">
        <f>IF(AND('Mapa riesgos'!$AD$42="Muy Baja",'Mapa riesgos'!$AF$42="Catastrófico"),CONCATENATE("R5C",'Mapa riesgos'!$T$42),"")</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25">
      <c r="A51" s="66"/>
      <c r="B51" s="429"/>
      <c r="C51" s="429"/>
      <c r="D51" s="430"/>
      <c r="E51" s="528"/>
      <c r="F51" s="527"/>
      <c r="G51" s="527"/>
      <c r="H51" s="527"/>
      <c r="I51" s="543"/>
      <c r="J51" s="59" t="str">
        <f>IF(AND('Mapa riesgos'!$AD$43="Muy Baja",'Mapa riesgos'!$AF$43="Leve"),CONCATENATE("R6C",'Mapa riesgos'!$T$43),"")</f>
        <v/>
      </c>
      <c r="K51" s="60" t="str">
        <f>IF(AND('Mapa riesgos'!$AD$44="Muy Baja",'Mapa riesgos'!$AF$44="Leve"),CONCATENATE("R6C",'Mapa riesgos'!$T$44),"")</f>
        <v/>
      </c>
      <c r="L51" s="60" t="str">
        <f>IF(AND('Mapa riesgos'!$AD$45="Muy Baja",'Mapa riesgos'!$AF$45="Leve"),CONCATENATE("R6C",'Mapa riesgos'!$T$45),"")</f>
        <v/>
      </c>
      <c r="M51" s="60" t="str">
        <f>IF(AND('Mapa riesgos'!$AD$46="Muy Baja",'Mapa riesgos'!$AF$46="Leve"),CONCATENATE("R6C",'Mapa riesgos'!$T$46),"")</f>
        <v/>
      </c>
      <c r="N51" s="60" t="str">
        <f>IF(AND('Mapa riesgos'!$AD$47="Muy Baja",'Mapa riesgos'!$AF$47="Leve"),CONCATENATE("R6C",'Mapa riesgos'!$T$47),"")</f>
        <v/>
      </c>
      <c r="O51" s="61" t="str">
        <f>IF(AND('Mapa riesgos'!$AD$48="Muy Baja",'Mapa riesgos'!$AF$48="Leve"),CONCATENATE("R6C",'Mapa riesgos'!$T$48),"")</f>
        <v/>
      </c>
      <c r="P51" s="59" t="str">
        <f>IF(AND('Mapa riesgos'!$AD$43="Muy Baja",'Mapa riesgos'!$AF$43="Menor"),CONCATENATE("R6C",'Mapa riesgos'!$T$43),"")</f>
        <v/>
      </c>
      <c r="Q51" s="60" t="str">
        <f>IF(AND('Mapa riesgos'!$AD$44="Muy Baja",'Mapa riesgos'!$AF$44="Menor"),CONCATENATE("R6C",'Mapa riesgos'!$T$44),"")</f>
        <v/>
      </c>
      <c r="R51" s="60" t="str">
        <f>IF(AND('Mapa riesgos'!$AD$45="Muy Baja",'Mapa riesgos'!$AF$45="Menor"),CONCATENATE("R6C",'Mapa riesgos'!$T$45),"")</f>
        <v/>
      </c>
      <c r="S51" s="60" t="str">
        <f>IF(AND('Mapa riesgos'!$AD$46="Muy Baja",'Mapa riesgos'!$AF$46="Menor"),CONCATENATE("R6C",'Mapa riesgos'!$T$46),"")</f>
        <v/>
      </c>
      <c r="T51" s="60" t="str">
        <f>IF(AND('Mapa riesgos'!$AD$47="Muy Baja",'Mapa riesgos'!$AF$47="Menor"),CONCATENATE("R6C",'Mapa riesgos'!$T$47),"")</f>
        <v/>
      </c>
      <c r="U51" s="61" t="str">
        <f>IF(AND('Mapa riesgos'!$AD$48="Muy Baja",'Mapa riesgos'!$AF$48="Menor"),CONCATENATE("R6C",'Mapa riesgos'!$T$48),"")</f>
        <v/>
      </c>
      <c r="V51" s="50" t="str">
        <f>IF(AND('Mapa riesgos'!$AD$43="Muy Baja",'Mapa riesgos'!$AF$43="Moderado"),CONCATENATE("R6C",'Mapa riesgos'!$T$43),"")</f>
        <v/>
      </c>
      <c r="W51" s="51" t="str">
        <f>IF(AND('Mapa riesgos'!$AD$44="Muy Baja",'Mapa riesgos'!$AF$44="Moderado"),CONCATENATE("R6C",'Mapa riesgos'!$T$44),"")</f>
        <v/>
      </c>
      <c r="X51" s="51" t="str">
        <f>IF(AND('Mapa riesgos'!$AD$45="Muy Baja",'Mapa riesgos'!$AF$45="Moderado"),CONCATENATE("R6C",'Mapa riesgos'!$T$45),"")</f>
        <v/>
      </c>
      <c r="Y51" s="51" t="str">
        <f>IF(AND('Mapa riesgos'!$AD$46="Muy Baja",'Mapa riesgos'!$AF$46="Moderado"),CONCATENATE("R6C",'Mapa riesgos'!$T$46),"")</f>
        <v/>
      </c>
      <c r="Z51" s="51" t="str">
        <f>IF(AND('Mapa riesgos'!$AD$47="Muy Baja",'Mapa riesgos'!$AF$47="Moderado"),CONCATENATE("R6C",'Mapa riesgos'!$T$47),"")</f>
        <v/>
      </c>
      <c r="AA51" s="52" t="str">
        <f>IF(AND('Mapa riesgos'!$AD$48="Muy Baja",'Mapa riesgos'!$AF$48="Moderado"),CONCATENATE("R6C",'Mapa riesgos'!$T$48),"")</f>
        <v/>
      </c>
      <c r="AB51" s="35" t="str">
        <f>IF(AND('Mapa riesgos'!$AD$43="Muy Baja",'Mapa riesgos'!$AF$43="Mayor"),CONCATENATE("R6C",'Mapa riesgos'!$T$43),"")</f>
        <v/>
      </c>
      <c r="AC51" s="36" t="str">
        <f>IF(AND('Mapa riesgos'!$AD$44="Muy Baja",'Mapa riesgos'!$AF$44="Mayor"),CONCATENATE("R6C",'Mapa riesgos'!$T$44),"")</f>
        <v/>
      </c>
      <c r="AD51" s="36" t="str">
        <f>IF(AND('Mapa riesgos'!$AD$45="Muy Baja",'Mapa riesgos'!$AF$45="Mayor"),CONCATENATE("R6C",'Mapa riesgos'!$T$45),"")</f>
        <v/>
      </c>
      <c r="AE51" s="36" t="str">
        <f>IF(AND('Mapa riesgos'!$AD$46="Muy Baja",'Mapa riesgos'!$AF$46="Mayor"),CONCATENATE("R6C",'Mapa riesgos'!$T$46),"")</f>
        <v/>
      </c>
      <c r="AF51" s="36" t="str">
        <f>IF(AND('Mapa riesgos'!$AD$47="Muy Baja",'Mapa riesgos'!$AF$47="Mayor"),CONCATENATE("R6C",'Mapa riesgos'!$T$47),"")</f>
        <v/>
      </c>
      <c r="AG51" s="37" t="str">
        <f>IF(AND('Mapa riesgos'!$AD$48="Muy Baja",'Mapa riesgos'!$AF$48="Mayor"),CONCATENATE("R6C",'Mapa riesgos'!$T$48),"")</f>
        <v/>
      </c>
      <c r="AH51" s="38" t="str">
        <f>IF(AND('Mapa riesgos'!$AD$43="Muy Baja",'Mapa riesgos'!$AF$43="Catastrófico"),CONCATENATE("R6C",'Mapa riesgos'!$T$43),"")</f>
        <v/>
      </c>
      <c r="AI51" s="39" t="str">
        <f>IF(AND('Mapa riesgos'!$AD$44="Muy Baja",'Mapa riesgos'!$AF$44="Catastrófico"),CONCATENATE("R6C",'Mapa riesgos'!$T$44),"")</f>
        <v/>
      </c>
      <c r="AJ51" s="39" t="str">
        <f>IF(AND('Mapa riesgos'!$AD$45="Muy Baja",'Mapa riesgos'!$AF$45="Catastrófico"),CONCATENATE("R6C",'Mapa riesgos'!$T$45),"")</f>
        <v/>
      </c>
      <c r="AK51" s="39" t="str">
        <f>IF(AND('Mapa riesgos'!$AD$46="Muy Baja",'Mapa riesgos'!$AF$46="Catastrófico"),CONCATENATE("R6C",'Mapa riesgos'!$T$46),"")</f>
        <v/>
      </c>
      <c r="AL51" s="39" t="str">
        <f>IF(AND('Mapa riesgos'!$AD$47="Muy Baja",'Mapa riesgos'!$AF$47="Catastrófico"),CONCATENATE("R6C",'Mapa riesgos'!$T$47),"")</f>
        <v/>
      </c>
      <c r="AM51" s="40" t="str">
        <f>IF(AND('Mapa riesgos'!$AD$48="Muy Baja",'Mapa riesgos'!$AF$48="Catastrófico"),CONCATENATE("R6C",'Mapa riesgos'!$T$48),"")</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25">
      <c r="A52" s="66"/>
      <c r="B52" s="429"/>
      <c r="C52" s="429"/>
      <c r="D52" s="430"/>
      <c r="E52" s="528"/>
      <c r="F52" s="527"/>
      <c r="G52" s="527"/>
      <c r="H52" s="527"/>
      <c r="I52" s="543"/>
      <c r="J52" s="59" t="str">
        <f>IF(AND('Mapa riesgos'!$AD$49="Muy Baja",'Mapa riesgos'!$AF$49="Leve"),CONCATENATE("R7C",'Mapa riesgos'!$T$49),"")</f>
        <v/>
      </c>
      <c r="K52" s="60" t="str">
        <f>IF(AND('Mapa riesgos'!$AD$50="Muy Baja",'Mapa riesgos'!$AF$50="Leve"),CONCATENATE("R7C",'Mapa riesgos'!$T$50),"")</f>
        <v/>
      </c>
      <c r="L52" s="60" t="str">
        <f>IF(AND('Mapa riesgos'!$AD$51="Muy Baja",'Mapa riesgos'!$AF$51="Leve"),CONCATENATE("R7C",'Mapa riesgos'!$T$51),"")</f>
        <v/>
      </c>
      <c r="M52" s="60" t="str">
        <f>IF(AND('Mapa riesgos'!$AD$52="Muy Baja",'Mapa riesgos'!$AF$52="Leve"),CONCATENATE("R7C",'Mapa riesgos'!$T$52),"")</f>
        <v/>
      </c>
      <c r="N52" s="60" t="str">
        <f>IF(AND('Mapa riesgos'!$AD$53="Muy Baja",'Mapa riesgos'!$AF$53="Leve"),CONCATENATE("R7C",'Mapa riesgos'!$T$53),"")</f>
        <v/>
      </c>
      <c r="O52" s="61" t="str">
        <f>IF(AND('Mapa riesgos'!$AD$54="Muy Baja",'Mapa riesgos'!$AF$54="Leve"),CONCATENATE("R7C",'Mapa riesgos'!$T$54),"")</f>
        <v/>
      </c>
      <c r="P52" s="59" t="str">
        <f>IF(AND('Mapa riesgos'!$AD$49="Muy Baja",'Mapa riesgos'!$AF$49="Menor"),CONCATENATE("R7C",'Mapa riesgos'!$T$49),"")</f>
        <v/>
      </c>
      <c r="Q52" s="60" t="str">
        <f>IF(AND('Mapa riesgos'!$AD$50="Muy Baja",'Mapa riesgos'!$AF$50="Menor"),CONCATENATE("R7C",'Mapa riesgos'!$T$50),"")</f>
        <v/>
      </c>
      <c r="R52" s="60" t="str">
        <f>IF(AND('Mapa riesgos'!$AD$51="Muy Baja",'Mapa riesgos'!$AF$51="Menor"),CONCATENATE("R7C",'Mapa riesgos'!$T$51),"")</f>
        <v/>
      </c>
      <c r="S52" s="60" t="str">
        <f>IF(AND('Mapa riesgos'!$AD$52="Muy Baja",'Mapa riesgos'!$AF$52="Menor"),CONCATENATE("R7C",'Mapa riesgos'!$T$52),"")</f>
        <v/>
      </c>
      <c r="T52" s="60" t="str">
        <f>IF(AND('Mapa riesgos'!$AD$53="Muy Baja",'Mapa riesgos'!$AF$53="Menor"),CONCATENATE("R7C",'Mapa riesgos'!$T$53),"")</f>
        <v/>
      </c>
      <c r="U52" s="61" t="str">
        <f>IF(AND('Mapa riesgos'!$AD$54="Muy Baja",'Mapa riesgos'!$AF$54="Menor"),CONCATENATE("R7C",'Mapa riesgos'!$T$54),"")</f>
        <v/>
      </c>
      <c r="V52" s="50" t="str">
        <f>IF(AND('Mapa riesgos'!$AD$49="Muy Baja",'Mapa riesgos'!$AF$49="Moderado"),CONCATENATE("R7C",'Mapa riesgos'!$T$49),"")</f>
        <v/>
      </c>
      <c r="W52" s="51" t="str">
        <f>IF(AND('Mapa riesgos'!$AD$50="Muy Baja",'Mapa riesgos'!$AF$50="Moderado"),CONCATENATE("R7C",'Mapa riesgos'!$T$50),"")</f>
        <v/>
      </c>
      <c r="X52" s="51" t="str">
        <f>IF(AND('Mapa riesgos'!$AD$51="Muy Baja",'Mapa riesgos'!$AF$51="Moderado"),CONCATENATE("R7C",'Mapa riesgos'!$T$51),"")</f>
        <v/>
      </c>
      <c r="Y52" s="51" t="str">
        <f>IF(AND('Mapa riesgos'!$AD$52="Muy Baja",'Mapa riesgos'!$AF$52="Moderado"),CONCATENATE("R7C",'Mapa riesgos'!$T$52),"")</f>
        <v/>
      </c>
      <c r="Z52" s="51" t="str">
        <f>IF(AND('Mapa riesgos'!$AD$53="Muy Baja",'Mapa riesgos'!$AF$53="Moderado"),CONCATENATE("R7C",'Mapa riesgos'!$T$53),"")</f>
        <v/>
      </c>
      <c r="AA52" s="52" t="str">
        <f>IF(AND('Mapa riesgos'!$AD$54="Muy Baja",'Mapa riesgos'!$AF$54="Moderado"),CONCATENATE("R7C",'Mapa riesgos'!$T$54),"")</f>
        <v/>
      </c>
      <c r="AB52" s="35" t="str">
        <f>IF(AND('Mapa riesgos'!$AD$49="Muy Baja",'Mapa riesgos'!$AF$49="Mayor"),CONCATENATE("R7C",'Mapa riesgos'!$T$49),"")</f>
        <v/>
      </c>
      <c r="AC52" s="36" t="str">
        <f>IF(AND('Mapa riesgos'!$AD$50="Muy Baja",'Mapa riesgos'!$AF$50="Mayor"),CONCATENATE("R7C",'Mapa riesgos'!$T$50),"")</f>
        <v/>
      </c>
      <c r="AD52" s="36" t="str">
        <f>IF(AND('Mapa riesgos'!$AD$51="Muy Baja",'Mapa riesgos'!$AF$51="Mayor"),CONCATENATE("R7C",'Mapa riesgos'!$T$51),"")</f>
        <v/>
      </c>
      <c r="AE52" s="36" t="str">
        <f>IF(AND('Mapa riesgos'!$AD$52="Muy Baja",'Mapa riesgos'!$AF$52="Mayor"),CONCATENATE("R7C",'Mapa riesgos'!$T$52),"")</f>
        <v/>
      </c>
      <c r="AF52" s="36" t="str">
        <f>IF(AND('Mapa riesgos'!$AD$53="Muy Baja",'Mapa riesgos'!$AF$53="Mayor"),CONCATENATE("R7C",'Mapa riesgos'!$T$53),"")</f>
        <v/>
      </c>
      <c r="AG52" s="37" t="str">
        <f>IF(AND('Mapa riesgos'!$AD$54="Muy Baja",'Mapa riesgos'!$AF$54="Mayor"),CONCATENATE("R7C",'Mapa riesgos'!$T$54),"")</f>
        <v/>
      </c>
      <c r="AH52" s="38" t="str">
        <f>IF(AND('Mapa riesgos'!$AD$49="Muy Baja",'Mapa riesgos'!$AF$49="Catastrófico"),CONCATENATE("R7C",'Mapa riesgos'!$T$49),"")</f>
        <v/>
      </c>
      <c r="AI52" s="39" t="str">
        <f>IF(AND('Mapa riesgos'!$AD$50="Muy Baja",'Mapa riesgos'!$AF$50="Catastrófico"),CONCATENATE("R7C",'Mapa riesgos'!$T$50),"")</f>
        <v/>
      </c>
      <c r="AJ52" s="39" t="str">
        <f>IF(AND('Mapa riesgos'!$AD$51="Muy Baja",'Mapa riesgos'!$AF$51="Catastrófico"),CONCATENATE("R7C",'Mapa riesgos'!$T$51),"")</f>
        <v/>
      </c>
      <c r="AK52" s="39" t="str">
        <f>IF(AND('Mapa riesgos'!$AD$52="Muy Baja",'Mapa riesgos'!$AF$52="Catastrófico"),CONCATENATE("R7C",'Mapa riesgos'!$T$52),"")</f>
        <v/>
      </c>
      <c r="AL52" s="39" t="str">
        <f>IF(AND('Mapa riesgos'!$AD$53="Muy Baja",'Mapa riesgos'!$AF$53="Catastrófico"),CONCATENATE("R7C",'Mapa riesgos'!$T$53),"")</f>
        <v/>
      </c>
      <c r="AM52" s="40" t="str">
        <f>IF(AND('Mapa riesgos'!$AD$54="Muy Baja",'Mapa riesgos'!$AF$54="Catastrófico"),CONCATENATE("R7C",'Mapa riesgos'!$T$54),"")</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429"/>
      <c r="C53" s="429"/>
      <c r="D53" s="430"/>
      <c r="E53" s="528"/>
      <c r="F53" s="527"/>
      <c r="G53" s="527"/>
      <c r="H53" s="527"/>
      <c r="I53" s="543"/>
      <c r="J53" s="59" t="str">
        <f>IF(AND('Mapa riesgos'!$AD$55="Muy Baja",'Mapa riesgos'!$AF$55="Leve"),CONCATENATE("R8C",'Mapa riesgos'!$T$55),"")</f>
        <v/>
      </c>
      <c r="K53" s="60" t="str">
        <f>IF(AND('Mapa riesgos'!$AD$56="Muy Baja",'Mapa riesgos'!$AF$56="Leve"),CONCATENATE("R8C",'Mapa riesgos'!$T$56),"")</f>
        <v/>
      </c>
      <c r="L53" s="60" t="str">
        <f>IF(AND('Mapa riesgos'!$AD$57="Muy Baja",'Mapa riesgos'!$AF$57="Leve"),CONCATENATE("R8C",'Mapa riesgos'!$T$57),"")</f>
        <v/>
      </c>
      <c r="M53" s="60" t="str">
        <f>IF(AND('Mapa riesgos'!$AD$58="Muy Baja",'Mapa riesgos'!$AF$58="Leve"),CONCATENATE("R8C",'Mapa riesgos'!$T$58),"")</f>
        <v/>
      </c>
      <c r="N53" s="60" t="str">
        <f>IF(AND('Mapa riesgos'!$AD$59="Muy Baja",'Mapa riesgos'!$AF$59="Leve"),CONCATENATE("R8C",'Mapa riesgos'!$T$59),"")</f>
        <v/>
      </c>
      <c r="O53" s="61" t="str">
        <f>IF(AND('Mapa riesgos'!$AD$60="Muy Baja",'Mapa riesgos'!$AF$60="Leve"),CONCATENATE("R8C",'Mapa riesgos'!$T$60),"")</f>
        <v/>
      </c>
      <c r="P53" s="59" t="str">
        <f>IF(AND('Mapa riesgos'!$AD$55="Muy Baja",'Mapa riesgos'!$AF$55="Menor"),CONCATENATE("R8C",'Mapa riesgos'!$T$55),"")</f>
        <v/>
      </c>
      <c r="Q53" s="60" t="str">
        <f>IF(AND('Mapa riesgos'!$AD$56="Muy Baja",'Mapa riesgos'!$AF$56="Menor"),CONCATENATE("R8C",'Mapa riesgos'!$T$56),"")</f>
        <v/>
      </c>
      <c r="R53" s="60" t="str">
        <f>IF(AND('Mapa riesgos'!$AD$57="Muy Baja",'Mapa riesgos'!$AF$57="Menor"),CONCATENATE("R8C",'Mapa riesgos'!$T$57),"")</f>
        <v/>
      </c>
      <c r="S53" s="60" t="str">
        <f>IF(AND('Mapa riesgos'!$AD$58="Muy Baja",'Mapa riesgos'!$AF$58="Menor"),CONCATENATE("R8C",'Mapa riesgos'!$T$58),"")</f>
        <v/>
      </c>
      <c r="T53" s="60" t="str">
        <f>IF(AND('Mapa riesgos'!$AD$59="Muy Baja",'Mapa riesgos'!$AF$59="Menor"),CONCATENATE("R8C",'Mapa riesgos'!$T$59),"")</f>
        <v/>
      </c>
      <c r="U53" s="61" t="str">
        <f>IF(AND('Mapa riesgos'!$AD$60="Muy Baja",'Mapa riesgos'!$AF$60="Menor"),CONCATENATE("R8C",'Mapa riesgos'!$T$60),"")</f>
        <v/>
      </c>
      <c r="V53" s="50" t="str">
        <f>IF(AND('Mapa riesgos'!$AD$55="Muy Baja",'Mapa riesgos'!$AF$55="Moderado"),CONCATENATE("R8C",'Mapa riesgos'!$T$55),"")</f>
        <v/>
      </c>
      <c r="W53" s="51" t="str">
        <f>IF(AND('Mapa riesgos'!$AD$56="Muy Baja",'Mapa riesgos'!$AF$56="Moderado"),CONCATENATE("R8C",'Mapa riesgos'!$T$56),"")</f>
        <v/>
      </c>
      <c r="X53" s="51" t="str">
        <f>IF(AND('Mapa riesgos'!$AD$57="Muy Baja",'Mapa riesgos'!$AF$57="Moderado"),CONCATENATE("R8C",'Mapa riesgos'!$T$57),"")</f>
        <v/>
      </c>
      <c r="Y53" s="51" t="str">
        <f>IF(AND('Mapa riesgos'!$AD$58="Muy Baja",'Mapa riesgos'!$AF$58="Moderado"),CONCATENATE("R8C",'Mapa riesgos'!$T$58),"")</f>
        <v/>
      </c>
      <c r="Z53" s="51" t="str">
        <f>IF(AND('Mapa riesgos'!$AD$59="Muy Baja",'Mapa riesgos'!$AF$59="Moderado"),CONCATENATE("R8C",'Mapa riesgos'!$T$59),"")</f>
        <v/>
      </c>
      <c r="AA53" s="52" t="str">
        <f>IF(AND('Mapa riesgos'!$AD$60="Muy Baja",'Mapa riesgos'!$AF$60="Moderado"),CONCATENATE("R8C",'Mapa riesgos'!$T$60),"")</f>
        <v/>
      </c>
      <c r="AB53" s="35" t="str">
        <f>IF(AND('Mapa riesgos'!$AD$55="Muy Baja",'Mapa riesgos'!$AF$55="Mayor"),CONCATENATE("R8C",'Mapa riesgos'!$T$55),"")</f>
        <v/>
      </c>
      <c r="AC53" s="36" t="str">
        <f>IF(AND('Mapa riesgos'!$AD$56="Muy Baja",'Mapa riesgos'!$AF$56="Mayor"),CONCATENATE("R8C",'Mapa riesgos'!$T$56),"")</f>
        <v/>
      </c>
      <c r="AD53" s="36" t="str">
        <f>IF(AND('Mapa riesgos'!$AD$57="Muy Baja",'Mapa riesgos'!$AF$57="Mayor"),CONCATENATE("R8C",'Mapa riesgos'!$T$57),"")</f>
        <v/>
      </c>
      <c r="AE53" s="36" t="str">
        <f>IF(AND('Mapa riesgos'!$AD$58="Muy Baja",'Mapa riesgos'!$AF$58="Mayor"),CONCATENATE("R8C",'Mapa riesgos'!$T$58),"")</f>
        <v/>
      </c>
      <c r="AF53" s="36" t="str">
        <f>IF(AND('Mapa riesgos'!$AD$59="Muy Baja",'Mapa riesgos'!$AF$59="Mayor"),CONCATENATE("R8C",'Mapa riesgos'!$T$59),"")</f>
        <v/>
      </c>
      <c r="AG53" s="37" t="str">
        <f>IF(AND('Mapa riesgos'!$AD$60="Muy Baja",'Mapa riesgos'!$AF$60="Mayor"),CONCATENATE("R8C",'Mapa riesgos'!$T$60),"")</f>
        <v/>
      </c>
      <c r="AH53" s="38" t="str">
        <f>IF(AND('Mapa riesgos'!$AD$55="Muy Baja",'Mapa riesgos'!$AF$55="Catastrófico"),CONCATENATE("R8C",'Mapa riesgos'!$T$55),"")</f>
        <v/>
      </c>
      <c r="AI53" s="39" t="str">
        <f>IF(AND('Mapa riesgos'!$AD$56="Muy Baja",'Mapa riesgos'!$AF$56="Catastrófico"),CONCATENATE("R8C",'Mapa riesgos'!$T$56),"")</f>
        <v/>
      </c>
      <c r="AJ53" s="39" t="str">
        <f>IF(AND('Mapa riesgos'!$AD$57="Muy Baja",'Mapa riesgos'!$AF$57="Catastrófico"),CONCATENATE("R8C",'Mapa riesgos'!$T$57),"")</f>
        <v/>
      </c>
      <c r="AK53" s="39" t="str">
        <f>IF(AND('Mapa riesgos'!$AD$58="Muy Baja",'Mapa riesgos'!$AF$58="Catastrófico"),CONCATENATE("R8C",'Mapa riesgos'!$T$58),"")</f>
        <v/>
      </c>
      <c r="AL53" s="39" t="str">
        <f>IF(AND('Mapa riesgos'!$AD$59="Muy Baja",'Mapa riesgos'!$AF$59="Catastrófico"),CONCATENATE("R8C",'Mapa riesgos'!$T$59),"")</f>
        <v/>
      </c>
      <c r="AM53" s="40" t="str">
        <f>IF(AND('Mapa riesgos'!$AD$60="Muy Baja",'Mapa riesgos'!$AF$60="Catastrófico"),CONCATENATE("R8C",'Mapa riesgos'!$T$60),"")</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429"/>
      <c r="C54" s="429"/>
      <c r="D54" s="430"/>
      <c r="E54" s="528"/>
      <c r="F54" s="527"/>
      <c r="G54" s="527"/>
      <c r="H54" s="527"/>
      <c r="I54" s="543"/>
      <c r="J54" s="59" t="str">
        <f>IF(AND('Mapa riesgos'!$AD$61="Muy Baja",'Mapa riesgos'!$AF$61="Leve"),CONCATENATE("R9C",'Mapa riesgos'!$T$61),"")</f>
        <v/>
      </c>
      <c r="K54" s="60" t="str">
        <f>IF(AND('Mapa riesgos'!$AD$62="Muy Baja",'Mapa riesgos'!$AF$62="Leve"),CONCATENATE("R9C",'Mapa riesgos'!$T$62),"")</f>
        <v/>
      </c>
      <c r="L54" s="60" t="str">
        <f>IF(AND('Mapa riesgos'!$AD$63="Muy Baja",'Mapa riesgos'!$AF$63="Leve"),CONCATENATE("R9C",'Mapa riesgos'!$T$63),"")</f>
        <v/>
      </c>
      <c r="M54" s="60" t="str">
        <f>IF(AND('Mapa riesgos'!$AD$64="Muy Baja",'Mapa riesgos'!$AF$64="Leve"),CONCATENATE("R9C",'Mapa riesgos'!$T$64),"")</f>
        <v/>
      </c>
      <c r="N54" s="60" t="str">
        <f>IF(AND('Mapa riesgos'!$AD$65="Muy Baja",'Mapa riesgos'!$AF$65="Leve"),CONCATENATE("R9C",'Mapa riesgos'!$T$65),"")</f>
        <v/>
      </c>
      <c r="O54" s="61" t="str">
        <f>IF(AND('Mapa riesgos'!$AD$66="Muy Baja",'Mapa riesgos'!$AF$66="Leve"),CONCATENATE("R9C",'Mapa riesgos'!$T$66),"")</f>
        <v/>
      </c>
      <c r="P54" s="59" t="str">
        <f>IF(AND('Mapa riesgos'!$AD$61="Muy Baja",'Mapa riesgos'!$AF$61="Menor"),CONCATENATE("R9C",'Mapa riesgos'!$T$61),"")</f>
        <v/>
      </c>
      <c r="Q54" s="60" t="str">
        <f>IF(AND('Mapa riesgos'!$AD$62="Muy Baja",'Mapa riesgos'!$AF$62="Menor"),CONCATENATE("R9C",'Mapa riesgos'!$T$62),"")</f>
        <v/>
      </c>
      <c r="R54" s="60" t="str">
        <f>IF(AND('Mapa riesgos'!$AD$63="Muy Baja",'Mapa riesgos'!$AF$63="Menor"),CONCATENATE("R9C",'Mapa riesgos'!$T$63),"")</f>
        <v/>
      </c>
      <c r="S54" s="60" t="str">
        <f>IF(AND('Mapa riesgos'!$AD$64="Muy Baja",'Mapa riesgos'!$AF$64="Menor"),CONCATENATE("R9C",'Mapa riesgos'!$T$64),"")</f>
        <v/>
      </c>
      <c r="T54" s="60" t="str">
        <f>IF(AND('Mapa riesgos'!$AD$65="Muy Baja",'Mapa riesgos'!$AF$65="Menor"),CONCATENATE("R9C",'Mapa riesgos'!$T$65),"")</f>
        <v/>
      </c>
      <c r="U54" s="61" t="str">
        <f>IF(AND('Mapa riesgos'!$AD$66="Muy Baja",'Mapa riesgos'!$AF$66="Menor"),CONCATENATE("R9C",'Mapa riesgos'!$T$66),"")</f>
        <v/>
      </c>
      <c r="V54" s="50" t="str">
        <f>IF(AND('Mapa riesgos'!$AD$61="Muy Baja",'Mapa riesgos'!$AF$61="Moderado"),CONCATENATE("R9C",'Mapa riesgos'!$T$61),"")</f>
        <v/>
      </c>
      <c r="W54" s="51" t="str">
        <f>IF(AND('Mapa riesgos'!$AD$62="Muy Baja",'Mapa riesgos'!$AF$62="Moderado"),CONCATENATE("R9C",'Mapa riesgos'!$T$62),"")</f>
        <v/>
      </c>
      <c r="X54" s="51" t="str">
        <f>IF(AND('Mapa riesgos'!$AD$63="Muy Baja",'Mapa riesgos'!$AF$63="Moderado"),CONCATENATE("R9C",'Mapa riesgos'!$T$63),"")</f>
        <v/>
      </c>
      <c r="Y54" s="51" t="str">
        <f>IF(AND('Mapa riesgos'!$AD$64="Muy Baja",'Mapa riesgos'!$AF$64="Moderado"),CONCATENATE("R9C",'Mapa riesgos'!$T$64),"")</f>
        <v/>
      </c>
      <c r="Z54" s="51" t="str">
        <f>IF(AND('Mapa riesgos'!$AD$65="Muy Baja",'Mapa riesgos'!$AF$65="Moderado"),CONCATENATE("R9C",'Mapa riesgos'!$T$65),"")</f>
        <v/>
      </c>
      <c r="AA54" s="52" t="str">
        <f>IF(AND('Mapa riesgos'!$AD$66="Muy Baja",'Mapa riesgos'!$AF$66="Moderado"),CONCATENATE("R9C",'Mapa riesgos'!$T$66),"")</f>
        <v/>
      </c>
      <c r="AB54" s="35" t="str">
        <f>IF(AND('Mapa riesgos'!$AD$61="Muy Baja",'Mapa riesgos'!$AF$61="Mayor"),CONCATENATE("R9C",'Mapa riesgos'!$T$61),"")</f>
        <v/>
      </c>
      <c r="AC54" s="36" t="str">
        <f>IF(AND('Mapa riesgos'!$AD$62="Muy Baja",'Mapa riesgos'!$AF$62="Mayor"),CONCATENATE("R9C",'Mapa riesgos'!$T$62),"")</f>
        <v/>
      </c>
      <c r="AD54" s="36" t="str">
        <f>IF(AND('Mapa riesgos'!$AD$63="Muy Baja",'Mapa riesgos'!$AF$63="Mayor"),CONCATENATE("R9C",'Mapa riesgos'!$T$63),"")</f>
        <v/>
      </c>
      <c r="AE54" s="36" t="str">
        <f>IF(AND('Mapa riesgos'!$AD$64="Muy Baja",'Mapa riesgos'!$AF$64="Mayor"),CONCATENATE("R9C",'Mapa riesgos'!$T$64),"")</f>
        <v/>
      </c>
      <c r="AF54" s="36" t="str">
        <f>IF(AND('Mapa riesgos'!$AD$65="Muy Baja",'Mapa riesgos'!$AF$65="Mayor"),CONCATENATE("R9C",'Mapa riesgos'!$T$65),"")</f>
        <v/>
      </c>
      <c r="AG54" s="37" t="str">
        <f>IF(AND('Mapa riesgos'!$AD$66="Muy Baja",'Mapa riesgos'!$AF$66="Mayor"),CONCATENATE("R9C",'Mapa riesgos'!$T$66),"")</f>
        <v/>
      </c>
      <c r="AH54" s="38" t="str">
        <f>IF(AND('Mapa riesgos'!$AD$61="Muy Baja",'Mapa riesgos'!$AF$61="Catastrófico"),CONCATENATE("R9C",'Mapa riesgos'!$T$61),"")</f>
        <v/>
      </c>
      <c r="AI54" s="39" t="str">
        <f>IF(AND('Mapa riesgos'!$AD$62="Muy Baja",'Mapa riesgos'!$AF$62="Catastrófico"),CONCATENATE("R9C",'Mapa riesgos'!$T$62),"")</f>
        <v/>
      </c>
      <c r="AJ54" s="39" t="str">
        <f>IF(AND('Mapa riesgos'!$AD$63="Muy Baja",'Mapa riesgos'!$AF$63="Catastrófico"),CONCATENATE("R9C",'Mapa riesgos'!$T$63),"")</f>
        <v/>
      </c>
      <c r="AK54" s="39" t="str">
        <f>IF(AND('Mapa riesgos'!$AD$64="Muy Baja",'Mapa riesgos'!$AF$64="Catastrófico"),CONCATENATE("R9C",'Mapa riesgos'!$T$64),"")</f>
        <v/>
      </c>
      <c r="AL54" s="39" t="str">
        <f>IF(AND('Mapa riesgos'!$AD$65="Muy Baja",'Mapa riesgos'!$AF$65="Catastrófico"),CONCATENATE("R9C",'Mapa riesgos'!$T$65),"")</f>
        <v/>
      </c>
      <c r="AM54" s="40" t="str">
        <f>IF(AND('Mapa riesgos'!$AD$66="Muy Baja",'Mapa riesgos'!$AF$66="Catastrófico"),CONCATENATE("R9C",'Mapa riesgos'!$T$66),"")</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
      <c r="A55" s="66"/>
      <c r="B55" s="429"/>
      <c r="C55" s="429"/>
      <c r="D55" s="430"/>
      <c r="E55" s="529"/>
      <c r="F55" s="530"/>
      <c r="G55" s="530"/>
      <c r="H55" s="530"/>
      <c r="I55" s="544"/>
      <c r="J55" s="62" t="str">
        <f>IF(AND('Mapa riesgos'!$AD$67="Muy Baja",'Mapa riesgos'!$AF$67="Leve"),CONCATENATE("R10C",'Mapa riesgos'!$T$67),"")</f>
        <v/>
      </c>
      <c r="K55" s="63" t="str">
        <f>IF(AND('Mapa riesgos'!$AD$68="Muy Baja",'Mapa riesgos'!$AF$68="Leve"),CONCATENATE("R10C",'Mapa riesgos'!$T$68),"")</f>
        <v/>
      </c>
      <c r="L55" s="63" t="str">
        <f>IF(AND('Mapa riesgos'!$AD$69="Muy Baja",'Mapa riesgos'!$AF$69="Leve"),CONCATENATE("R10C",'Mapa riesgos'!$T$69),"")</f>
        <v/>
      </c>
      <c r="M55" s="63" t="str">
        <f>IF(AND('Mapa riesgos'!$AD$70="Muy Baja",'Mapa riesgos'!$AF$70="Leve"),CONCATENATE("R10C",'Mapa riesgos'!$T$70),"")</f>
        <v/>
      </c>
      <c r="N55" s="63" t="str">
        <f>IF(AND('Mapa riesgos'!$AD$71="Muy Baja",'Mapa riesgos'!$AF$71="Leve"),CONCATENATE("R10C",'Mapa riesgos'!$T$71),"")</f>
        <v/>
      </c>
      <c r="O55" s="64" t="str">
        <f>IF(AND('Mapa riesgos'!$AD$72="Muy Baja",'Mapa riesgos'!$AF$72="Leve"),CONCATENATE("R10C",'Mapa riesgos'!$T$72),"")</f>
        <v/>
      </c>
      <c r="P55" s="62" t="str">
        <f>IF(AND('Mapa riesgos'!$AD$67="Muy Baja",'Mapa riesgos'!$AF$67="Menor"),CONCATENATE("R10C",'Mapa riesgos'!$T$67),"")</f>
        <v/>
      </c>
      <c r="Q55" s="63" t="str">
        <f>IF(AND('Mapa riesgos'!$AD$68="Muy Baja",'Mapa riesgos'!$AF$68="Menor"),CONCATENATE("R10C",'Mapa riesgos'!$T$68),"")</f>
        <v/>
      </c>
      <c r="R55" s="63" t="str">
        <f>IF(AND('Mapa riesgos'!$AD$69="Muy Baja",'Mapa riesgos'!$AF$69="Menor"),CONCATENATE("R10C",'Mapa riesgos'!$T$69),"")</f>
        <v/>
      </c>
      <c r="S55" s="63" t="str">
        <f>IF(AND('Mapa riesgos'!$AD$70="Muy Baja",'Mapa riesgos'!$AF$70="Menor"),CONCATENATE("R10C",'Mapa riesgos'!$T$70),"")</f>
        <v/>
      </c>
      <c r="T55" s="63" t="str">
        <f>IF(AND('Mapa riesgos'!$AD$71="Muy Baja",'Mapa riesgos'!$AF$71="Menor"),CONCATENATE("R10C",'Mapa riesgos'!$T$71),"")</f>
        <v/>
      </c>
      <c r="U55" s="64" t="str">
        <f>IF(AND('Mapa riesgos'!$AD$72="Muy Baja",'Mapa riesgos'!$AF$72="Menor"),CONCATENATE("R10C",'Mapa riesgos'!$T$72),"")</f>
        <v/>
      </c>
      <c r="V55" s="53" t="str">
        <f>IF(AND('Mapa riesgos'!$AD$67="Muy Baja",'Mapa riesgos'!$AF$67="Moderado"),CONCATENATE("R10C",'Mapa riesgos'!$T$67),"")</f>
        <v/>
      </c>
      <c r="W55" s="54" t="str">
        <f>IF(AND('Mapa riesgos'!$AD$68="Muy Baja",'Mapa riesgos'!$AF$68="Moderado"),CONCATENATE("R10C",'Mapa riesgos'!$T$68),"")</f>
        <v/>
      </c>
      <c r="X55" s="54" t="str">
        <f>IF(AND('Mapa riesgos'!$AD$69="Muy Baja",'Mapa riesgos'!$AF$69="Moderado"),CONCATENATE("R10C",'Mapa riesgos'!$T$69),"")</f>
        <v/>
      </c>
      <c r="Y55" s="54" t="str">
        <f>IF(AND('Mapa riesgos'!$AD$70="Muy Baja",'Mapa riesgos'!$AF$70="Moderado"),CONCATENATE("R10C",'Mapa riesgos'!$T$70),"")</f>
        <v/>
      </c>
      <c r="Z55" s="54" t="str">
        <f>IF(AND('Mapa riesgos'!$AD$71="Muy Baja",'Mapa riesgos'!$AF$71="Moderado"),CONCATENATE("R10C",'Mapa riesgos'!$T$71),"")</f>
        <v/>
      </c>
      <c r="AA55" s="55" t="str">
        <f>IF(AND('Mapa riesgos'!$AD$72="Muy Baja",'Mapa riesgos'!$AF$72="Moderado"),CONCATENATE("R10C",'Mapa riesgos'!$T$72),"")</f>
        <v/>
      </c>
      <c r="AB55" s="41" t="str">
        <f>IF(AND('Mapa riesgos'!$AD$67="Muy Baja",'Mapa riesgos'!$AF$67="Mayor"),CONCATENATE("R10C",'Mapa riesgos'!$T$67),"")</f>
        <v/>
      </c>
      <c r="AC55" s="42" t="str">
        <f>IF(AND('Mapa riesgos'!$AD$68="Muy Baja",'Mapa riesgos'!$AF$68="Mayor"),CONCATENATE("R10C",'Mapa riesgos'!$T$68),"")</f>
        <v/>
      </c>
      <c r="AD55" s="42" t="str">
        <f>IF(AND('Mapa riesgos'!$AD$69="Muy Baja",'Mapa riesgos'!$AF$69="Mayor"),CONCATENATE("R10C",'Mapa riesgos'!$T$69),"")</f>
        <v/>
      </c>
      <c r="AE55" s="42" t="str">
        <f>IF(AND('Mapa riesgos'!$AD$70="Muy Baja",'Mapa riesgos'!$AF$70="Mayor"),CONCATENATE("R10C",'Mapa riesgos'!$T$70),"")</f>
        <v/>
      </c>
      <c r="AF55" s="42" t="str">
        <f>IF(AND('Mapa riesgos'!$AD$71="Muy Baja",'Mapa riesgos'!$AF$71="Mayor"),CONCATENATE("R10C",'Mapa riesgos'!$T$71),"")</f>
        <v/>
      </c>
      <c r="AG55" s="43" t="str">
        <f>IF(AND('Mapa riesgos'!$AD$72="Muy Baja",'Mapa riesgos'!$AF$72="Mayor"),CONCATENATE("R10C",'Mapa riesgos'!$T$72),"")</f>
        <v/>
      </c>
      <c r="AH55" s="44" t="str">
        <f>IF(AND('Mapa riesgos'!$AD$67="Muy Baja",'Mapa riesgos'!$AF$67="Catastrófico"),CONCATENATE("R10C",'Mapa riesgos'!$T$67),"")</f>
        <v/>
      </c>
      <c r="AI55" s="45" t="str">
        <f>IF(AND('Mapa riesgos'!$AD$68="Muy Baja",'Mapa riesgos'!$AF$68="Catastrófico"),CONCATENATE("R10C",'Mapa riesgos'!$T$68),"")</f>
        <v/>
      </c>
      <c r="AJ55" s="45" t="str">
        <f>IF(AND('Mapa riesgos'!$AD$69="Muy Baja",'Mapa riesgos'!$AF$69="Catastrófico"),CONCATENATE("R10C",'Mapa riesgos'!$T$69),"")</f>
        <v/>
      </c>
      <c r="AK55" s="45" t="str">
        <f>IF(AND('Mapa riesgos'!$AD$70="Muy Baja",'Mapa riesgos'!$AF$70="Catastrófico"),CONCATENATE("R10C",'Mapa riesgos'!$T$70),"")</f>
        <v/>
      </c>
      <c r="AL55" s="45" t="str">
        <f>IF(AND('Mapa riesgos'!$AD$71="Muy Baja",'Mapa riesgos'!$AF$71="Catastrófico"),CONCATENATE("R10C",'Mapa riesgos'!$T$71),"")</f>
        <v/>
      </c>
      <c r="AM55" s="46" t="str">
        <f>IF(AND('Mapa riesgos'!$AD$72="Muy Baja",'Mapa riesgos'!$AF$72="Catastrófico"),CONCATENATE("R10C",'Mapa riesgos'!$T$72),"")</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524" t="s">
        <v>186</v>
      </c>
      <c r="K56" s="525"/>
      <c r="L56" s="525"/>
      <c r="M56" s="525"/>
      <c r="N56" s="525"/>
      <c r="O56" s="542"/>
      <c r="P56" s="524" t="s">
        <v>187</v>
      </c>
      <c r="Q56" s="525"/>
      <c r="R56" s="525"/>
      <c r="S56" s="525"/>
      <c r="T56" s="525"/>
      <c r="U56" s="542"/>
      <c r="V56" s="524" t="s">
        <v>188</v>
      </c>
      <c r="W56" s="525"/>
      <c r="X56" s="525"/>
      <c r="Y56" s="525"/>
      <c r="Z56" s="525"/>
      <c r="AA56" s="542"/>
      <c r="AB56" s="524" t="s">
        <v>189</v>
      </c>
      <c r="AC56" s="563"/>
      <c r="AD56" s="525"/>
      <c r="AE56" s="525"/>
      <c r="AF56" s="525"/>
      <c r="AG56" s="542"/>
      <c r="AH56" s="524" t="s">
        <v>190</v>
      </c>
      <c r="AI56" s="525"/>
      <c r="AJ56" s="525"/>
      <c r="AK56" s="525"/>
      <c r="AL56" s="525"/>
      <c r="AM56" s="542"/>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528"/>
      <c r="K57" s="527"/>
      <c r="L57" s="527"/>
      <c r="M57" s="527"/>
      <c r="N57" s="527"/>
      <c r="O57" s="543"/>
      <c r="P57" s="528"/>
      <c r="Q57" s="527"/>
      <c r="R57" s="527"/>
      <c r="S57" s="527"/>
      <c r="T57" s="527"/>
      <c r="U57" s="543"/>
      <c r="V57" s="528"/>
      <c r="W57" s="527"/>
      <c r="X57" s="527"/>
      <c r="Y57" s="527"/>
      <c r="Z57" s="527"/>
      <c r="AA57" s="543"/>
      <c r="AB57" s="528"/>
      <c r="AC57" s="527"/>
      <c r="AD57" s="527"/>
      <c r="AE57" s="527"/>
      <c r="AF57" s="527"/>
      <c r="AG57" s="543"/>
      <c r="AH57" s="528"/>
      <c r="AI57" s="527"/>
      <c r="AJ57" s="527"/>
      <c r="AK57" s="527"/>
      <c r="AL57" s="527"/>
      <c r="AM57" s="543"/>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528"/>
      <c r="K58" s="527"/>
      <c r="L58" s="527"/>
      <c r="M58" s="527"/>
      <c r="N58" s="527"/>
      <c r="O58" s="543"/>
      <c r="P58" s="528"/>
      <c r="Q58" s="527"/>
      <c r="R58" s="527"/>
      <c r="S58" s="527"/>
      <c r="T58" s="527"/>
      <c r="U58" s="543"/>
      <c r="V58" s="528"/>
      <c r="W58" s="527"/>
      <c r="X58" s="527"/>
      <c r="Y58" s="527"/>
      <c r="Z58" s="527"/>
      <c r="AA58" s="543"/>
      <c r="AB58" s="528"/>
      <c r="AC58" s="527"/>
      <c r="AD58" s="527"/>
      <c r="AE58" s="527"/>
      <c r="AF58" s="527"/>
      <c r="AG58" s="543"/>
      <c r="AH58" s="528"/>
      <c r="AI58" s="527"/>
      <c r="AJ58" s="527"/>
      <c r="AK58" s="527"/>
      <c r="AL58" s="527"/>
      <c r="AM58" s="543"/>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528"/>
      <c r="K59" s="527"/>
      <c r="L59" s="527"/>
      <c r="M59" s="527"/>
      <c r="N59" s="527"/>
      <c r="O59" s="543"/>
      <c r="P59" s="528"/>
      <c r="Q59" s="527"/>
      <c r="R59" s="527"/>
      <c r="S59" s="527"/>
      <c r="T59" s="527"/>
      <c r="U59" s="543"/>
      <c r="V59" s="528"/>
      <c r="W59" s="527"/>
      <c r="X59" s="527"/>
      <c r="Y59" s="527"/>
      <c r="Z59" s="527"/>
      <c r="AA59" s="543"/>
      <c r="AB59" s="528"/>
      <c r="AC59" s="527"/>
      <c r="AD59" s="527"/>
      <c r="AE59" s="527"/>
      <c r="AF59" s="527"/>
      <c r="AG59" s="543"/>
      <c r="AH59" s="528"/>
      <c r="AI59" s="527"/>
      <c r="AJ59" s="527"/>
      <c r="AK59" s="527"/>
      <c r="AL59" s="527"/>
      <c r="AM59" s="543"/>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528"/>
      <c r="K60" s="527"/>
      <c r="L60" s="527"/>
      <c r="M60" s="527"/>
      <c r="N60" s="527"/>
      <c r="O60" s="543"/>
      <c r="P60" s="528"/>
      <c r="Q60" s="527"/>
      <c r="R60" s="527"/>
      <c r="S60" s="527"/>
      <c r="T60" s="527"/>
      <c r="U60" s="543"/>
      <c r="V60" s="528"/>
      <c r="W60" s="527"/>
      <c r="X60" s="527"/>
      <c r="Y60" s="527"/>
      <c r="Z60" s="527"/>
      <c r="AA60" s="543"/>
      <c r="AB60" s="528"/>
      <c r="AC60" s="527"/>
      <c r="AD60" s="527"/>
      <c r="AE60" s="527"/>
      <c r="AF60" s="527"/>
      <c r="AG60" s="543"/>
      <c r="AH60" s="528"/>
      <c r="AI60" s="527"/>
      <c r="AJ60" s="527"/>
      <c r="AK60" s="527"/>
      <c r="AL60" s="527"/>
      <c r="AM60" s="543"/>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75" thickBot="1" x14ac:dyDescent="0.3">
      <c r="A61" s="66"/>
      <c r="B61" s="66"/>
      <c r="C61" s="66"/>
      <c r="D61" s="66"/>
      <c r="E61" s="66"/>
      <c r="F61" s="66"/>
      <c r="G61" s="66"/>
      <c r="H61" s="66"/>
      <c r="I61" s="66"/>
      <c r="J61" s="529"/>
      <c r="K61" s="530"/>
      <c r="L61" s="530"/>
      <c r="M61" s="530"/>
      <c r="N61" s="530"/>
      <c r="O61" s="544"/>
      <c r="P61" s="529"/>
      <c r="Q61" s="530"/>
      <c r="R61" s="530"/>
      <c r="S61" s="530"/>
      <c r="T61" s="530"/>
      <c r="U61" s="544"/>
      <c r="V61" s="529"/>
      <c r="W61" s="530"/>
      <c r="X61" s="530"/>
      <c r="Y61" s="530"/>
      <c r="Z61" s="530"/>
      <c r="AA61" s="544"/>
      <c r="AB61" s="529"/>
      <c r="AC61" s="530"/>
      <c r="AD61" s="530"/>
      <c r="AE61" s="530"/>
      <c r="AF61" s="530"/>
      <c r="AG61" s="544"/>
      <c r="AH61" s="529"/>
      <c r="AI61" s="530"/>
      <c r="AJ61" s="530"/>
      <c r="AK61" s="530"/>
      <c r="AL61" s="530"/>
      <c r="AM61" s="544"/>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25">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25">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25">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25">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25">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25">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25">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25">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25">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25">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25">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25">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25">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25">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25">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25">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25">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25">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25">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25">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25">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25">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25">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25">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25">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25">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25">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25">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25">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25">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25">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25">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25">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25">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25">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25">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25">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25">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25">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25">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25">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25">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25">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25">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25">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25">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25">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25">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25">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25">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25">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25">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25">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25">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25">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25">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25">
      <c r="A245" s="66"/>
    </row>
    <row r="246" spans="1:60" x14ac:dyDescent="0.25">
      <c r="A246" s="66"/>
    </row>
    <row r="247" spans="1:60" x14ac:dyDescent="0.25">
      <c r="A247" s="66"/>
    </row>
    <row r="248" spans="1:60" x14ac:dyDescent="0.25">
      <c r="A248" s="66"/>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5"/>
  <sheetViews>
    <sheetView zoomScale="90" zoomScaleNormal="90" workbookViewId="0">
      <selection activeCell="B7" sqref="B7"/>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66"/>
      <c r="B1" s="564" t="s">
        <v>192</v>
      </c>
      <c r="C1" s="564"/>
      <c r="D1" s="564"/>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5" x14ac:dyDescent="0.25">
      <c r="A3" s="66"/>
      <c r="B3" s="3"/>
      <c r="C3" s="4" t="s">
        <v>193</v>
      </c>
      <c r="D3" s="4" t="s">
        <v>176</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1" x14ac:dyDescent="0.25">
      <c r="A4" s="66"/>
      <c r="B4" s="5" t="s">
        <v>194</v>
      </c>
      <c r="C4" s="6" t="s">
        <v>195</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1" x14ac:dyDescent="0.25">
      <c r="A5" s="66"/>
      <c r="B5" s="8" t="s">
        <v>196</v>
      </c>
      <c r="C5" s="9" t="s">
        <v>197</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1" x14ac:dyDescent="0.25">
      <c r="A6" s="66"/>
      <c r="B6" s="11" t="s">
        <v>198</v>
      </c>
      <c r="C6" s="9" t="s">
        <v>199</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6.5" x14ac:dyDescent="0.25">
      <c r="A7" s="66"/>
      <c r="B7" s="12" t="s">
        <v>200</v>
      </c>
      <c r="C7" s="9" t="s">
        <v>201</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1" x14ac:dyDescent="0.25">
      <c r="A8" s="66"/>
      <c r="B8" s="13" t="s">
        <v>202</v>
      </c>
      <c r="C8" s="9" t="s">
        <v>203</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25">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ht="16.5" x14ac:dyDescent="0.25">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25">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25">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25">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25">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25">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25">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25">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25">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25">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25">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25">
      <c r="A35" s="66"/>
    </row>
    <row r="36" spans="1:31" x14ac:dyDescent="0.25">
      <c r="A36" s="66"/>
    </row>
    <row r="37" spans="1:31" x14ac:dyDescent="0.25">
      <c r="A37" s="66"/>
    </row>
    <row r="38" spans="1:31" x14ac:dyDescent="0.25">
      <c r="A38" s="66"/>
    </row>
    <row r="39" spans="1:31" x14ac:dyDescent="0.25">
      <c r="A39" s="66"/>
    </row>
    <row r="40" spans="1:31" x14ac:dyDescent="0.25">
      <c r="A40" s="66"/>
    </row>
    <row r="41" spans="1:31" x14ac:dyDescent="0.25">
      <c r="A41" s="66"/>
    </row>
    <row r="42" spans="1:31" x14ac:dyDescent="0.25">
      <c r="A42" s="66"/>
    </row>
    <row r="43" spans="1:31" x14ac:dyDescent="0.25">
      <c r="A43" s="66"/>
    </row>
    <row r="44" spans="1:31" x14ac:dyDescent="0.25">
      <c r="A44" s="66"/>
    </row>
    <row r="45" spans="1:31" x14ac:dyDescent="0.25">
      <c r="A45" s="66"/>
    </row>
    <row r="46" spans="1:31" x14ac:dyDescent="0.25">
      <c r="A46" s="66"/>
    </row>
    <row r="47" spans="1:31" x14ac:dyDescent="0.25">
      <c r="A47" s="66"/>
    </row>
    <row r="48" spans="1:31" x14ac:dyDescent="0.25">
      <c r="A48" s="66"/>
    </row>
    <row r="49" spans="1:1" x14ac:dyDescent="0.25">
      <c r="A49" s="66"/>
    </row>
    <row r="50" spans="1:1" x14ac:dyDescent="0.25">
      <c r="A50" s="66"/>
    </row>
    <row r="51" spans="1:1" x14ac:dyDescent="0.25">
      <c r="A51" s="66"/>
    </row>
    <row r="52" spans="1:1" x14ac:dyDescent="0.25">
      <c r="A52" s="66"/>
    </row>
    <row r="53" spans="1:1" x14ac:dyDescent="0.25">
      <c r="A53" s="66"/>
    </row>
    <row r="54" spans="1:1" x14ac:dyDescent="0.25">
      <c r="A54" s="66"/>
    </row>
    <row r="55" spans="1:1" x14ac:dyDescent="0.25">
      <c r="A55" s="66"/>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233"/>
  <sheetViews>
    <sheetView zoomScale="50" zoomScaleNormal="50" workbookViewId="0">
      <selection activeCell="D7" sqref="D7"/>
    </sheetView>
  </sheetViews>
  <sheetFormatPr baseColWidth="10" defaultColWidth="11.42578125" defaultRowHeight="15" x14ac:dyDescent="0.25"/>
  <cols>
    <col min="1" max="1" width="5.28515625" customWidth="1"/>
    <col min="2" max="2" width="56.85546875" customWidth="1"/>
    <col min="3" max="3" width="75.140625" customWidth="1"/>
    <col min="4" max="4" width="87.5703125" customWidth="1"/>
    <col min="5" max="5" width="46.42578125" customWidth="1"/>
    <col min="6" max="6" width="23.42578125" style="114" customWidth="1"/>
    <col min="7" max="7" width="26.85546875" customWidth="1"/>
  </cols>
  <sheetData>
    <row r="2" spans="1:21" s="179" customFormat="1" ht="45.75" customHeight="1" x14ac:dyDescent="0.25">
      <c r="A2" s="177"/>
      <c r="B2" s="565" t="s">
        <v>204</v>
      </c>
      <c r="C2" s="565"/>
      <c r="D2" s="565"/>
      <c r="E2" s="565"/>
      <c r="F2" s="178"/>
      <c r="G2" s="177"/>
      <c r="H2" s="177"/>
      <c r="I2" s="177"/>
      <c r="J2" s="177"/>
      <c r="K2" s="177"/>
      <c r="L2" s="177"/>
      <c r="M2" s="177"/>
      <c r="N2" s="177"/>
      <c r="O2" s="177"/>
      <c r="P2" s="177"/>
      <c r="Q2" s="177"/>
      <c r="R2" s="177"/>
      <c r="S2" s="177"/>
      <c r="T2" s="177"/>
      <c r="U2" s="177"/>
    </row>
    <row r="3" spans="1:21" s="179" customFormat="1" ht="18.75" customHeight="1" x14ac:dyDescent="0.25">
      <c r="A3" s="177"/>
      <c r="B3" s="180"/>
      <c r="C3" s="177"/>
      <c r="D3" s="177"/>
      <c r="E3" s="177"/>
      <c r="F3" s="178"/>
      <c r="G3" s="177"/>
      <c r="H3" s="177"/>
      <c r="I3" s="177"/>
      <c r="J3" s="177"/>
      <c r="K3" s="177"/>
      <c r="L3" s="177"/>
      <c r="M3" s="177"/>
      <c r="N3" s="177"/>
      <c r="O3" s="177"/>
      <c r="P3" s="177"/>
      <c r="Q3" s="177"/>
      <c r="R3" s="177"/>
      <c r="S3" s="177"/>
      <c r="T3" s="177"/>
      <c r="U3" s="177"/>
    </row>
    <row r="4" spans="1:21" ht="67.5" customHeight="1" x14ac:dyDescent="0.25">
      <c r="A4" s="66"/>
      <c r="B4" s="106"/>
      <c r="C4" s="21" t="s">
        <v>205</v>
      </c>
      <c r="D4" s="21" t="s">
        <v>206</v>
      </c>
      <c r="E4" s="21" t="s">
        <v>394</v>
      </c>
      <c r="F4" s="112"/>
      <c r="G4" s="66"/>
      <c r="H4" s="66"/>
      <c r="I4" s="66"/>
      <c r="J4" s="66"/>
      <c r="K4" s="66"/>
      <c r="L4" s="66"/>
      <c r="M4" s="66"/>
      <c r="N4" s="66"/>
      <c r="O4" s="66"/>
      <c r="P4" s="66"/>
      <c r="Q4" s="66"/>
      <c r="R4" s="66"/>
      <c r="S4" s="66"/>
      <c r="T4" s="66"/>
      <c r="U4" s="66"/>
    </row>
    <row r="5" spans="1:21" ht="67.5" customHeight="1" x14ac:dyDescent="0.25">
      <c r="A5" s="86" t="s">
        <v>207</v>
      </c>
      <c r="B5" s="22" t="s">
        <v>208</v>
      </c>
      <c r="C5" s="27" t="s">
        <v>209</v>
      </c>
      <c r="D5" s="104" t="s">
        <v>210</v>
      </c>
      <c r="E5" s="236">
        <f>908526*130</f>
        <v>118108380</v>
      </c>
      <c r="F5" s="66"/>
      <c r="G5" s="66"/>
      <c r="H5" s="66"/>
      <c r="I5" s="66"/>
      <c r="J5" s="66"/>
      <c r="K5" s="66"/>
      <c r="L5" s="66"/>
      <c r="M5" s="66"/>
      <c r="N5" s="66"/>
      <c r="O5" s="66"/>
      <c r="P5" s="66"/>
      <c r="Q5" s="66"/>
      <c r="R5" s="66"/>
      <c r="S5" s="66"/>
      <c r="T5" s="66"/>
      <c r="U5" s="66"/>
    </row>
    <row r="6" spans="1:21" ht="129" customHeight="1" x14ac:dyDescent="0.25">
      <c r="A6" s="86" t="s">
        <v>211</v>
      </c>
      <c r="B6" s="23" t="s">
        <v>212</v>
      </c>
      <c r="C6" s="28" t="s">
        <v>213</v>
      </c>
      <c r="D6" s="105" t="s">
        <v>214</v>
      </c>
      <c r="E6" s="236">
        <f>908526*650</f>
        <v>590541900</v>
      </c>
      <c r="F6" s="66"/>
      <c r="G6" s="66"/>
      <c r="H6" s="66"/>
      <c r="I6" s="66"/>
      <c r="J6" s="66"/>
      <c r="K6" s="66"/>
      <c r="L6" s="66"/>
      <c r="M6" s="66"/>
      <c r="N6" s="66"/>
      <c r="O6" s="66"/>
      <c r="P6" s="66"/>
      <c r="Q6" s="66"/>
      <c r="R6" s="66"/>
      <c r="S6" s="66"/>
      <c r="T6" s="66"/>
      <c r="U6" s="66"/>
    </row>
    <row r="7" spans="1:21" ht="101.25" x14ac:dyDescent="0.25">
      <c r="A7" s="86" t="s">
        <v>182</v>
      </c>
      <c r="B7" s="24" t="s">
        <v>215</v>
      </c>
      <c r="C7" s="28" t="s">
        <v>216</v>
      </c>
      <c r="D7" s="105" t="s">
        <v>217</v>
      </c>
      <c r="E7" s="236">
        <f>908526*1300</f>
        <v>1181083800</v>
      </c>
      <c r="F7" s="66"/>
      <c r="G7" s="66"/>
      <c r="H7" s="66"/>
      <c r="I7" s="66"/>
      <c r="J7" s="66"/>
      <c r="K7" s="66"/>
      <c r="L7" s="66"/>
      <c r="M7" s="66"/>
      <c r="N7" s="66"/>
      <c r="O7" s="66"/>
      <c r="P7" s="66"/>
      <c r="Q7" s="66"/>
      <c r="R7" s="66"/>
      <c r="S7" s="66"/>
      <c r="T7" s="66"/>
      <c r="U7" s="66"/>
    </row>
    <row r="8" spans="1:21" ht="135" x14ac:dyDescent="0.25">
      <c r="A8" s="86" t="s">
        <v>218</v>
      </c>
      <c r="B8" s="25" t="s">
        <v>219</v>
      </c>
      <c r="C8" s="28" t="s">
        <v>220</v>
      </c>
      <c r="D8" s="105" t="s">
        <v>221</v>
      </c>
      <c r="E8" s="236">
        <f>908526*6500</f>
        <v>5905419000</v>
      </c>
      <c r="F8" s="66"/>
      <c r="G8" s="66"/>
      <c r="H8" s="66"/>
      <c r="I8" s="66"/>
      <c r="J8" s="66"/>
      <c r="K8" s="66"/>
      <c r="L8" s="66"/>
      <c r="M8" s="66"/>
      <c r="N8" s="66"/>
      <c r="O8" s="66"/>
      <c r="P8" s="66"/>
      <c r="Q8" s="66"/>
      <c r="R8" s="66"/>
      <c r="S8" s="66"/>
      <c r="T8" s="66"/>
      <c r="U8" s="66"/>
    </row>
    <row r="9" spans="1:21" ht="101.25" x14ac:dyDescent="0.25">
      <c r="A9" s="86" t="s">
        <v>222</v>
      </c>
      <c r="B9" s="26" t="s">
        <v>223</v>
      </c>
      <c r="C9" s="28" t="s">
        <v>224</v>
      </c>
      <c r="D9" s="105" t="s">
        <v>225</v>
      </c>
      <c r="E9" s="236"/>
      <c r="F9" s="107"/>
      <c r="G9" s="107"/>
      <c r="H9" s="66"/>
      <c r="I9" s="66"/>
      <c r="J9" s="66"/>
      <c r="K9" s="66"/>
      <c r="L9" s="66"/>
      <c r="M9" s="66"/>
      <c r="N9" s="66"/>
      <c r="O9" s="66"/>
      <c r="P9" s="66"/>
      <c r="Q9" s="66"/>
      <c r="R9" s="66"/>
      <c r="S9" s="66"/>
      <c r="T9" s="66"/>
      <c r="U9" s="66"/>
    </row>
    <row r="10" spans="1:21" s="110" customFormat="1" ht="20.25" hidden="1" x14ac:dyDescent="0.25">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t="16.5" hidden="1" x14ac:dyDescent="0.25">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25">
      <c r="A12" s="108"/>
      <c r="B12" s="108" t="s">
        <v>226</v>
      </c>
      <c r="C12" s="108" t="s">
        <v>227</v>
      </c>
      <c r="D12" s="108" t="s">
        <v>228</v>
      </c>
      <c r="E12" s="108"/>
      <c r="F12" s="108"/>
      <c r="G12" s="108"/>
      <c r="H12" s="108"/>
      <c r="I12" s="108"/>
      <c r="J12" s="108"/>
      <c r="K12" s="108"/>
      <c r="L12" s="108"/>
      <c r="M12" s="108"/>
      <c r="N12" s="108"/>
      <c r="O12" s="108"/>
      <c r="P12" s="108"/>
      <c r="Q12" s="108"/>
      <c r="R12" s="108"/>
      <c r="S12" s="108"/>
      <c r="T12" s="108"/>
      <c r="U12" s="108"/>
    </row>
    <row r="13" spans="1:21" s="110" customFormat="1" hidden="1" x14ac:dyDescent="0.25">
      <c r="A13" s="108"/>
      <c r="B13" s="108" t="s">
        <v>229</v>
      </c>
      <c r="C13" s="108" t="s">
        <v>230</v>
      </c>
      <c r="D13" s="108" t="s">
        <v>231</v>
      </c>
      <c r="E13" s="108"/>
      <c r="F13" s="108"/>
      <c r="G13" s="108"/>
      <c r="H13" s="108"/>
      <c r="I13" s="108"/>
      <c r="J13" s="108"/>
      <c r="K13" s="108"/>
      <c r="L13" s="108"/>
      <c r="M13" s="108"/>
      <c r="N13" s="108"/>
      <c r="O13" s="108"/>
      <c r="P13" s="108"/>
      <c r="Q13" s="108"/>
      <c r="R13" s="108"/>
      <c r="S13" s="108"/>
      <c r="T13" s="108"/>
      <c r="U13" s="108"/>
    </row>
    <row r="14" spans="1:21" s="110" customFormat="1" hidden="1" x14ac:dyDescent="0.25">
      <c r="A14" s="108"/>
      <c r="B14" s="108"/>
      <c r="C14" s="108" t="s">
        <v>232</v>
      </c>
      <c r="D14" s="108" t="s">
        <v>155</v>
      </c>
      <c r="E14" s="108"/>
      <c r="F14" s="108"/>
      <c r="G14" s="108"/>
      <c r="H14" s="108"/>
      <c r="I14" s="108"/>
      <c r="J14" s="108"/>
      <c r="K14" s="108"/>
      <c r="L14" s="108"/>
      <c r="M14" s="108"/>
      <c r="N14" s="108"/>
      <c r="O14" s="108"/>
      <c r="P14" s="108"/>
      <c r="Q14" s="108"/>
      <c r="R14" s="108"/>
      <c r="S14" s="108"/>
      <c r="T14" s="108"/>
      <c r="U14" s="108"/>
    </row>
    <row r="15" spans="1:21" s="110" customFormat="1" hidden="1" x14ac:dyDescent="0.25">
      <c r="A15" s="108"/>
      <c r="B15" s="108"/>
      <c r="C15" s="108" t="s">
        <v>233</v>
      </c>
      <c r="D15" s="108" t="s">
        <v>234</v>
      </c>
      <c r="E15" s="108"/>
      <c r="F15" s="108"/>
      <c r="G15" s="108"/>
      <c r="H15" s="108"/>
      <c r="I15" s="108"/>
      <c r="J15" s="108"/>
      <c r="K15" s="108"/>
      <c r="L15" s="108"/>
      <c r="M15" s="108"/>
      <c r="N15" s="108"/>
      <c r="O15" s="108"/>
      <c r="P15" s="108"/>
      <c r="Q15" s="108"/>
      <c r="R15" s="108"/>
      <c r="S15" s="108"/>
      <c r="T15" s="108"/>
      <c r="U15" s="108"/>
    </row>
    <row r="16" spans="1:21" s="110" customFormat="1" hidden="1" x14ac:dyDescent="0.25">
      <c r="A16" s="108"/>
      <c r="B16" s="108"/>
      <c r="C16" s="108" t="s">
        <v>235</v>
      </c>
      <c r="D16" s="108" t="s">
        <v>236</v>
      </c>
      <c r="E16" s="108"/>
      <c r="F16" s="108"/>
      <c r="G16" s="108"/>
      <c r="H16" s="108"/>
      <c r="I16" s="108"/>
      <c r="J16" s="108"/>
      <c r="K16" s="108"/>
      <c r="L16" s="108"/>
      <c r="M16" s="108"/>
      <c r="N16" s="108"/>
      <c r="O16" s="108"/>
      <c r="P16" s="108"/>
      <c r="Q16" s="108"/>
      <c r="R16" s="108"/>
      <c r="S16" s="108"/>
      <c r="T16" s="108"/>
      <c r="U16" s="108"/>
    </row>
    <row r="17" spans="1:15" s="110" customFormat="1" hidden="1" x14ac:dyDescent="0.25">
      <c r="A17" s="108"/>
      <c r="B17" s="108"/>
      <c r="C17" s="108"/>
      <c r="D17" s="108"/>
      <c r="E17" s="108"/>
      <c r="F17" s="108"/>
      <c r="G17" s="108"/>
      <c r="H17" s="108"/>
      <c r="I17" s="108"/>
      <c r="J17" s="108"/>
      <c r="K17" s="108"/>
      <c r="L17" s="108"/>
      <c r="M17" s="108"/>
      <c r="N17" s="108"/>
      <c r="O17" s="108"/>
    </row>
    <row r="18" spans="1:15" s="110" customFormat="1" x14ac:dyDescent="0.25">
      <c r="A18" s="108"/>
      <c r="B18" s="108"/>
      <c r="C18" s="108"/>
      <c r="D18" s="108"/>
      <c r="E18" s="108"/>
      <c r="F18" s="108"/>
      <c r="G18" s="108"/>
      <c r="H18" s="108"/>
      <c r="I18" s="108"/>
      <c r="J18" s="108"/>
      <c r="K18" s="108"/>
      <c r="L18" s="108"/>
      <c r="M18" s="108"/>
      <c r="N18" s="108"/>
      <c r="O18" s="108"/>
    </row>
    <row r="19" spans="1:15" s="110" customFormat="1" x14ac:dyDescent="0.25">
      <c r="A19" s="108"/>
      <c r="B19" s="108"/>
      <c r="C19" s="108"/>
      <c r="D19" s="108"/>
      <c r="E19" s="108"/>
      <c r="F19" s="108"/>
      <c r="G19" s="108"/>
      <c r="H19" s="108"/>
      <c r="I19" s="108"/>
      <c r="J19" s="108"/>
      <c r="K19" s="108"/>
      <c r="L19" s="108"/>
      <c r="M19" s="108"/>
      <c r="N19" s="108"/>
      <c r="O19" s="108"/>
    </row>
    <row r="20" spans="1:15" s="110" customFormat="1" x14ac:dyDescent="0.25">
      <c r="A20" s="108"/>
      <c r="B20" s="108"/>
      <c r="C20" s="108"/>
      <c r="D20" s="108"/>
      <c r="E20" s="108"/>
      <c r="F20" s="108"/>
      <c r="G20" s="108"/>
      <c r="H20" s="108"/>
      <c r="I20" s="108"/>
      <c r="J20" s="108"/>
      <c r="K20" s="108"/>
      <c r="L20" s="108"/>
      <c r="M20" s="108"/>
      <c r="N20" s="108"/>
      <c r="O20" s="108"/>
    </row>
    <row r="21" spans="1:15" s="110" customFormat="1" x14ac:dyDescent="0.25">
      <c r="A21" s="108"/>
      <c r="B21" s="108"/>
      <c r="C21" s="108"/>
      <c r="D21" s="108"/>
      <c r="E21" s="108"/>
      <c r="F21" s="113"/>
      <c r="G21" s="108"/>
      <c r="H21" s="108"/>
      <c r="I21" s="108"/>
      <c r="J21" s="108"/>
      <c r="K21" s="108"/>
      <c r="L21" s="108"/>
      <c r="M21" s="108"/>
      <c r="N21" s="108"/>
      <c r="O21" s="108"/>
    </row>
    <row r="22" spans="1:15" s="110" customFormat="1" x14ac:dyDescent="0.25">
      <c r="A22" s="108"/>
      <c r="B22" s="108"/>
      <c r="C22" s="108"/>
      <c r="D22" s="108"/>
      <c r="E22" s="108"/>
      <c r="F22" s="113"/>
      <c r="G22" s="108"/>
      <c r="H22" s="108"/>
      <c r="I22" s="108"/>
      <c r="J22" s="108"/>
      <c r="K22" s="108"/>
      <c r="L22" s="108"/>
      <c r="M22" s="108"/>
      <c r="N22" s="108"/>
      <c r="O22" s="108"/>
    </row>
    <row r="23" spans="1:15" s="110" customFormat="1" ht="20.25" x14ac:dyDescent="0.25">
      <c r="A23" s="108"/>
      <c r="B23" s="108"/>
      <c r="C23" s="109"/>
      <c r="D23" s="109"/>
      <c r="E23" s="108"/>
      <c r="F23" s="113"/>
      <c r="G23" s="108"/>
      <c r="H23" s="108"/>
      <c r="I23" s="108"/>
      <c r="J23" s="108"/>
      <c r="K23" s="108"/>
      <c r="L23" s="108"/>
      <c r="M23" s="108"/>
      <c r="N23" s="108"/>
      <c r="O23" s="108"/>
    </row>
    <row r="24" spans="1:15" s="110" customFormat="1" ht="20.25" x14ac:dyDescent="0.25">
      <c r="A24" s="108"/>
      <c r="B24" s="108"/>
      <c r="C24" s="109"/>
      <c r="D24" s="109"/>
      <c r="E24" s="108"/>
      <c r="F24" s="113"/>
      <c r="G24" s="108"/>
      <c r="H24" s="108"/>
      <c r="I24" s="108"/>
      <c r="J24" s="108"/>
      <c r="K24" s="108"/>
      <c r="L24" s="108"/>
      <c r="M24" s="108"/>
      <c r="N24" s="108"/>
      <c r="O24" s="108"/>
    </row>
    <row r="25" spans="1:15" s="110" customFormat="1" ht="20.25" x14ac:dyDescent="0.25">
      <c r="A25" s="108"/>
      <c r="B25" s="108"/>
      <c r="C25" s="109"/>
      <c r="D25" s="109"/>
      <c r="E25" s="108"/>
      <c r="F25" s="113"/>
      <c r="G25" s="108"/>
      <c r="H25" s="108"/>
      <c r="I25" s="108"/>
      <c r="J25" s="108"/>
      <c r="K25" s="108"/>
      <c r="L25" s="108"/>
      <c r="M25" s="108"/>
      <c r="N25" s="108"/>
      <c r="O25" s="108"/>
    </row>
    <row r="26" spans="1:15" s="110" customFormat="1" ht="20.25" x14ac:dyDescent="0.25">
      <c r="A26" s="108"/>
      <c r="B26" s="108"/>
      <c r="C26" s="109"/>
      <c r="D26" s="109"/>
      <c r="E26" s="108"/>
      <c r="F26" s="113"/>
      <c r="G26" s="108"/>
      <c r="H26" s="108"/>
      <c r="I26" s="108"/>
      <c r="J26" s="108"/>
      <c r="K26" s="108"/>
      <c r="L26" s="108"/>
      <c r="M26" s="108"/>
      <c r="N26" s="108"/>
      <c r="O26" s="108"/>
    </row>
    <row r="27" spans="1:15" s="110" customFormat="1" ht="20.25" x14ac:dyDescent="0.25">
      <c r="A27" s="108"/>
      <c r="B27" s="108"/>
      <c r="C27" s="109"/>
      <c r="D27" s="109"/>
      <c r="E27" s="108"/>
      <c r="F27" s="113"/>
      <c r="G27" s="108"/>
      <c r="H27" s="108"/>
      <c r="I27" s="108"/>
      <c r="J27" s="108"/>
      <c r="K27" s="108"/>
      <c r="L27" s="108"/>
      <c r="M27" s="108"/>
      <c r="N27" s="108"/>
      <c r="O27" s="108"/>
    </row>
    <row r="28" spans="1:15" s="110" customFormat="1" ht="20.25" x14ac:dyDescent="0.25">
      <c r="A28" s="108"/>
      <c r="B28" s="108"/>
      <c r="C28" s="109"/>
      <c r="D28" s="109"/>
      <c r="E28" s="108"/>
      <c r="F28" s="113"/>
      <c r="G28" s="108"/>
      <c r="H28" s="108"/>
      <c r="I28" s="108"/>
      <c r="J28" s="108"/>
      <c r="K28" s="108"/>
      <c r="L28" s="108"/>
      <c r="M28" s="108"/>
      <c r="N28" s="108"/>
      <c r="O28" s="108"/>
    </row>
    <row r="29" spans="1:15" s="110" customFormat="1" ht="20.25" x14ac:dyDescent="0.25">
      <c r="A29" s="108"/>
      <c r="B29" s="108"/>
      <c r="C29" s="109"/>
      <c r="D29" s="109"/>
      <c r="E29" s="108"/>
      <c r="F29" s="113"/>
      <c r="G29" s="108"/>
      <c r="H29" s="108"/>
      <c r="I29" s="108"/>
      <c r="J29" s="108"/>
      <c r="K29" s="108"/>
      <c r="L29" s="108"/>
      <c r="M29" s="108"/>
      <c r="N29" s="108"/>
      <c r="O29" s="108"/>
    </row>
    <row r="30" spans="1:15" s="110" customFormat="1" ht="20.25" x14ac:dyDescent="0.25">
      <c r="A30" s="108"/>
      <c r="B30" s="108"/>
      <c r="C30" s="109"/>
      <c r="D30" s="109"/>
      <c r="E30" s="108"/>
      <c r="F30" s="113"/>
      <c r="G30" s="108"/>
      <c r="H30" s="108"/>
      <c r="I30" s="108"/>
      <c r="J30" s="108"/>
      <c r="K30" s="108"/>
      <c r="L30" s="108"/>
      <c r="M30" s="108"/>
      <c r="N30" s="108"/>
      <c r="O30" s="108"/>
    </row>
    <row r="31" spans="1:15" s="110" customFormat="1" ht="20.25" x14ac:dyDescent="0.25">
      <c r="A31" s="108"/>
      <c r="B31" s="108"/>
      <c r="C31" s="109"/>
      <c r="D31" s="109"/>
      <c r="E31" s="108"/>
      <c r="F31" s="113"/>
      <c r="G31" s="108"/>
      <c r="H31" s="108"/>
      <c r="I31" s="108"/>
      <c r="J31" s="108"/>
      <c r="K31" s="108"/>
      <c r="L31" s="108"/>
      <c r="M31" s="108"/>
      <c r="N31" s="108"/>
      <c r="O31" s="108"/>
    </row>
    <row r="32" spans="1:15" s="110" customFormat="1" ht="20.25" x14ac:dyDescent="0.25">
      <c r="A32" s="108"/>
      <c r="B32" s="108"/>
      <c r="C32" s="109"/>
      <c r="D32" s="109"/>
      <c r="E32" s="108"/>
      <c r="F32" s="113"/>
      <c r="G32" s="108"/>
      <c r="H32" s="108"/>
      <c r="I32" s="108"/>
      <c r="J32" s="108"/>
      <c r="K32" s="108"/>
      <c r="L32" s="108"/>
      <c r="M32" s="108"/>
      <c r="N32" s="108"/>
      <c r="O32" s="108"/>
    </row>
    <row r="33" spans="1:15" s="110" customFormat="1" ht="20.25" x14ac:dyDescent="0.25">
      <c r="A33" s="108"/>
      <c r="B33" s="108"/>
      <c r="C33" s="109"/>
      <c r="D33" s="109"/>
      <c r="E33" s="108"/>
      <c r="F33" s="113"/>
      <c r="G33" s="108"/>
      <c r="H33" s="108"/>
      <c r="I33" s="108"/>
      <c r="J33" s="108"/>
      <c r="K33" s="108"/>
      <c r="L33" s="108"/>
      <c r="M33" s="108"/>
      <c r="N33" s="108"/>
      <c r="O33" s="108"/>
    </row>
    <row r="34" spans="1:15" s="110" customFormat="1" ht="20.25" x14ac:dyDescent="0.25">
      <c r="A34" s="108"/>
      <c r="B34" s="108"/>
      <c r="C34" s="109"/>
      <c r="D34" s="109"/>
      <c r="E34" s="108"/>
      <c r="F34" s="113"/>
      <c r="G34" s="108"/>
      <c r="H34" s="108"/>
      <c r="I34" s="108"/>
      <c r="J34" s="108"/>
      <c r="K34" s="108"/>
      <c r="L34" s="108"/>
      <c r="M34" s="108"/>
      <c r="N34" s="108"/>
      <c r="O34" s="108"/>
    </row>
    <row r="35" spans="1:15" s="110" customFormat="1" ht="20.25" x14ac:dyDescent="0.25">
      <c r="A35" s="108"/>
      <c r="B35" s="108"/>
      <c r="C35" s="109"/>
      <c r="D35" s="109"/>
      <c r="E35" s="108"/>
      <c r="F35" s="113"/>
      <c r="G35" s="108"/>
      <c r="H35" s="108"/>
      <c r="I35" s="108"/>
      <c r="J35" s="108"/>
      <c r="K35" s="108"/>
      <c r="L35" s="108"/>
      <c r="M35" s="108"/>
      <c r="N35" s="108"/>
      <c r="O35" s="108"/>
    </row>
    <row r="36" spans="1:15" s="110" customFormat="1" ht="20.25" x14ac:dyDescent="0.25">
      <c r="A36" s="108"/>
      <c r="B36" s="108"/>
      <c r="C36" s="109"/>
      <c r="D36" s="109"/>
      <c r="E36" s="108"/>
      <c r="F36" s="113"/>
      <c r="G36" s="108"/>
      <c r="H36" s="108"/>
      <c r="I36" s="108"/>
      <c r="J36" s="108"/>
      <c r="K36" s="108"/>
      <c r="L36" s="108"/>
      <c r="M36" s="108"/>
      <c r="N36" s="108"/>
      <c r="O36" s="108"/>
    </row>
    <row r="37" spans="1:15" s="110" customFormat="1" ht="20.25" x14ac:dyDescent="0.25">
      <c r="A37" s="108"/>
      <c r="B37" s="108"/>
      <c r="C37" s="109"/>
      <c r="D37" s="109"/>
      <c r="E37" s="108"/>
      <c r="F37" s="113"/>
      <c r="G37" s="108"/>
      <c r="H37" s="108"/>
      <c r="I37" s="108"/>
      <c r="J37" s="108"/>
      <c r="K37" s="108"/>
      <c r="L37" s="108"/>
      <c r="M37" s="108"/>
      <c r="N37" s="108"/>
      <c r="O37" s="108"/>
    </row>
    <row r="38" spans="1:15" s="110" customFormat="1" ht="20.25" x14ac:dyDescent="0.25">
      <c r="A38" s="108"/>
      <c r="B38" s="108"/>
      <c r="C38" s="109"/>
      <c r="D38" s="109"/>
      <c r="E38" s="108"/>
      <c r="F38" s="113"/>
      <c r="G38" s="108"/>
      <c r="H38" s="108"/>
      <c r="I38" s="108"/>
      <c r="J38" s="108"/>
      <c r="K38" s="108"/>
      <c r="L38" s="108"/>
      <c r="M38" s="108"/>
      <c r="N38" s="108"/>
      <c r="O38" s="108"/>
    </row>
    <row r="39" spans="1:15" s="110" customFormat="1" ht="20.25" x14ac:dyDescent="0.25">
      <c r="A39" s="108"/>
      <c r="B39" s="108"/>
      <c r="C39" s="109"/>
      <c r="D39" s="109"/>
      <c r="E39" s="108"/>
      <c r="F39" s="113"/>
      <c r="G39" s="108"/>
      <c r="H39" s="108"/>
      <c r="I39" s="108"/>
      <c r="J39" s="108"/>
      <c r="K39" s="108"/>
      <c r="L39" s="108"/>
      <c r="M39" s="108"/>
      <c r="N39" s="108"/>
      <c r="O39" s="108"/>
    </row>
    <row r="40" spans="1:15" s="110" customFormat="1" ht="20.25" x14ac:dyDescent="0.25">
      <c r="A40" s="108"/>
      <c r="B40" s="108"/>
      <c r="C40" s="109"/>
      <c r="D40" s="109"/>
      <c r="E40" s="108"/>
      <c r="F40" s="113"/>
      <c r="G40" s="108"/>
      <c r="H40" s="108"/>
      <c r="I40" s="108"/>
      <c r="J40" s="108"/>
      <c r="K40" s="108"/>
      <c r="L40" s="108"/>
      <c r="M40" s="108"/>
      <c r="N40" s="108"/>
      <c r="O40" s="108"/>
    </row>
    <row r="41" spans="1:15" s="110" customFormat="1" ht="20.25" x14ac:dyDescent="0.25">
      <c r="A41" s="108"/>
      <c r="B41" s="108"/>
      <c r="C41" s="109"/>
      <c r="D41" s="109"/>
      <c r="E41" s="108"/>
      <c r="F41" s="113"/>
      <c r="G41" s="108"/>
      <c r="H41" s="108"/>
      <c r="I41" s="108"/>
      <c r="J41" s="108"/>
      <c r="K41" s="108"/>
      <c r="L41" s="108"/>
      <c r="M41" s="108"/>
      <c r="N41" s="108"/>
      <c r="O41" s="108"/>
    </row>
    <row r="42" spans="1:15" s="110" customFormat="1" ht="20.25" x14ac:dyDescent="0.25">
      <c r="A42" s="108"/>
      <c r="B42" s="108"/>
      <c r="C42" s="109"/>
      <c r="D42" s="109"/>
      <c r="E42" s="108"/>
      <c r="F42" s="113"/>
      <c r="G42" s="108"/>
      <c r="H42" s="108"/>
      <c r="I42" s="108"/>
      <c r="J42" s="108"/>
      <c r="K42" s="108"/>
      <c r="L42" s="108"/>
      <c r="M42" s="108"/>
      <c r="N42" s="108"/>
      <c r="O42" s="108"/>
    </row>
    <row r="43" spans="1:15" s="110" customFormat="1" ht="20.25" x14ac:dyDescent="0.25">
      <c r="A43" s="108"/>
      <c r="B43" s="108"/>
      <c r="C43" s="109"/>
      <c r="D43" s="109"/>
      <c r="E43" s="108"/>
      <c r="F43" s="113"/>
      <c r="G43" s="108"/>
      <c r="H43" s="108"/>
      <c r="I43" s="108"/>
      <c r="J43" s="108"/>
      <c r="K43" s="108"/>
      <c r="L43" s="108"/>
      <c r="M43" s="108"/>
      <c r="N43" s="108"/>
      <c r="O43" s="108"/>
    </row>
    <row r="44" spans="1:15" s="110" customFormat="1" ht="20.25" x14ac:dyDescent="0.25">
      <c r="A44" s="108"/>
      <c r="B44" s="108"/>
      <c r="C44" s="109"/>
      <c r="D44" s="109"/>
      <c r="E44" s="108"/>
      <c r="F44" s="113"/>
      <c r="G44" s="108"/>
      <c r="H44" s="108"/>
      <c r="I44" s="108"/>
      <c r="J44" s="108"/>
      <c r="K44" s="108"/>
      <c r="L44" s="108"/>
      <c r="M44" s="108"/>
      <c r="N44" s="108"/>
      <c r="O44" s="108"/>
    </row>
    <row r="45" spans="1:15" s="110" customFormat="1" ht="20.25" x14ac:dyDescent="0.25">
      <c r="A45" s="108"/>
      <c r="B45" s="108"/>
      <c r="C45" s="109"/>
      <c r="D45" s="109"/>
      <c r="E45" s="108"/>
      <c r="F45" s="113"/>
      <c r="G45" s="108"/>
      <c r="H45" s="108"/>
      <c r="I45" s="108"/>
      <c r="J45" s="108"/>
      <c r="K45" s="108"/>
      <c r="L45" s="108"/>
      <c r="M45" s="108"/>
      <c r="N45" s="108"/>
      <c r="O45" s="108"/>
    </row>
    <row r="46" spans="1:15" s="110" customFormat="1" ht="20.25" x14ac:dyDescent="0.25">
      <c r="A46" s="108"/>
      <c r="B46" s="108"/>
      <c r="C46" s="109"/>
      <c r="D46" s="109"/>
      <c r="E46" s="108"/>
      <c r="F46" s="113"/>
      <c r="G46" s="108"/>
      <c r="H46" s="108"/>
      <c r="I46" s="108"/>
      <c r="J46" s="108"/>
      <c r="K46" s="108"/>
      <c r="L46" s="108"/>
      <c r="M46" s="108"/>
      <c r="N46" s="108"/>
      <c r="O46" s="108"/>
    </row>
    <row r="47" spans="1:15" ht="20.25" x14ac:dyDescent="0.25">
      <c r="A47" s="86"/>
      <c r="B47" s="86"/>
      <c r="C47" s="87"/>
      <c r="D47" s="87"/>
      <c r="E47" s="66"/>
      <c r="F47" s="112"/>
      <c r="G47" s="66"/>
      <c r="H47" s="66"/>
      <c r="I47" s="66"/>
      <c r="J47" s="66"/>
      <c r="K47" s="66"/>
      <c r="L47" s="66"/>
      <c r="M47" s="66"/>
      <c r="N47" s="66"/>
      <c r="O47" s="66"/>
    </row>
    <row r="48" spans="1:15" ht="20.25" x14ac:dyDescent="0.25">
      <c r="A48" s="86"/>
      <c r="B48" s="86"/>
      <c r="C48" s="87"/>
      <c r="D48" s="87"/>
      <c r="E48" s="66"/>
      <c r="F48" s="112"/>
      <c r="G48" s="66"/>
      <c r="H48" s="66"/>
      <c r="I48" s="66"/>
      <c r="J48" s="66"/>
      <c r="K48" s="66"/>
      <c r="L48" s="66"/>
      <c r="M48" s="66"/>
      <c r="N48" s="66"/>
      <c r="O48" s="66"/>
    </row>
    <row r="49" spans="1:15" ht="20.25" x14ac:dyDescent="0.25">
      <c r="A49" s="86"/>
      <c r="B49" s="86"/>
      <c r="C49" s="87"/>
      <c r="D49" s="87"/>
      <c r="E49" s="66"/>
      <c r="F49" s="112"/>
      <c r="G49" s="66"/>
      <c r="H49" s="66"/>
      <c r="I49" s="66"/>
      <c r="J49" s="66"/>
      <c r="K49" s="66"/>
      <c r="L49" s="66"/>
      <c r="M49" s="66"/>
      <c r="N49" s="66"/>
      <c r="O49" s="66"/>
    </row>
    <row r="50" spans="1:15" ht="20.25" x14ac:dyDescent="0.25">
      <c r="A50" s="86"/>
      <c r="B50" s="86"/>
      <c r="C50" s="87"/>
      <c r="D50" s="87"/>
      <c r="E50" s="66"/>
      <c r="F50" s="112"/>
      <c r="G50" s="66"/>
      <c r="H50" s="66"/>
      <c r="I50" s="66"/>
      <c r="J50" s="66"/>
      <c r="K50" s="66"/>
      <c r="L50" s="66"/>
      <c r="M50" s="66"/>
      <c r="N50" s="66"/>
      <c r="O50" s="66"/>
    </row>
    <row r="51" spans="1:15" ht="20.25" x14ac:dyDescent="0.25">
      <c r="A51" s="86"/>
      <c r="B51" s="86"/>
      <c r="C51" s="87"/>
      <c r="D51" s="87"/>
      <c r="E51" s="66"/>
      <c r="F51" s="112"/>
      <c r="G51" s="66"/>
      <c r="H51" s="66"/>
      <c r="I51" s="66"/>
      <c r="J51" s="66"/>
      <c r="K51" s="66"/>
      <c r="L51" s="66"/>
      <c r="M51" s="66"/>
      <c r="N51" s="66"/>
      <c r="O51" s="66"/>
    </row>
    <row r="52" spans="1:15" ht="20.25" x14ac:dyDescent="0.25">
      <c r="A52" s="86"/>
      <c r="B52" s="86"/>
      <c r="C52" s="87"/>
      <c r="D52" s="87"/>
      <c r="E52" s="66"/>
      <c r="F52" s="112"/>
      <c r="G52" s="66"/>
      <c r="H52" s="66"/>
      <c r="I52" s="66"/>
      <c r="J52" s="66"/>
      <c r="K52" s="66"/>
      <c r="L52" s="66"/>
      <c r="M52" s="66"/>
      <c r="N52" s="66"/>
      <c r="O52" s="66"/>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6" ht="20.25" x14ac:dyDescent="0.25">
      <c r="A193" s="86"/>
      <c r="B193" s="15"/>
      <c r="C193" s="20"/>
      <c r="D193" s="20"/>
    </row>
    <row r="194" spans="1:6" ht="20.25" x14ac:dyDescent="0.25">
      <c r="A194" s="86"/>
      <c r="B194" s="15"/>
      <c r="C194" s="20"/>
      <c r="D194" s="20"/>
    </row>
    <row r="195" spans="1:6" ht="20.25" x14ac:dyDescent="0.25">
      <c r="A195" s="86"/>
      <c r="B195" s="15"/>
      <c r="C195" s="20"/>
      <c r="D195" s="20"/>
    </row>
    <row r="196" spans="1:6" ht="20.25" x14ac:dyDescent="0.25">
      <c r="A196" s="86"/>
      <c r="B196" s="15"/>
      <c r="C196" s="20"/>
      <c r="D196" s="20"/>
    </row>
    <row r="197" spans="1:6" ht="20.25" x14ac:dyDescent="0.25">
      <c r="A197" s="86"/>
      <c r="B197" s="15"/>
      <c r="C197" s="20"/>
      <c r="D197" s="20"/>
    </row>
    <row r="198" spans="1:6" ht="20.25" x14ac:dyDescent="0.25">
      <c r="A198" s="86"/>
      <c r="B198" s="15"/>
      <c r="C198" s="20"/>
      <c r="D198" s="20"/>
    </row>
    <row r="199" spans="1:6" ht="20.25" x14ac:dyDescent="0.25">
      <c r="A199" s="86"/>
      <c r="B199" s="15"/>
      <c r="C199" s="20"/>
      <c r="D199" s="20"/>
    </row>
    <row r="200" spans="1:6" ht="20.25" x14ac:dyDescent="0.25">
      <c r="A200" s="86"/>
      <c r="B200" s="15"/>
      <c r="C200" s="20"/>
      <c r="D200" s="20"/>
    </row>
    <row r="201" spans="1:6" ht="20.25" x14ac:dyDescent="0.25">
      <c r="A201" s="86"/>
      <c r="B201" s="15"/>
      <c r="C201" s="20"/>
      <c r="D201" s="20"/>
    </row>
    <row r="202" spans="1:6" ht="20.25" x14ac:dyDescent="0.25">
      <c r="A202" s="86"/>
      <c r="B202" s="15"/>
      <c r="C202" s="20"/>
      <c r="D202" s="20"/>
    </row>
    <row r="203" spans="1:6" ht="20.25" x14ac:dyDescent="0.25">
      <c r="A203" s="86"/>
      <c r="B203" s="15"/>
      <c r="C203" s="20"/>
      <c r="D203" s="20"/>
    </row>
    <row r="204" spans="1:6" ht="20.25" x14ac:dyDescent="0.25">
      <c r="A204" s="86"/>
      <c r="B204" s="15"/>
      <c r="C204" s="20"/>
      <c r="D204" s="20"/>
    </row>
    <row r="205" spans="1:6" ht="20.25" x14ac:dyDescent="0.25">
      <c r="A205" s="86"/>
      <c r="B205" s="15"/>
      <c r="C205" s="20"/>
      <c r="D205" s="20"/>
    </row>
    <row r="206" spans="1:6" ht="20.25" x14ac:dyDescent="0.25">
      <c r="A206" s="86"/>
      <c r="B206" s="15"/>
      <c r="C206" s="20"/>
      <c r="D206" s="20"/>
    </row>
    <row r="207" spans="1:6" ht="20.25" x14ac:dyDescent="0.25">
      <c r="A207" s="86"/>
      <c r="B207" s="15"/>
      <c r="C207" s="20"/>
      <c r="D207" s="20"/>
    </row>
    <row r="208" spans="1:6" ht="20.25" x14ac:dyDescent="0.25">
      <c r="A208" s="86"/>
      <c r="B208" s="15"/>
      <c r="C208" s="20"/>
      <c r="D208" s="20"/>
      <c r="F208" s="114" t="s">
        <v>182</v>
      </c>
    </row>
    <row r="209" spans="1:8" x14ac:dyDescent="0.25">
      <c r="A209" s="66"/>
      <c r="B209" s="15"/>
      <c r="C209" s="15"/>
      <c r="D209" s="15"/>
      <c r="F209" s="114" t="s">
        <v>218</v>
      </c>
    </row>
    <row r="210" spans="1:8" ht="20.25" x14ac:dyDescent="0.25">
      <c r="A210" s="66"/>
      <c r="B210" s="16" t="s">
        <v>237</v>
      </c>
      <c r="C210" s="16" t="s">
        <v>238</v>
      </c>
      <c r="D210" s="19" t="s">
        <v>237</v>
      </c>
      <c r="E210" s="19" t="s">
        <v>238</v>
      </c>
      <c r="F210" s="114" t="s">
        <v>239</v>
      </c>
    </row>
    <row r="211" spans="1:8" ht="21" x14ac:dyDescent="0.35">
      <c r="A211" s="66"/>
      <c r="B211" s="17" t="s">
        <v>240</v>
      </c>
      <c r="C211" s="117" t="s">
        <v>241</v>
      </c>
      <c r="D211" s="116" t="s">
        <v>240</v>
      </c>
      <c r="F211" s="114" t="str">
        <f>IF(NOT(ISBLANK(D211)),D211,IF(NOT(ISBLANK(E211)),"     "&amp;E211,FALSE))</f>
        <v>Afectación Económica o presupuestal</v>
      </c>
      <c r="G211" t="s">
        <v>240</v>
      </c>
      <c r="H211" t="str">
        <f>IF(NOT(ISERROR(MATCH(G211,_xlfn.ANCHORARRAY(B222),0))),F224&amp;"Por favor no seleccionar los criterios de impacto",G211)</f>
        <v>❌Por favor no seleccionar los criterios de impacto</v>
      </c>
    </row>
    <row r="212" spans="1:8" ht="21" x14ac:dyDescent="0.35">
      <c r="A212" s="66"/>
      <c r="B212" s="17" t="s">
        <v>240</v>
      </c>
      <c r="C212" s="117" t="s">
        <v>213</v>
      </c>
      <c r="E212" t="s">
        <v>241</v>
      </c>
      <c r="F212" s="114" t="str">
        <f t="shared" ref="F212:F222" si="0">IF(NOT(ISBLANK(D212)),D212,IF(NOT(ISBLANK(E212)),"     "&amp;E212,FALSE))</f>
        <v xml:space="preserve">     Afectación menor a 130 SMLMV .</v>
      </c>
    </row>
    <row r="213" spans="1:8" ht="21" x14ac:dyDescent="0.35">
      <c r="A213" s="66"/>
      <c r="B213" s="17" t="s">
        <v>240</v>
      </c>
      <c r="C213" s="117" t="s">
        <v>216</v>
      </c>
      <c r="E213" t="s">
        <v>213</v>
      </c>
      <c r="F213" s="114" t="str">
        <f t="shared" si="0"/>
        <v xml:space="preserve">     Entre 130 y 650 SMLMV </v>
      </c>
    </row>
    <row r="214" spans="1:8" ht="21" x14ac:dyDescent="0.35">
      <c r="A214" s="66"/>
      <c r="B214" s="17" t="s">
        <v>240</v>
      </c>
      <c r="C214" s="117" t="s">
        <v>220</v>
      </c>
      <c r="E214" t="s">
        <v>216</v>
      </c>
      <c r="F214" s="114" t="str">
        <f t="shared" si="0"/>
        <v xml:space="preserve">     Entre 650 y 1300 SMLMV </v>
      </c>
    </row>
    <row r="215" spans="1:8" ht="21" x14ac:dyDescent="0.35">
      <c r="A215" s="66"/>
      <c r="B215" s="17" t="s">
        <v>240</v>
      </c>
      <c r="C215" s="117" t="s">
        <v>224</v>
      </c>
      <c r="E215" t="s">
        <v>220</v>
      </c>
      <c r="F215" s="114" t="str">
        <f t="shared" si="0"/>
        <v xml:space="preserve">     Entre 1300 y 6500 SMLMV </v>
      </c>
    </row>
    <row r="216" spans="1:8" ht="21" x14ac:dyDescent="0.35">
      <c r="A216" s="66"/>
      <c r="B216" s="17" t="s">
        <v>206</v>
      </c>
      <c r="C216" s="117" t="s">
        <v>210</v>
      </c>
      <c r="E216" t="s">
        <v>224</v>
      </c>
      <c r="F216" s="114" t="str">
        <f t="shared" si="0"/>
        <v xml:space="preserve">     Mayor a 6500 SMLMV </v>
      </c>
    </row>
    <row r="217" spans="1:8" ht="63" x14ac:dyDescent="0.35">
      <c r="A217" s="66"/>
      <c r="B217" s="17" t="s">
        <v>206</v>
      </c>
      <c r="C217" s="117" t="s">
        <v>214</v>
      </c>
      <c r="D217" s="116" t="s">
        <v>206</v>
      </c>
      <c r="F217" s="114" t="str">
        <f t="shared" si="0"/>
        <v>Pérdida Reputacional</v>
      </c>
    </row>
    <row r="218" spans="1:8" ht="42" x14ac:dyDescent="0.35">
      <c r="A218" s="66"/>
      <c r="B218" s="17" t="s">
        <v>206</v>
      </c>
      <c r="C218" s="117" t="s">
        <v>217</v>
      </c>
      <c r="D218" s="116"/>
      <c r="E218" s="118" t="s">
        <v>210</v>
      </c>
      <c r="F218" s="114" t="str">
        <f t="shared" si="0"/>
        <v xml:space="preserve">     El riesgo afecta la imagen de alguna área de la organización</v>
      </c>
    </row>
    <row r="219" spans="1:8" ht="63" x14ac:dyDescent="0.35">
      <c r="A219" s="66"/>
      <c r="B219" s="17" t="s">
        <v>206</v>
      </c>
      <c r="C219" s="117" t="s">
        <v>242</v>
      </c>
      <c r="D219" s="116"/>
      <c r="E219" s="118" t="s">
        <v>214</v>
      </c>
      <c r="F219" s="114" t="str">
        <f t="shared" si="0"/>
        <v xml:space="preserve">     El riesgo afecta la imagen de la entidad internamente, de conocimiento general, nivel interno, de junta dircetiva y accionistas y/o de provedores</v>
      </c>
    </row>
    <row r="220" spans="1:8" ht="45" x14ac:dyDescent="0.35">
      <c r="A220" s="66"/>
      <c r="B220" s="17" t="s">
        <v>206</v>
      </c>
      <c r="C220" s="117" t="s">
        <v>225</v>
      </c>
      <c r="D220" s="116"/>
      <c r="E220" s="118" t="s">
        <v>217</v>
      </c>
      <c r="F220" s="114" t="str">
        <f t="shared" si="0"/>
        <v xml:space="preserve">     El riesgo afecta la imagen de la entidad con algunos usuarios de relevancia frente al logro de los objetivos</v>
      </c>
    </row>
    <row r="221" spans="1:8" ht="45" x14ac:dyDescent="0.25">
      <c r="A221" s="66"/>
      <c r="B221" s="18"/>
      <c r="C221" s="18"/>
      <c r="D221" s="116"/>
      <c r="E221" s="118" t="s">
        <v>242</v>
      </c>
      <c r="F221" s="114" t="str">
        <f t="shared" si="0"/>
        <v xml:space="preserve">     El riesgo afecta la imagen de de la entidad con efecto publicitario sostenido a nivel de sector administrativo, nivel departamental o municipal</v>
      </c>
    </row>
    <row r="222" spans="1:8" ht="58.5" customHeight="1" x14ac:dyDescent="0.25">
      <c r="A222" s="66"/>
      <c r="B222" s="18" t="str" cm="1">
        <f t="array" ref="B222:B224">_xlfn.UNIQUE(Tabla1[[#All],[Criterios]])</f>
        <v>Criterios</v>
      </c>
      <c r="C222" s="18"/>
      <c r="D222" s="116"/>
      <c r="E222" s="118" t="s">
        <v>225</v>
      </c>
      <c r="F222" s="114" t="str">
        <f t="shared" si="0"/>
        <v xml:space="preserve">     El riesgo afecta la imagen de la entidad a nivel nacional, con efecto publicitarios sostenible a nivel país</v>
      </c>
    </row>
    <row r="223" spans="1:8" x14ac:dyDescent="0.25">
      <c r="A223" s="66"/>
      <c r="B223" s="18" t="str">
        <v>Afectación Económica o presupuestal</v>
      </c>
      <c r="C223" s="18"/>
    </row>
    <row r="224" spans="1:8" x14ac:dyDescent="0.25">
      <c r="B224" s="18" t="str">
        <v>Pérdida Reputacional</v>
      </c>
      <c r="C224" s="18"/>
      <c r="F224" s="115" t="s">
        <v>243</v>
      </c>
    </row>
    <row r="225" spans="2:6" x14ac:dyDescent="0.25">
      <c r="B225" s="14"/>
      <c r="C225" s="14"/>
      <c r="F225" s="115" t="s">
        <v>244</v>
      </c>
    </row>
    <row r="226" spans="2:6" x14ac:dyDescent="0.25">
      <c r="B226" s="14"/>
      <c r="C226" s="14"/>
    </row>
    <row r="227" spans="2:6" x14ac:dyDescent="0.25">
      <c r="B227" s="14"/>
      <c r="C227" s="14"/>
    </row>
    <row r="228" spans="2:6" x14ac:dyDescent="0.25">
      <c r="B228" s="14"/>
      <c r="C228" s="14"/>
      <c r="D228" s="14"/>
    </row>
    <row r="229" spans="2:6" x14ac:dyDescent="0.25">
      <c r="B229" s="14"/>
      <c r="C229" s="14"/>
      <c r="D229" s="14"/>
    </row>
    <row r="230" spans="2:6" x14ac:dyDescent="0.25">
      <c r="B230" s="14"/>
      <c r="C230" s="14"/>
      <c r="D230" s="14"/>
    </row>
    <row r="231" spans="2:6" x14ac:dyDescent="0.25">
      <c r="B231" s="14"/>
      <c r="C231" s="14"/>
      <c r="D231" s="14"/>
    </row>
    <row r="232" spans="2:6" x14ac:dyDescent="0.25">
      <c r="B232" s="14"/>
      <c r="C232" s="14"/>
      <c r="D232" s="14"/>
    </row>
    <row r="233" spans="2:6" x14ac:dyDescent="0.25">
      <c r="B233" s="14"/>
      <c r="C233" s="14"/>
      <c r="D233" s="14"/>
    </row>
  </sheetData>
  <mergeCells count="1">
    <mergeCell ref="B2:E2"/>
  </mergeCells>
  <dataValidations disablePrompts="1" count="1">
    <dataValidation type="list" allowBlank="1" showInputMessage="1" showErrorMessage="1" sqref="G211">
      <formula1>$F$211:$F$222</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6"/>
  <sheetViews>
    <sheetView zoomScaleNormal="100" zoomScaleSheetLayoutView="90" workbookViewId="0">
      <selection activeCell="E5" sqref="E5:F23"/>
    </sheetView>
  </sheetViews>
  <sheetFormatPr baseColWidth="10" defaultColWidth="11.42578125" defaultRowHeight="14.25" x14ac:dyDescent="0.25"/>
  <cols>
    <col min="1" max="1" width="2.140625" style="148" customWidth="1"/>
    <col min="2" max="2" width="11.42578125" style="148"/>
    <col min="3" max="3" width="34.28515625" style="148" customWidth="1"/>
    <col min="4" max="4" width="36.42578125" style="148" customWidth="1"/>
    <col min="5" max="6" width="13.85546875" style="148" customWidth="1"/>
    <col min="7" max="7" width="1.28515625" style="148" customWidth="1"/>
    <col min="8" max="16384" width="11.42578125" style="148"/>
  </cols>
  <sheetData>
    <row r="1" spans="2:6" ht="11.25" customHeight="1" thickBot="1" x14ac:dyDescent="0.3"/>
    <row r="2" spans="2:6" ht="18.75" customHeight="1" thickBot="1" x14ac:dyDescent="0.3">
      <c r="B2" s="573" t="s">
        <v>245</v>
      </c>
      <c r="C2" s="574"/>
      <c r="D2" s="574"/>
      <c r="E2" s="574"/>
      <c r="F2" s="575"/>
    </row>
    <row r="3" spans="2:6" ht="31.9" customHeight="1" x14ac:dyDescent="0.25">
      <c r="B3" s="576" t="s">
        <v>246</v>
      </c>
      <c r="C3" s="578" t="s">
        <v>247</v>
      </c>
      <c r="D3" s="578"/>
      <c r="E3" s="578" t="s">
        <v>248</v>
      </c>
      <c r="F3" s="580"/>
    </row>
    <row r="4" spans="2:6" ht="28.15" customHeight="1" thickBot="1" x14ac:dyDescent="0.3">
      <c r="B4" s="577"/>
      <c r="C4" s="579"/>
      <c r="D4" s="579"/>
      <c r="E4" s="156" t="s">
        <v>249</v>
      </c>
      <c r="F4" s="157" t="s">
        <v>250</v>
      </c>
    </row>
    <row r="5" spans="2:6" ht="23.25" customHeight="1" x14ac:dyDescent="0.25">
      <c r="B5" s="149">
        <v>1</v>
      </c>
      <c r="C5" s="581" t="s">
        <v>251</v>
      </c>
      <c r="D5" s="581"/>
      <c r="E5" s="238" t="s">
        <v>400</v>
      </c>
      <c r="F5" s="239"/>
    </row>
    <row r="6" spans="2:6" ht="33" customHeight="1" x14ac:dyDescent="0.25">
      <c r="B6" s="150">
        <v>2</v>
      </c>
      <c r="C6" s="570" t="s">
        <v>252</v>
      </c>
      <c r="D6" s="570"/>
      <c r="E6" s="240" t="s">
        <v>400</v>
      </c>
      <c r="F6" s="241"/>
    </row>
    <row r="7" spans="2:6" ht="39" customHeight="1" x14ac:dyDescent="0.25">
      <c r="B7" s="150">
        <v>3</v>
      </c>
      <c r="C7" s="570" t="s">
        <v>253</v>
      </c>
      <c r="D7" s="570"/>
      <c r="E7" s="240"/>
      <c r="F7" s="241" t="s">
        <v>400</v>
      </c>
    </row>
    <row r="8" spans="2:6" ht="24.75" customHeight="1" x14ac:dyDescent="0.25">
      <c r="B8" s="150">
        <v>4</v>
      </c>
      <c r="C8" s="570" t="s">
        <v>254</v>
      </c>
      <c r="D8" s="570"/>
      <c r="E8" s="240"/>
      <c r="F8" s="241" t="s">
        <v>400</v>
      </c>
    </row>
    <row r="9" spans="2:6" ht="23.25" customHeight="1" x14ac:dyDescent="0.25">
      <c r="B9" s="150">
        <v>5</v>
      </c>
      <c r="C9" s="570" t="s">
        <v>255</v>
      </c>
      <c r="D9" s="570"/>
      <c r="E9" s="240" t="s">
        <v>400</v>
      </c>
      <c r="F9" s="241"/>
    </row>
    <row r="10" spans="2:6" ht="23.25" customHeight="1" x14ac:dyDescent="0.25">
      <c r="B10" s="150">
        <v>6</v>
      </c>
      <c r="C10" s="570" t="s">
        <v>256</v>
      </c>
      <c r="D10" s="570"/>
      <c r="E10" s="240"/>
      <c r="F10" s="241" t="s">
        <v>400</v>
      </c>
    </row>
    <row r="11" spans="2:6" ht="23.25" customHeight="1" x14ac:dyDescent="0.25">
      <c r="B11" s="150">
        <v>7</v>
      </c>
      <c r="C11" s="570" t="s">
        <v>257</v>
      </c>
      <c r="D11" s="570"/>
      <c r="E11" s="240"/>
      <c r="F11" s="241" t="s">
        <v>400</v>
      </c>
    </row>
    <row r="12" spans="2:6" ht="25.5" customHeight="1" x14ac:dyDescent="0.25">
      <c r="B12" s="150">
        <v>8</v>
      </c>
      <c r="C12" s="570" t="s">
        <v>258</v>
      </c>
      <c r="D12" s="570"/>
      <c r="E12" s="240"/>
      <c r="F12" s="241" t="s">
        <v>400</v>
      </c>
    </row>
    <row r="13" spans="2:6" ht="23.25" customHeight="1" x14ac:dyDescent="0.25">
      <c r="B13" s="150">
        <v>9</v>
      </c>
      <c r="C13" s="570" t="s">
        <v>259</v>
      </c>
      <c r="D13" s="570"/>
      <c r="E13" s="240"/>
      <c r="F13" s="241" t="s">
        <v>400</v>
      </c>
    </row>
    <row r="14" spans="2:6" ht="23.25" customHeight="1" x14ac:dyDescent="0.25">
      <c r="B14" s="150">
        <v>10</v>
      </c>
      <c r="C14" s="570" t="s">
        <v>260</v>
      </c>
      <c r="D14" s="570"/>
      <c r="E14" s="240" t="s">
        <v>400</v>
      </c>
      <c r="F14" s="241"/>
    </row>
    <row r="15" spans="2:6" ht="23.25" customHeight="1" x14ac:dyDescent="0.25">
      <c r="B15" s="150">
        <v>11</v>
      </c>
      <c r="C15" s="570" t="s">
        <v>261</v>
      </c>
      <c r="D15" s="570"/>
      <c r="E15" s="240"/>
      <c r="F15" s="241" t="s">
        <v>400</v>
      </c>
    </row>
    <row r="16" spans="2:6" ht="23.25" customHeight="1" x14ac:dyDescent="0.25">
      <c r="B16" s="150">
        <v>12</v>
      </c>
      <c r="C16" s="570" t="s">
        <v>262</v>
      </c>
      <c r="D16" s="570"/>
      <c r="E16" s="240" t="s">
        <v>400</v>
      </c>
      <c r="F16" s="241"/>
    </row>
    <row r="17" spans="2:6" ht="23.25" customHeight="1" x14ac:dyDescent="0.25">
      <c r="B17" s="150">
        <v>13</v>
      </c>
      <c r="C17" s="570" t="s">
        <v>263</v>
      </c>
      <c r="D17" s="570"/>
      <c r="E17" s="240"/>
      <c r="F17" s="241" t="s">
        <v>400</v>
      </c>
    </row>
    <row r="18" spans="2:6" ht="23.25" customHeight="1" x14ac:dyDescent="0.25">
      <c r="B18" s="150">
        <v>14</v>
      </c>
      <c r="C18" s="570" t="s">
        <v>264</v>
      </c>
      <c r="D18" s="570"/>
      <c r="E18" s="240"/>
      <c r="F18" s="241" t="s">
        <v>400</v>
      </c>
    </row>
    <row r="19" spans="2:6" ht="23.25" customHeight="1" x14ac:dyDescent="0.25">
      <c r="B19" s="150">
        <v>15</v>
      </c>
      <c r="C19" s="570" t="s">
        <v>265</v>
      </c>
      <c r="D19" s="570"/>
      <c r="E19" s="240"/>
      <c r="F19" s="241" t="s">
        <v>400</v>
      </c>
    </row>
    <row r="20" spans="2:6" ht="23.25" customHeight="1" x14ac:dyDescent="0.25">
      <c r="B20" s="150">
        <v>16</v>
      </c>
      <c r="C20" s="570" t="s">
        <v>266</v>
      </c>
      <c r="D20" s="570"/>
      <c r="E20" s="240"/>
      <c r="F20" s="241" t="s">
        <v>400</v>
      </c>
    </row>
    <row r="21" spans="2:6" ht="23.25" customHeight="1" x14ac:dyDescent="0.25">
      <c r="B21" s="150">
        <v>17</v>
      </c>
      <c r="C21" s="570" t="s">
        <v>267</v>
      </c>
      <c r="D21" s="570"/>
      <c r="E21" s="240"/>
      <c r="F21" s="241" t="s">
        <v>400</v>
      </c>
    </row>
    <row r="22" spans="2:6" ht="23.25" customHeight="1" x14ac:dyDescent="0.25">
      <c r="B22" s="150">
        <v>18</v>
      </c>
      <c r="C22" s="571" t="s">
        <v>268</v>
      </c>
      <c r="D22" s="571"/>
      <c r="E22" s="240"/>
      <c r="F22" s="241" t="s">
        <v>400</v>
      </c>
    </row>
    <row r="23" spans="2:6" ht="23.25" customHeight="1" thickBot="1" x14ac:dyDescent="0.3">
      <c r="B23" s="150">
        <v>19</v>
      </c>
      <c r="C23" s="570" t="s">
        <v>269</v>
      </c>
      <c r="D23" s="570"/>
      <c r="E23" s="240"/>
      <c r="F23" s="241" t="s">
        <v>400</v>
      </c>
    </row>
    <row r="24" spans="2:6" ht="15.75" customHeight="1" thickBot="1" x14ac:dyDescent="0.3">
      <c r="B24" s="572" t="s">
        <v>270</v>
      </c>
      <c r="C24" s="566"/>
      <c r="D24" s="566"/>
      <c r="E24" s="566">
        <f>COUNTIF(E5:E23,"X")</f>
        <v>5</v>
      </c>
      <c r="F24" s="567"/>
    </row>
    <row r="25" spans="2:6" ht="45.75" customHeight="1" x14ac:dyDescent="0.25">
      <c r="B25" s="568" t="s">
        <v>271</v>
      </c>
      <c r="C25" s="568"/>
      <c r="D25" s="568"/>
      <c r="E25" s="568"/>
      <c r="F25" s="568"/>
    </row>
    <row r="26" spans="2:6" ht="9.75" customHeight="1" x14ac:dyDescent="0.25">
      <c r="B26" s="569"/>
      <c r="C26" s="569"/>
      <c r="D26" s="569"/>
      <c r="E26" s="569"/>
      <c r="F26" s="569"/>
    </row>
  </sheetData>
  <mergeCells count="27">
    <mergeCell ref="C6:D6"/>
    <mergeCell ref="B2:F2"/>
    <mergeCell ref="B3:B4"/>
    <mergeCell ref="C3:D4"/>
    <mergeCell ref="E3:F3"/>
    <mergeCell ref="C5:D5"/>
    <mergeCell ref="C18:D18"/>
    <mergeCell ref="C7:D7"/>
    <mergeCell ref="C8:D8"/>
    <mergeCell ref="C9:D9"/>
    <mergeCell ref="C10:D10"/>
    <mergeCell ref="C11:D11"/>
    <mergeCell ref="C12:D12"/>
    <mergeCell ref="C13:D13"/>
    <mergeCell ref="C14:D14"/>
    <mergeCell ref="C15:D15"/>
    <mergeCell ref="C16:D16"/>
    <mergeCell ref="C17:D17"/>
    <mergeCell ref="E24:F24"/>
    <mergeCell ref="B25:F25"/>
    <mergeCell ref="B26:F26"/>
    <mergeCell ref="C19:D19"/>
    <mergeCell ref="C20:D20"/>
    <mergeCell ref="C21:D21"/>
    <mergeCell ref="C22:D22"/>
    <mergeCell ref="C23:D23"/>
    <mergeCell ref="B24:D24"/>
  </mergeCells>
  <dataValidations count="1">
    <dataValidation type="list" allowBlank="1" showInputMessage="1" showErrorMessage="1" sqref="E5:F23">
      <formula1>"X"</formula1>
    </dataValidation>
  </dataValidations>
  <printOptions horizontalCentered="1"/>
  <pageMargins left="0.25" right="0.25" top="0.75" bottom="0.75" header="0.3" footer="0.3"/>
  <pageSetup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5" ma:contentTypeDescription="Crear nuevo documento." ma:contentTypeScope="" ma:versionID="abfb7f4f6d6478737e93fceff54815ed">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ff47aad7b16f88a2d0e29f209740aa2e"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0eaac67-e064-433b-ba54-6f78c0f1ecb1">
      <UserInfo>
        <DisplayName>Stefany Ospino Cuellar</DisplayName>
        <AccountId>1659</AccountId>
        <AccountType/>
      </UserInfo>
      <UserInfo>
        <DisplayName>German Andres Hernandez Matiz</DisplayName>
        <AccountId>571</AccountId>
        <AccountType/>
      </UserInfo>
    </SharedWithUsers>
  </documentManagement>
</p:properties>
</file>

<file path=customXml/itemProps1.xml><?xml version="1.0" encoding="utf-8"?>
<ds:datastoreItem xmlns:ds="http://schemas.openxmlformats.org/officeDocument/2006/customXml" ds:itemID="{04F3FA74-FED2-46D4-AC98-CAE5F2F4F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8E702-99CD-4A3A-A328-D1F3ADA68EBC}">
  <ds:schemaRefs>
    <ds:schemaRef ds:uri="http://schemas.microsoft.com/sharepoint/v3/contenttype/forms"/>
  </ds:schemaRefs>
</ds:datastoreItem>
</file>

<file path=customXml/itemProps3.xml><?xml version="1.0" encoding="utf-8"?>
<ds:datastoreItem xmlns:ds="http://schemas.openxmlformats.org/officeDocument/2006/customXml" ds:itemID="{D3D5E4EF-2809-49C9-8DCF-B2E4E5208101}">
  <ds:schemaRefs>
    <ds:schemaRef ds:uri="http://schemas.microsoft.com/office/2006/documentManagement/types"/>
    <ds:schemaRef ds:uri="http://purl.org/dc/dcmitype/"/>
    <ds:schemaRef ds:uri="http://schemas.microsoft.com/office/2006/metadata/properties"/>
    <ds:schemaRef ds:uri="http://purl.org/dc/elements/1.1/"/>
    <ds:schemaRef ds:uri="http://www.w3.org/XML/1998/namespace"/>
    <ds:schemaRef ds:uri="http://purl.org/dc/terms/"/>
    <ds:schemaRef ds:uri="http://schemas.openxmlformats.org/package/2006/metadata/core-properties"/>
    <ds:schemaRef ds:uri="http://schemas.microsoft.com/sharepoint/v3"/>
    <ds:schemaRef ds:uri="http://schemas.microsoft.com/office/infopath/2007/PartnerControls"/>
    <ds:schemaRef ds:uri="70eaac67-e064-433b-ba54-6f78c0f1ecb1"/>
    <ds:schemaRef ds:uri="64d77176-54eb-4753-be67-9b2e2fa23e0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5</vt:i4>
      </vt:variant>
    </vt:vector>
  </HeadingPairs>
  <TitlesOfParts>
    <vt:vector size="20" baseType="lpstr">
      <vt:lpstr>Intructivo</vt:lpstr>
      <vt:lpstr>DOFA </vt:lpstr>
      <vt:lpstr>Revisión DOFA</vt:lpstr>
      <vt:lpstr>Mapa riesgos</vt:lpstr>
      <vt:lpstr>Matriz Calor Inherente</vt:lpstr>
      <vt:lpstr>Matriz Calor Residual</vt:lpstr>
      <vt:lpstr>Tabla probabilidad</vt:lpstr>
      <vt:lpstr>Tabla Impacto</vt:lpstr>
      <vt:lpstr>Impacto Corrupción </vt:lpstr>
      <vt:lpstr>Tipo de riesgos</vt:lpstr>
      <vt:lpstr>Amenazas</vt:lpstr>
      <vt:lpstr>Ejemplos de riesgos</vt:lpstr>
      <vt:lpstr>Tabla Valoración controles</vt:lpstr>
      <vt:lpstr>Opciones Tratamiento</vt:lpstr>
      <vt:lpstr>Hoja1</vt:lpstr>
      <vt:lpstr>'DOFA '!Área_de_impresión</vt:lpstr>
      <vt:lpstr>'Impacto Corrupción '!Área_de_impresión</vt:lpstr>
      <vt:lpstr>'Mapa riesgos'!Área_de_impresión</vt:lpstr>
      <vt:lpstr>'DOFA '!Títulos_a_imprimir</vt:lpstr>
      <vt:lpstr>'Mapa riesgos'!Títulos_a_imprimir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USUAIRO</cp:lastModifiedBy>
  <cp:revision/>
  <dcterms:created xsi:type="dcterms:W3CDTF">2020-03-24T23:12:47Z</dcterms:created>
  <dcterms:modified xsi:type="dcterms:W3CDTF">2022-04-25T14:36:30Z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