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defaultThemeVersion="124226"/>
  <mc:AlternateContent xmlns:mc="http://schemas.openxmlformats.org/markup-compatibility/2006">
    <mc:Choice Requires="x15">
      <x15ac:absPath xmlns:x15ac="http://schemas.microsoft.com/office/spreadsheetml/2010/11/ac" url="https://d.docs.live.net/4592eb41938d7ffb/Documentos/UMV/2025/a Enero/Riesgos 2025/Mapa riesgos institucional/"/>
    </mc:Choice>
  </mc:AlternateContent>
  <xr:revisionPtr revIDLastSave="404" documentId="8_{7C3BC337-5A50-4CA4-B024-18AFE4200591}" xr6:coauthVersionLast="47" xr6:coauthVersionMax="47" xr10:uidLastSave="{09469106-13C4-4B6B-8692-D896E535441D}"/>
  <bookViews>
    <workbookView xWindow="-120" yWindow="-120" windowWidth="20730" windowHeight="11040" tabRatio="933" firstSheet="2" activeTab="6" xr2:uid="{00000000-000D-0000-FFFF-FFFF00000000}"/>
  </bookViews>
  <sheets>
    <sheet name="Revisión DOFA" sheetId="21" state="hidden" r:id="rId1"/>
    <sheet name="Listas" sheetId="16" state="hidden" r:id="rId2"/>
    <sheet name="Riesgos de Gestión" sheetId="1" r:id="rId3"/>
    <sheet name="Matriz Calor Inherente" sheetId="18" state="hidden" r:id="rId4"/>
    <sheet name="Matriz Calor Residual" sheetId="19" state="hidden" r:id="rId5"/>
    <sheet name="Riesgos de Seguridad " sheetId="38" state="hidden" r:id="rId6"/>
    <sheet name="Riesgos de Corrupción" sheetId="40" r:id="rId7"/>
    <sheet name="Riesgos Fiscales" sheetId="41" r:id="rId8"/>
    <sheet name="Riesgos de LA FT " sheetId="42" r:id="rId9"/>
    <sheet name="Tabla Valoración controles" sheetId="39" state="hidden" r:id="rId10"/>
    <sheet name="Impacto LA-FT" sheetId="36" state="hidden" r:id="rId11"/>
    <sheet name="Tabla Impacto" sheetId="13" state="hidden" r:id="rId12"/>
    <sheet name="Tabla probabilidad" sheetId="12" state="hidden" r:id="rId13"/>
    <sheet name="Hoja1" sheetId="11"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Print_Area" localSheetId="6">'Riesgos de Corrupción'!$A$1:$AV$68</definedName>
    <definedName name="_xlnm.Print_Area" localSheetId="2">'Riesgos de Gestión'!$A$1:$AV$71</definedName>
    <definedName name="_xlnm.Print_Area" localSheetId="8">'Riesgos de LA FT '!$A$1:$AV$73</definedName>
    <definedName name="_xlnm.Print_Area" localSheetId="5">'Riesgos de Seguridad '!$A$1:$AZ$76</definedName>
    <definedName name="_xlnm.Print_Area" localSheetId="7">'Riesgos Fiscales'!$A$1:$AU$73</definedName>
    <definedName name="clasificaciónriesgos" localSheetId="9">#REF!</definedName>
    <definedName name="clasificaciónriesgos">#REF!</definedName>
    <definedName name="códigos" localSheetId="9">#REF!</definedName>
    <definedName name="códigos">#REF!</definedName>
    <definedName name="Direccionamiento_Estratégico" localSheetId="9">#REF!</definedName>
    <definedName name="Direccionamiento_Estratégico">#REF!</definedName>
    <definedName name="económicos" localSheetId="9">#REF!</definedName>
    <definedName name="económicos">#REF!</definedName>
    <definedName name="externo" localSheetId="9">#REF!</definedName>
    <definedName name="externo">#REF!</definedName>
    <definedName name="externos2" localSheetId="9">#REF!</definedName>
    <definedName name="externos2">#REF!</definedName>
    <definedName name="factores" localSheetId="9">#REF!</definedName>
    <definedName name="factores">#REF!</definedName>
    <definedName name="impactoco" localSheetId="9">#REF!</definedName>
    <definedName name="impactoco">#REF!</definedName>
    <definedName name="infraestructura" localSheetId="9">#REF!</definedName>
    <definedName name="infraestructura">#REF!</definedName>
    <definedName name="interno" localSheetId="9">#REF!</definedName>
    <definedName name="interno">#REF!</definedName>
    <definedName name="macroprocesos" localSheetId="9">#REF!</definedName>
    <definedName name="macroprocesos">#REF!</definedName>
    <definedName name="medio_ambientales" localSheetId="9">#REF!</definedName>
    <definedName name="medio_ambientales">#REF!</definedName>
    <definedName name="opciondelriesgo">[1]FORMULAS!$K$4:$K$7</definedName>
    <definedName name="personal" localSheetId="5">#REF!</definedName>
    <definedName name="personal" localSheetId="9">#REF!</definedName>
    <definedName name="personal">#REF!</definedName>
    <definedName name="políticos" localSheetId="5">#REF!</definedName>
    <definedName name="políticos" localSheetId="9">#REF!</definedName>
    <definedName name="políticos">#REF!</definedName>
    <definedName name="probabilidad">[1]FORMULAS!$G$4:$G$8</definedName>
    <definedName name="proceso" localSheetId="5">#REF!</definedName>
    <definedName name="proceso" localSheetId="9">#REF!</definedName>
    <definedName name="proceso">#REF!</definedName>
    <definedName name="procesos">[1]FORMULAS!$B$4:$B$21</definedName>
    <definedName name="sociales" localSheetId="5">#REF!</definedName>
    <definedName name="sociales" localSheetId="9">#REF!</definedName>
    <definedName name="sociales">#REF!</definedName>
    <definedName name="tecnología" localSheetId="5">#REF!</definedName>
    <definedName name="tecnología" localSheetId="9">#REF!</definedName>
    <definedName name="tecnología">#REF!</definedName>
    <definedName name="tecnológicos" localSheetId="5">#REF!</definedName>
    <definedName name="tecnológicos" localSheetId="9">#REF!</definedName>
    <definedName name="tecnológicos">#REF!</definedName>
    <definedName name="tipo_de_amenaza">[1]FORMULAS!$E$4:$E$11</definedName>
    <definedName name="tipo_de_riesgos">[1]FORMULAS!$C$4:$C$6</definedName>
    <definedName name="_xlnm.Print_Titles" localSheetId="6">'Riesgos de Corrupción'!$1:$5</definedName>
    <definedName name="_xlnm.Print_Titles" localSheetId="2">'Riesgos de Gestión'!$1:$5</definedName>
    <definedName name="_xlnm.Print_Titles" localSheetId="8">'Riesgos de LA FT '!$1:$5</definedName>
    <definedName name="_xlnm.Print_Titles" localSheetId="5">'Riesgos de Seguridad '!$1:$8</definedName>
    <definedName name="_xlnm.Print_Titles" localSheetId="7">'Riesgos Fiscales'!$1:$5</definedName>
  </definedNames>
  <calcPr calcId="191028"/>
  <pivotCaches>
    <pivotCache cacheId="23" r:id="rId2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87" i="1" l="1"/>
  <c r="AB287" i="1"/>
  <c r="AA287" i="1"/>
  <c r="S287" i="1"/>
  <c r="AE286" i="1"/>
  <c r="AB286" i="1"/>
  <c r="AM287" i="1" s="1"/>
  <c r="AL287" i="1" s="1"/>
  <c r="AA286" i="1"/>
  <c r="S286" i="1"/>
  <c r="AI285" i="1"/>
  <c r="AJ285" i="1" s="1"/>
  <c r="AE285" i="1"/>
  <c r="AB285" i="1"/>
  <c r="AM286" i="1" s="1"/>
  <c r="AL286" i="1" s="1"/>
  <c r="AA285" i="1"/>
  <c r="S285" i="1"/>
  <c r="AM284" i="1"/>
  <c r="AL284" i="1" s="1"/>
  <c r="AE284" i="1"/>
  <c r="AB284" i="1"/>
  <c r="AM285" i="1" s="1"/>
  <c r="AL285" i="1" s="1"/>
  <c r="AA284" i="1"/>
  <c r="S284" i="1"/>
  <c r="AE283" i="1"/>
  <c r="AB283" i="1"/>
  <c r="AI284" i="1" s="1"/>
  <c r="AA283" i="1"/>
  <c r="S283" i="1"/>
  <c r="AE282" i="1"/>
  <c r="AB282" i="1"/>
  <c r="AM283" i="1" s="1"/>
  <c r="AL283" i="1" s="1"/>
  <c r="AA282" i="1"/>
  <c r="S282" i="1"/>
  <c r="T282" i="1" s="1"/>
  <c r="U282" i="1" s="1"/>
  <c r="Q282" i="1"/>
  <c r="P282" i="1"/>
  <c r="G282" i="1"/>
  <c r="S271" i="1" s="1"/>
  <c r="AE281" i="1"/>
  <c r="AB281" i="1"/>
  <c r="AI281" i="1" s="1"/>
  <c r="AA281" i="1"/>
  <c r="S281" i="1"/>
  <c r="AI280" i="1"/>
  <c r="AE280" i="1"/>
  <c r="AB280" i="1"/>
  <c r="AM281" i="1" s="1"/>
  <c r="AL281" i="1" s="1"/>
  <c r="AA280" i="1"/>
  <c r="S280" i="1"/>
  <c r="AE279" i="1"/>
  <c r="AB279" i="1"/>
  <c r="AM280" i="1" s="1"/>
  <c r="AL280" i="1" s="1"/>
  <c r="AA279" i="1"/>
  <c r="S279" i="1"/>
  <c r="AE278" i="1"/>
  <c r="AB278" i="1"/>
  <c r="AI279" i="1" s="1"/>
  <c r="AJ279" i="1" s="1"/>
  <c r="AA278" i="1"/>
  <c r="S278" i="1"/>
  <c r="AE277" i="1"/>
  <c r="AB277" i="1"/>
  <c r="AM278" i="1" s="1"/>
  <c r="AL278" i="1" s="1"/>
  <c r="AA277" i="1"/>
  <c r="S277" i="1"/>
  <c r="AI276" i="1"/>
  <c r="AE276" i="1"/>
  <c r="AB276" i="1"/>
  <c r="AA276" i="1"/>
  <c r="T276" i="1"/>
  <c r="U276" i="1" s="1"/>
  <c r="S276" i="1"/>
  <c r="Q276" i="1"/>
  <c r="P276" i="1"/>
  <c r="V276" i="1" s="1"/>
  <c r="G276" i="1"/>
  <c r="AI275" i="1"/>
  <c r="AE275" i="1"/>
  <c r="AB275" i="1"/>
  <c r="AA275" i="1"/>
  <c r="S275" i="1"/>
  <c r="AE274" i="1"/>
  <c r="AB274" i="1"/>
  <c r="AM275" i="1" s="1"/>
  <c r="AL275" i="1" s="1"/>
  <c r="AA274" i="1"/>
  <c r="S274" i="1"/>
  <c r="AM273" i="1"/>
  <c r="AL273" i="1" s="1"/>
  <c r="AE273" i="1"/>
  <c r="AB273" i="1"/>
  <c r="AI274" i="1" s="1"/>
  <c r="AJ274" i="1" s="1"/>
  <c r="AA273" i="1"/>
  <c r="S273" i="1"/>
  <c r="AE272" i="1"/>
  <c r="AB272" i="1"/>
  <c r="AA272" i="1"/>
  <c r="S272" i="1"/>
  <c r="AI271" i="1"/>
  <c r="AE271" i="1"/>
  <c r="AB271" i="1"/>
  <c r="AA271" i="1"/>
  <c r="AK270" i="1"/>
  <c r="AE270" i="1"/>
  <c r="AB270" i="1"/>
  <c r="AI270" i="1" s="1"/>
  <c r="AJ270" i="1" s="1"/>
  <c r="AA270" i="1"/>
  <c r="T270" i="1"/>
  <c r="S270" i="1"/>
  <c r="P270" i="1"/>
  <c r="Q270" i="1" s="1"/>
  <c r="G270" i="1"/>
  <c r="AE269" i="1"/>
  <c r="AB269" i="1"/>
  <c r="AA269" i="1"/>
  <c r="S269" i="1"/>
  <c r="AE268" i="1"/>
  <c r="AB268" i="1"/>
  <c r="AI269" i="1" s="1"/>
  <c r="AJ269" i="1" s="1"/>
  <c r="AA268" i="1"/>
  <c r="S268" i="1"/>
  <c r="AE267" i="1"/>
  <c r="AB267" i="1"/>
  <c r="AA267" i="1"/>
  <c r="S267" i="1"/>
  <c r="AI266" i="1"/>
  <c r="AE266" i="1"/>
  <c r="AB266" i="1"/>
  <c r="AA266" i="1"/>
  <c r="S266" i="1"/>
  <c r="AK265" i="1"/>
  <c r="AE265" i="1"/>
  <c r="AB265" i="1"/>
  <c r="AM266" i="1" s="1"/>
  <c r="AL266" i="1" s="1"/>
  <c r="AA265" i="1"/>
  <c r="S265" i="1"/>
  <c r="AE264" i="1"/>
  <c r="AB264" i="1"/>
  <c r="AI265" i="1" s="1"/>
  <c r="AJ265" i="1" s="1"/>
  <c r="AA264" i="1"/>
  <c r="S264" i="1"/>
  <c r="T264" i="1" s="1"/>
  <c r="U264" i="1" s="1"/>
  <c r="AM264" i="1" s="1"/>
  <c r="AL264" i="1" s="1"/>
  <c r="P264" i="1"/>
  <c r="Q264" i="1" s="1"/>
  <c r="G264" i="1"/>
  <c r="S253" i="1" s="1"/>
  <c r="AM263" i="1"/>
  <c r="AL263" i="1" s="1"/>
  <c r="AE263" i="1"/>
  <c r="AB263" i="1"/>
  <c r="AA263" i="1"/>
  <c r="S263" i="1"/>
  <c r="AE262" i="1"/>
  <c r="AB262" i="1"/>
  <c r="AA262" i="1"/>
  <c r="S262" i="1"/>
  <c r="AI261" i="1"/>
  <c r="AE261" i="1"/>
  <c r="AB261" i="1"/>
  <c r="AM262" i="1" s="1"/>
  <c r="AL262" i="1" s="1"/>
  <c r="AA261" i="1"/>
  <c r="S261" i="1"/>
  <c r="AE260" i="1"/>
  <c r="AB260" i="1"/>
  <c r="AM261" i="1" s="1"/>
  <c r="AL261" i="1" s="1"/>
  <c r="AA260" i="1"/>
  <c r="S260" i="1"/>
  <c r="AM259" i="1"/>
  <c r="AL259" i="1" s="1"/>
  <c r="AE259" i="1"/>
  <c r="AB259" i="1"/>
  <c r="AI260" i="1" s="1"/>
  <c r="AJ260" i="1" s="1"/>
  <c r="AA259" i="1"/>
  <c r="S259" i="1"/>
  <c r="AE258" i="1"/>
  <c r="AB258" i="1"/>
  <c r="AA258" i="1"/>
  <c r="S258" i="1"/>
  <c r="T258" i="1" s="1"/>
  <c r="U258" i="1" s="1"/>
  <c r="Q258" i="1"/>
  <c r="P258" i="1"/>
  <c r="V258" i="1" s="1"/>
  <c r="G258" i="1"/>
  <c r="S247" i="1" s="1"/>
  <c r="AE257" i="1"/>
  <c r="AB257" i="1"/>
  <c r="AI257" i="1" s="1"/>
  <c r="AA257" i="1"/>
  <c r="S257" i="1"/>
  <c r="AI256" i="1"/>
  <c r="AE256" i="1"/>
  <c r="AB256" i="1"/>
  <c r="AM257" i="1" s="1"/>
  <c r="AL257" i="1" s="1"/>
  <c r="AA256" i="1"/>
  <c r="S256" i="1"/>
  <c r="AE255" i="1"/>
  <c r="AB255" i="1"/>
  <c r="AM256" i="1" s="1"/>
  <c r="AL256" i="1" s="1"/>
  <c r="AA255" i="1"/>
  <c r="S255" i="1"/>
  <c r="AM254" i="1"/>
  <c r="AL254" i="1" s="1"/>
  <c r="AE254" i="1"/>
  <c r="AB254" i="1"/>
  <c r="AI255" i="1" s="1"/>
  <c r="AJ255" i="1" s="1"/>
  <c r="AA254" i="1"/>
  <c r="S254" i="1"/>
  <c r="AE253" i="1"/>
  <c r="AB253" i="1"/>
  <c r="AA253" i="1"/>
  <c r="AI252" i="1"/>
  <c r="AE252" i="1"/>
  <c r="AB252" i="1"/>
  <c r="AA252" i="1"/>
  <c r="T252" i="1"/>
  <c r="U252" i="1" s="1"/>
  <c r="AM252" i="1" s="1"/>
  <c r="AL252" i="1" s="1"/>
  <c r="S252" i="1"/>
  <c r="Q252" i="1"/>
  <c r="P252" i="1"/>
  <c r="V252" i="1" s="1"/>
  <c r="G252" i="1"/>
  <c r="AI251" i="1"/>
  <c r="AE251" i="1"/>
  <c r="AB251" i="1"/>
  <c r="AA251" i="1"/>
  <c r="S251" i="1"/>
  <c r="AK250" i="1"/>
  <c r="AE250" i="1"/>
  <c r="AB250" i="1"/>
  <c r="AM251" i="1" s="1"/>
  <c r="AL251" i="1" s="1"/>
  <c r="AA250" i="1"/>
  <c r="S250" i="1"/>
  <c r="AM249" i="1"/>
  <c r="AL249" i="1" s="1"/>
  <c r="AE249" i="1"/>
  <c r="AB249" i="1"/>
  <c r="AI250" i="1" s="1"/>
  <c r="AJ250" i="1" s="1"/>
  <c r="AA249" i="1"/>
  <c r="S249" i="1"/>
  <c r="AE248" i="1"/>
  <c r="AB248" i="1"/>
  <c r="AA248" i="1"/>
  <c r="S248" i="1"/>
  <c r="AE247" i="1"/>
  <c r="AB247" i="1"/>
  <c r="AM248" i="1" s="1"/>
  <c r="AL248" i="1" s="1"/>
  <c r="AA247" i="1"/>
  <c r="AE246" i="1"/>
  <c r="AB246" i="1"/>
  <c r="AA246" i="1"/>
  <c r="T246" i="1"/>
  <c r="S246" i="1"/>
  <c r="P246" i="1"/>
  <c r="Q246" i="1" s="1"/>
  <c r="G246" i="1"/>
  <c r="AK245" i="1"/>
  <c r="AE245" i="1"/>
  <c r="AB245" i="1"/>
  <c r="AA245" i="1"/>
  <c r="S245" i="1"/>
  <c r="AE244" i="1"/>
  <c r="AB244" i="1"/>
  <c r="AI245" i="1" s="1"/>
  <c r="AJ245" i="1" s="1"/>
  <c r="AA244" i="1"/>
  <c r="S244" i="1"/>
  <c r="AE243" i="1"/>
  <c r="AB243" i="1"/>
  <c r="AM244" i="1" s="1"/>
  <c r="AL244" i="1" s="1"/>
  <c r="AA243" i="1"/>
  <c r="S243" i="1"/>
  <c r="AI242" i="1"/>
  <c r="AE242" i="1"/>
  <c r="AB242" i="1"/>
  <c r="AM243" i="1" s="1"/>
  <c r="AL243" i="1" s="1"/>
  <c r="AA242" i="1"/>
  <c r="S242" i="1"/>
  <c r="AE241" i="1"/>
  <c r="AB241" i="1"/>
  <c r="AM242" i="1" s="1"/>
  <c r="AL242" i="1" s="1"/>
  <c r="AA241" i="1"/>
  <c r="S241" i="1"/>
  <c r="AM240" i="1"/>
  <c r="AL240" i="1" s="1"/>
  <c r="AE240" i="1"/>
  <c r="AB240" i="1"/>
  <c r="AI241" i="1" s="1"/>
  <c r="AJ241" i="1" s="1"/>
  <c r="AA240" i="1"/>
  <c r="V240" i="1"/>
  <c r="S240" i="1"/>
  <c r="T240" i="1" s="1"/>
  <c r="U240" i="1" s="1"/>
  <c r="P240" i="1"/>
  <c r="Q240" i="1" s="1"/>
  <c r="G240" i="1"/>
  <c r="S229" i="1" s="1"/>
  <c r="AM239" i="1"/>
  <c r="AL239" i="1" s="1"/>
  <c r="AE239" i="1"/>
  <c r="AB239" i="1"/>
  <c r="AA239" i="1"/>
  <c r="S239" i="1"/>
  <c r="AE238" i="1"/>
  <c r="AB238" i="1"/>
  <c r="AA238" i="1"/>
  <c r="S238" i="1"/>
  <c r="AI237" i="1"/>
  <c r="AE237" i="1"/>
  <c r="AB237" i="1"/>
  <c r="AA237" i="1"/>
  <c r="S237" i="1"/>
  <c r="AK236" i="1"/>
  <c r="AE236" i="1"/>
  <c r="AB236" i="1"/>
  <c r="AM237" i="1" s="1"/>
  <c r="AL237" i="1" s="1"/>
  <c r="AA236" i="1"/>
  <c r="S236" i="1"/>
  <c r="AE235" i="1"/>
  <c r="AB235" i="1"/>
  <c r="AI236" i="1" s="1"/>
  <c r="AJ236" i="1" s="1"/>
  <c r="AA235" i="1"/>
  <c r="S235" i="1"/>
  <c r="AE234" i="1"/>
  <c r="AB234" i="1"/>
  <c r="AA234" i="1"/>
  <c r="U234" i="1"/>
  <c r="S234" i="1"/>
  <c r="P234" i="1"/>
  <c r="G234" i="1"/>
  <c r="AE233" i="1"/>
  <c r="AB233" i="1"/>
  <c r="AA233" i="1"/>
  <c r="S233" i="1"/>
  <c r="AE232" i="1"/>
  <c r="AB232" i="1"/>
  <c r="AI232" i="1" s="1"/>
  <c r="AK232" i="1" s="1"/>
  <c r="AA232" i="1"/>
  <c r="S232" i="1"/>
  <c r="AJ231" i="1"/>
  <c r="AI231" i="1"/>
  <c r="AK231" i="1" s="1"/>
  <c r="AE231" i="1"/>
  <c r="AB231" i="1"/>
  <c r="AM232" i="1" s="1"/>
  <c r="AL232" i="1" s="1"/>
  <c r="AA231" i="1"/>
  <c r="S231" i="1"/>
  <c r="AL230" i="1"/>
  <c r="AE230" i="1"/>
  <c r="AB230" i="1"/>
  <c r="AM231" i="1" s="1"/>
  <c r="AL231" i="1" s="1"/>
  <c r="AA230" i="1"/>
  <c r="S230" i="1"/>
  <c r="AE229" i="1"/>
  <c r="AB229" i="1"/>
  <c r="AM230" i="1" s="1"/>
  <c r="AA229" i="1"/>
  <c r="AE228" i="1"/>
  <c r="AB228" i="1"/>
  <c r="AA228" i="1"/>
  <c r="S228" i="1"/>
  <c r="T228" i="1" s="1"/>
  <c r="U228" i="1" s="1"/>
  <c r="P228" i="1"/>
  <c r="G228" i="1"/>
  <c r="S217" i="1" s="1"/>
  <c r="AE92" i="40"/>
  <c r="AB92" i="40"/>
  <c r="AA92" i="40"/>
  <c r="S92" i="40"/>
  <c r="AE91" i="40"/>
  <c r="AB91" i="40"/>
  <c r="AA91" i="40"/>
  <c r="S91" i="40"/>
  <c r="AI90" i="40"/>
  <c r="AJ90" i="40" s="1"/>
  <c r="AE90" i="40"/>
  <c r="AB90" i="40"/>
  <c r="AM91" i="40" s="1"/>
  <c r="AL91" i="40" s="1"/>
  <c r="AA90" i="40"/>
  <c r="S90" i="40"/>
  <c r="AE89" i="40"/>
  <c r="AB89" i="40"/>
  <c r="AA89" i="40"/>
  <c r="S89" i="40"/>
  <c r="AE88" i="40"/>
  <c r="AB88" i="40"/>
  <c r="AI89" i="40" s="1"/>
  <c r="AA88" i="40"/>
  <c r="S88" i="40"/>
  <c r="AE87" i="40"/>
  <c r="AB87" i="40"/>
  <c r="AA87" i="40"/>
  <c r="S87" i="40"/>
  <c r="T87" i="40" s="1"/>
  <c r="U87" i="40" s="1"/>
  <c r="O87" i="40"/>
  <c r="P87" i="40" s="1"/>
  <c r="G87" i="40"/>
  <c r="AE81" i="40"/>
  <c r="AA79" i="40"/>
  <c r="AA80" i="40"/>
  <c r="AA81" i="40"/>
  <c r="AA82" i="40"/>
  <c r="AA83" i="40"/>
  <c r="AA84" i="40"/>
  <c r="AA85" i="40"/>
  <c r="AA86" i="40"/>
  <c r="AA93" i="40"/>
  <c r="AA94" i="40"/>
  <c r="AA95" i="40"/>
  <c r="AA96" i="40"/>
  <c r="S86" i="40"/>
  <c r="S85" i="40"/>
  <c r="S84" i="40"/>
  <c r="S83" i="40"/>
  <c r="S82" i="40"/>
  <c r="S81" i="40"/>
  <c r="T81" i="40" s="1"/>
  <c r="U81" i="40" s="1"/>
  <c r="P81" i="40"/>
  <c r="G81" i="40"/>
  <c r="AE80" i="40"/>
  <c r="AB80" i="40"/>
  <c r="S80" i="40"/>
  <c r="AE79" i="40"/>
  <c r="AB79" i="40"/>
  <c r="AM80" i="40" s="1"/>
  <c r="AL80" i="40" s="1"/>
  <c r="S79" i="40"/>
  <c r="AE78" i="40"/>
  <c r="AB78" i="40"/>
  <c r="AA78" i="40"/>
  <c r="S78" i="40"/>
  <c r="AE77" i="40"/>
  <c r="AB77" i="40"/>
  <c r="AM78" i="40" s="1"/>
  <c r="AL78" i="40" s="1"/>
  <c r="AA77" i="40"/>
  <c r="S77" i="40"/>
  <c r="AE76" i="40"/>
  <c r="AB76" i="40"/>
  <c r="AA76" i="40"/>
  <c r="S76" i="40"/>
  <c r="AE75" i="40"/>
  <c r="AB75" i="40"/>
  <c r="AA75" i="40"/>
  <c r="S75" i="40"/>
  <c r="T75" i="40" s="1"/>
  <c r="U75" i="40" s="1"/>
  <c r="P75" i="40"/>
  <c r="G75" i="40"/>
  <c r="AI227" i="1"/>
  <c r="AK227" i="1" s="1"/>
  <c r="AE227" i="1"/>
  <c r="AB227" i="1"/>
  <c r="AA227" i="1"/>
  <c r="S227" i="1"/>
  <c r="AK226" i="1"/>
  <c r="AI226" i="1"/>
  <c r="AJ226" i="1" s="1"/>
  <c r="AE226" i="1"/>
  <c r="AB226" i="1"/>
  <c r="AM227" i="1" s="1"/>
  <c r="AL227" i="1" s="1"/>
  <c r="AA226" i="1"/>
  <c r="S226" i="1"/>
  <c r="AE225" i="1"/>
  <c r="AB225" i="1"/>
  <c r="AM226" i="1" s="1"/>
  <c r="AL226" i="1" s="1"/>
  <c r="AA225" i="1"/>
  <c r="S225" i="1"/>
  <c r="AE224" i="1"/>
  <c r="AB224" i="1"/>
  <c r="AI225" i="1" s="1"/>
  <c r="AA224" i="1"/>
  <c r="S224" i="1"/>
  <c r="AE223" i="1"/>
  <c r="AB223" i="1"/>
  <c r="AI224" i="1" s="1"/>
  <c r="AA223" i="1"/>
  <c r="S223" i="1"/>
  <c r="AE222" i="1"/>
  <c r="AB222" i="1"/>
  <c r="AA222" i="1"/>
  <c r="T222" i="1"/>
  <c r="U222" i="1" s="1"/>
  <c r="S222" i="1"/>
  <c r="Q222" i="1"/>
  <c r="AI222" i="1" s="1"/>
  <c r="P222" i="1"/>
  <c r="V222" i="1" s="1"/>
  <c r="G222" i="1"/>
  <c r="AK221" i="1"/>
  <c r="AI221" i="1"/>
  <c r="AJ221" i="1" s="1"/>
  <c r="AE221" i="1"/>
  <c r="AB221" i="1"/>
  <c r="AA221" i="1"/>
  <c r="S221" i="1"/>
  <c r="AE220" i="1"/>
  <c r="AB220" i="1"/>
  <c r="AM221" i="1" s="1"/>
  <c r="AL221" i="1" s="1"/>
  <c r="AA220" i="1"/>
  <c r="S220" i="1"/>
  <c r="AE219" i="1"/>
  <c r="AB219" i="1"/>
  <c r="AI220" i="1" s="1"/>
  <c r="AA219" i="1"/>
  <c r="S219" i="1"/>
  <c r="AI218" i="1"/>
  <c r="AK218" i="1" s="1"/>
  <c r="AE218" i="1"/>
  <c r="AB218" i="1"/>
  <c r="AI219" i="1" s="1"/>
  <c r="AA218" i="1"/>
  <c r="S218" i="1"/>
  <c r="AE217" i="1"/>
  <c r="AB217" i="1"/>
  <c r="AM218" i="1" s="1"/>
  <c r="AL218" i="1" s="1"/>
  <c r="AA217" i="1"/>
  <c r="AE216" i="1"/>
  <c r="AB216" i="1"/>
  <c r="AM217" i="1" s="1"/>
  <c r="AL217" i="1" s="1"/>
  <c r="AA216" i="1"/>
  <c r="V216" i="1"/>
  <c r="T216" i="1"/>
  <c r="U216" i="1" s="1"/>
  <c r="AM216" i="1" s="1"/>
  <c r="AL216" i="1" s="1"/>
  <c r="S216" i="1"/>
  <c r="Q216" i="1"/>
  <c r="AI216" i="1" s="1"/>
  <c r="P216" i="1"/>
  <c r="G216" i="1"/>
  <c r="AE215" i="1"/>
  <c r="AB215" i="1"/>
  <c r="AA215" i="1"/>
  <c r="S215" i="1"/>
  <c r="AE214" i="1"/>
  <c r="AB214" i="1"/>
  <c r="AI215" i="1" s="1"/>
  <c r="AA214" i="1"/>
  <c r="S214" i="1"/>
  <c r="AI213" i="1"/>
  <c r="AK213" i="1" s="1"/>
  <c r="AE213" i="1"/>
  <c r="AB213" i="1"/>
  <c r="AI214" i="1" s="1"/>
  <c r="AA213" i="1"/>
  <c r="S213" i="1"/>
  <c r="AK212" i="1"/>
  <c r="AI212" i="1"/>
  <c r="AJ212" i="1" s="1"/>
  <c r="AN212" i="1" s="1"/>
  <c r="AE212" i="1"/>
  <c r="AB212" i="1"/>
  <c r="AM213" i="1" s="1"/>
  <c r="AL213" i="1" s="1"/>
  <c r="AA212" i="1"/>
  <c r="S212" i="1"/>
  <c r="AE211" i="1"/>
  <c r="AB211" i="1"/>
  <c r="AM212" i="1" s="1"/>
  <c r="AL212" i="1" s="1"/>
  <c r="AA211" i="1"/>
  <c r="S211" i="1"/>
  <c r="AE210" i="1"/>
  <c r="AB210" i="1"/>
  <c r="AA210" i="1"/>
  <c r="S210" i="1"/>
  <c r="T210" i="1" s="1"/>
  <c r="P210" i="1"/>
  <c r="Q210" i="1" s="1"/>
  <c r="G210" i="1"/>
  <c r="S199" i="1" s="1"/>
  <c r="AE209" i="1"/>
  <c r="AB209" i="1"/>
  <c r="AA209" i="1"/>
  <c r="S209" i="1"/>
  <c r="AI208" i="1"/>
  <c r="AK208" i="1" s="1"/>
  <c r="AE208" i="1"/>
  <c r="AB208" i="1"/>
  <c r="AI209" i="1" s="1"/>
  <c r="AA208" i="1"/>
  <c r="S208" i="1"/>
  <c r="AK207" i="1"/>
  <c r="AI207" i="1"/>
  <c r="AJ207" i="1" s="1"/>
  <c r="AE207" i="1"/>
  <c r="AB207" i="1"/>
  <c r="AM208" i="1" s="1"/>
  <c r="AL208" i="1" s="1"/>
  <c r="AA207" i="1"/>
  <c r="S207" i="1"/>
  <c r="AE206" i="1"/>
  <c r="AB206" i="1"/>
  <c r="AM207" i="1" s="1"/>
  <c r="AL207" i="1" s="1"/>
  <c r="AA206" i="1"/>
  <c r="S206" i="1"/>
  <c r="AE205" i="1"/>
  <c r="AB205" i="1"/>
  <c r="AA205" i="1"/>
  <c r="S205" i="1"/>
  <c r="AE204" i="1"/>
  <c r="AB204" i="1"/>
  <c r="AM204" i="1" s="1"/>
  <c r="AL204" i="1" s="1"/>
  <c r="AA204" i="1"/>
  <c r="S204" i="1"/>
  <c r="T204" i="1" s="1"/>
  <c r="U204" i="1" s="1"/>
  <c r="Q204" i="1"/>
  <c r="AI204" i="1" s="1"/>
  <c r="P204" i="1"/>
  <c r="G204" i="1"/>
  <c r="S193" i="1" s="1"/>
  <c r="AI203" i="1"/>
  <c r="AK203" i="1" s="1"/>
  <c r="AE203" i="1"/>
  <c r="AB203" i="1"/>
  <c r="AA203" i="1"/>
  <c r="S203" i="1"/>
  <c r="AE202" i="1"/>
  <c r="AB202" i="1"/>
  <c r="AM203" i="1" s="1"/>
  <c r="AL203" i="1" s="1"/>
  <c r="S202" i="1"/>
  <c r="AE201" i="1"/>
  <c r="AB201" i="1"/>
  <c r="S201" i="1"/>
  <c r="AE200" i="1"/>
  <c r="AB200" i="1"/>
  <c r="S200" i="1"/>
  <c r="AE199" i="1"/>
  <c r="AB199" i="1"/>
  <c r="AA199" i="1"/>
  <c r="AE198" i="1"/>
  <c r="AB198" i="1"/>
  <c r="AM198" i="1" s="1"/>
  <c r="AL198" i="1" s="1"/>
  <c r="AA198" i="1"/>
  <c r="T198" i="1"/>
  <c r="U198" i="1" s="1"/>
  <c r="S198" i="1"/>
  <c r="P198" i="1"/>
  <c r="V198" i="1" s="1"/>
  <c r="G198" i="1"/>
  <c r="S187" i="1" s="1"/>
  <c r="AI197" i="1"/>
  <c r="AK197" i="1" s="1"/>
  <c r="AE197" i="1"/>
  <c r="AB197" i="1"/>
  <c r="AA197" i="1"/>
  <c r="S197" i="1"/>
  <c r="AJ196" i="1"/>
  <c r="AN196" i="1" s="1"/>
  <c r="AI196" i="1"/>
  <c r="AK196" i="1" s="1"/>
  <c r="AE196" i="1"/>
  <c r="AB196" i="1"/>
  <c r="AM197" i="1" s="1"/>
  <c r="AL197" i="1" s="1"/>
  <c r="AA196" i="1"/>
  <c r="S196" i="1"/>
  <c r="AE195" i="1"/>
  <c r="AB195" i="1"/>
  <c r="AM196" i="1" s="1"/>
  <c r="AL196" i="1" s="1"/>
  <c r="AA195" i="1"/>
  <c r="S195" i="1"/>
  <c r="AE194" i="1"/>
  <c r="AB194" i="1"/>
  <c r="AI195" i="1" s="1"/>
  <c r="AA194" i="1"/>
  <c r="S194" i="1"/>
  <c r="AI193" i="1"/>
  <c r="AK193" i="1" s="1"/>
  <c r="AE193" i="1"/>
  <c r="AB193" i="1"/>
  <c r="AI194" i="1" s="1"/>
  <c r="AA193" i="1"/>
  <c r="AM192" i="1"/>
  <c r="AL192" i="1" s="1"/>
  <c r="AE192" i="1"/>
  <c r="AB192" i="1"/>
  <c r="AM193" i="1" s="1"/>
  <c r="AL193" i="1" s="1"/>
  <c r="AA192" i="1"/>
  <c r="U192" i="1"/>
  <c r="S192" i="1"/>
  <c r="Q192" i="1"/>
  <c r="AI192" i="1" s="1"/>
  <c r="P192" i="1"/>
  <c r="V192" i="1" s="1"/>
  <c r="G192" i="1"/>
  <c r="S181" i="1" s="1"/>
  <c r="AI191" i="1"/>
  <c r="AK191" i="1" s="1"/>
  <c r="AE191" i="1"/>
  <c r="AB191" i="1"/>
  <c r="AA191" i="1"/>
  <c r="S191" i="1"/>
  <c r="AK190" i="1"/>
  <c r="AI190" i="1"/>
  <c r="AJ190" i="1" s="1"/>
  <c r="AN190" i="1" s="1"/>
  <c r="AE190" i="1"/>
  <c r="AB190" i="1"/>
  <c r="AM191" i="1" s="1"/>
  <c r="AL191" i="1" s="1"/>
  <c r="AA190" i="1"/>
  <c r="S190" i="1"/>
  <c r="AE189" i="1"/>
  <c r="AB189" i="1"/>
  <c r="AM190" i="1" s="1"/>
  <c r="AL190" i="1" s="1"/>
  <c r="AA189" i="1"/>
  <c r="S189" i="1"/>
  <c r="AE188" i="1"/>
  <c r="AB188" i="1"/>
  <c r="AI189" i="1" s="1"/>
  <c r="AA188" i="1"/>
  <c r="S188" i="1"/>
  <c r="AI187" i="1"/>
  <c r="AK187" i="1" s="1"/>
  <c r="AE187" i="1"/>
  <c r="AB187" i="1"/>
  <c r="AI188" i="1" s="1"/>
  <c r="AA187" i="1"/>
  <c r="AE186" i="1"/>
  <c r="AB186" i="1"/>
  <c r="AM187" i="1" s="1"/>
  <c r="AL187" i="1" s="1"/>
  <c r="AA186" i="1"/>
  <c r="T186" i="1"/>
  <c r="U186" i="1" s="1"/>
  <c r="S186" i="1"/>
  <c r="Q186" i="1"/>
  <c r="AI186" i="1" s="1"/>
  <c r="P186" i="1"/>
  <c r="V186" i="1" s="1"/>
  <c r="G186" i="1"/>
  <c r="AK185" i="1"/>
  <c r="AI185" i="1"/>
  <c r="AJ185" i="1" s="1"/>
  <c r="AE185" i="1"/>
  <c r="AB185" i="1"/>
  <c r="AA185" i="1"/>
  <c r="S185" i="1"/>
  <c r="AE184" i="1"/>
  <c r="AB184" i="1"/>
  <c r="AM185" i="1" s="1"/>
  <c r="AL185" i="1" s="1"/>
  <c r="AA184" i="1"/>
  <c r="S184" i="1"/>
  <c r="AE183" i="1"/>
  <c r="AB183" i="1"/>
  <c r="AI184" i="1" s="1"/>
  <c r="AA183" i="1"/>
  <c r="S183" i="1"/>
  <c r="AI182" i="1"/>
  <c r="AK182" i="1" s="1"/>
  <c r="AE182" i="1"/>
  <c r="AB182" i="1"/>
  <c r="AI183" i="1" s="1"/>
  <c r="AA182" i="1"/>
  <c r="S182" i="1"/>
  <c r="AK181" i="1"/>
  <c r="AI181" i="1"/>
  <c r="AJ181" i="1" s="1"/>
  <c r="AE181" i="1"/>
  <c r="AB181" i="1"/>
  <c r="AM182" i="1" s="1"/>
  <c r="AL182" i="1" s="1"/>
  <c r="AA181" i="1"/>
  <c r="AM180" i="1"/>
  <c r="AL180" i="1" s="1"/>
  <c r="AE180" i="1"/>
  <c r="AB180" i="1"/>
  <c r="AI180" i="1" s="1"/>
  <c r="AA180" i="1"/>
  <c r="V180" i="1"/>
  <c r="U180" i="1"/>
  <c r="S180" i="1"/>
  <c r="Q180" i="1"/>
  <c r="P180" i="1"/>
  <c r="G180" i="1"/>
  <c r="AE179" i="1"/>
  <c r="AB179" i="1"/>
  <c r="AA179" i="1"/>
  <c r="S179" i="1"/>
  <c r="AE178" i="1"/>
  <c r="AB178" i="1"/>
  <c r="AI179" i="1" s="1"/>
  <c r="AA178" i="1"/>
  <c r="S178" i="1"/>
  <c r="AE177" i="1"/>
  <c r="AB177" i="1"/>
  <c r="AI178" i="1" s="1"/>
  <c r="AA177" i="1"/>
  <c r="S177" i="1"/>
  <c r="AJ176" i="1"/>
  <c r="AN176" i="1" s="1"/>
  <c r="AI176" i="1"/>
  <c r="AK176" i="1" s="1"/>
  <c r="AE176" i="1"/>
  <c r="AB176" i="1"/>
  <c r="AM177" i="1" s="1"/>
  <c r="AL177" i="1" s="1"/>
  <c r="AA176" i="1"/>
  <c r="S176" i="1"/>
  <c r="AE175" i="1"/>
  <c r="AB175" i="1"/>
  <c r="AM176" i="1" s="1"/>
  <c r="AL176" i="1" s="1"/>
  <c r="AA175" i="1"/>
  <c r="S175" i="1"/>
  <c r="AE174" i="1"/>
  <c r="AB174" i="1"/>
  <c r="AI175" i="1" s="1"/>
  <c r="AA174" i="1"/>
  <c r="S174" i="1"/>
  <c r="T174" i="1" s="1"/>
  <c r="Q174" i="1"/>
  <c r="P174" i="1"/>
  <c r="G174" i="1"/>
  <c r="AM88" i="40" l="1"/>
  <c r="AL88" i="40" s="1"/>
  <c r="AM90" i="40"/>
  <c r="AL90" i="40" s="1"/>
  <c r="AM92" i="40"/>
  <c r="AL92" i="40" s="1"/>
  <c r="AM235" i="1"/>
  <c r="AL235" i="1" s="1"/>
  <c r="V234" i="1"/>
  <c r="Q234" i="1"/>
  <c r="AI234" i="1" s="1"/>
  <c r="AI238" i="1"/>
  <c r="AI239" i="1"/>
  <c r="AJ256" i="1"/>
  <c r="AN256" i="1" s="1"/>
  <c r="AK256" i="1"/>
  <c r="AI267" i="1"/>
  <c r="AI268" i="1"/>
  <c r="AI228" i="1"/>
  <c r="AJ232" i="1"/>
  <c r="AN232" i="1" s="1"/>
  <c r="AM277" i="1"/>
  <c r="AL277" i="1" s="1"/>
  <c r="AK279" i="1"/>
  <c r="AK281" i="1"/>
  <c r="AJ281" i="1"/>
  <c r="AN281" i="1" s="1"/>
  <c r="AI253" i="1"/>
  <c r="AI254" i="1"/>
  <c r="U246" i="1"/>
  <c r="AM246" i="1" s="1"/>
  <c r="AL246" i="1" s="1"/>
  <c r="V246" i="1"/>
  <c r="AM258" i="1"/>
  <c r="AL258" i="1" s="1"/>
  <c r="AI258" i="1"/>
  <c r="AI259" i="1"/>
  <c r="AI272" i="1"/>
  <c r="AI273" i="1"/>
  <c r="AJ275" i="1"/>
  <c r="AN275" i="1" s="1"/>
  <c r="AK275" i="1"/>
  <c r="AJ261" i="1"/>
  <c r="AN261" i="1" s="1"/>
  <c r="AK261" i="1"/>
  <c r="AN231" i="1"/>
  <c r="AM238" i="1"/>
  <c r="AL238" i="1" s="1"/>
  <c r="AK241" i="1"/>
  <c r="AI243" i="1"/>
  <c r="AI244" i="1"/>
  <c r="AK255" i="1"/>
  <c r="AK257" i="1"/>
  <c r="AJ257" i="1"/>
  <c r="AN257" i="1" s="1"/>
  <c r="AM267" i="1"/>
  <c r="AL267" i="1" s="1"/>
  <c r="AK269" i="1"/>
  <c r="AJ276" i="1"/>
  <c r="AK276" i="1"/>
  <c r="AM234" i="1"/>
  <c r="AL234" i="1" s="1"/>
  <c r="AI246" i="1"/>
  <c r="AM253" i="1"/>
  <c r="AL253" i="1" s="1"/>
  <c r="AK284" i="1"/>
  <c r="AJ284" i="1"/>
  <c r="AN284" i="1" s="1"/>
  <c r="AJ242" i="1"/>
  <c r="AN242" i="1" s="1"/>
  <c r="AK242" i="1"/>
  <c r="V282" i="1"/>
  <c r="AJ237" i="1"/>
  <c r="AN237" i="1" s="1"/>
  <c r="AK237" i="1"/>
  <c r="AI249" i="1"/>
  <c r="AI248" i="1"/>
  <c r="AJ251" i="1"/>
  <c r="AN251" i="1" s="1"/>
  <c r="AK251" i="1"/>
  <c r="AK260" i="1"/>
  <c r="AI262" i="1"/>
  <c r="AI263" i="1"/>
  <c r="AJ266" i="1"/>
  <c r="AN266" i="1" s="1"/>
  <c r="AK266" i="1"/>
  <c r="AM272" i="1"/>
  <c r="AL272" i="1" s="1"/>
  <c r="AK274" i="1"/>
  <c r="Q228" i="1"/>
  <c r="V228" i="1"/>
  <c r="AM268" i="1"/>
  <c r="AL268" i="1" s="1"/>
  <c r="AN274" i="1"/>
  <c r="AI278" i="1"/>
  <c r="AI277" i="1"/>
  <c r="AJ280" i="1"/>
  <c r="AN280" i="1" s="1"/>
  <c r="AK280" i="1"/>
  <c r="AJ252" i="1"/>
  <c r="AN252" i="1" s="1"/>
  <c r="AK252" i="1"/>
  <c r="AN245" i="1"/>
  <c r="V264" i="1"/>
  <c r="U270" i="1"/>
  <c r="AM270" i="1" s="1"/>
  <c r="AL270" i="1" s="1"/>
  <c r="AN270" i="1" s="1"/>
  <c r="V270" i="1"/>
  <c r="AJ271" i="1"/>
  <c r="AK271" i="1"/>
  <c r="AN285" i="1"/>
  <c r="AM255" i="1"/>
  <c r="AL255" i="1" s="1"/>
  <c r="AN255" i="1" s="1"/>
  <c r="AI282" i="1"/>
  <c r="AI286" i="1"/>
  <c r="AM241" i="1"/>
  <c r="AL241" i="1" s="1"/>
  <c r="AN241" i="1" s="1"/>
  <c r="AI233" i="1"/>
  <c r="AI240" i="1"/>
  <c r="AM247" i="1"/>
  <c r="AL247" i="1" s="1"/>
  <c r="AI264" i="1"/>
  <c r="AM271" i="1"/>
  <c r="AL271" i="1" s="1"/>
  <c r="AM276" i="1"/>
  <c r="AL276" i="1" s="1"/>
  <c r="AI283" i="1"/>
  <c r="AI287" i="1"/>
  <c r="AM245" i="1"/>
  <c r="AL245" i="1" s="1"/>
  <c r="AM236" i="1"/>
  <c r="AL236" i="1" s="1"/>
  <c r="AN236" i="1" s="1"/>
  <c r="AM250" i="1"/>
  <c r="AL250" i="1" s="1"/>
  <c r="AN250" i="1" s="1"/>
  <c r="AM260" i="1"/>
  <c r="AL260" i="1" s="1"/>
  <c r="AN260" i="1" s="1"/>
  <c r="AM265" i="1"/>
  <c r="AL265" i="1" s="1"/>
  <c r="AN265" i="1" s="1"/>
  <c r="AM269" i="1"/>
  <c r="AL269" i="1" s="1"/>
  <c r="AN269" i="1" s="1"/>
  <c r="AM274" i="1"/>
  <c r="AL274" i="1" s="1"/>
  <c r="AM279" i="1"/>
  <c r="AL279" i="1" s="1"/>
  <c r="AN279" i="1" s="1"/>
  <c r="AK285" i="1"/>
  <c r="AM228" i="1"/>
  <c r="AL228" i="1" s="1"/>
  <c r="AI230" i="1"/>
  <c r="AM282" i="1"/>
  <c r="AL282" i="1" s="1"/>
  <c r="AM229" i="1"/>
  <c r="AL229" i="1" s="1"/>
  <c r="AM233" i="1"/>
  <c r="AL233" i="1" s="1"/>
  <c r="AN90" i="40"/>
  <c r="V87" i="40"/>
  <c r="Q87" i="40"/>
  <c r="AI87" i="40" s="1"/>
  <c r="AK89" i="40"/>
  <c r="AJ89" i="40"/>
  <c r="AM89" i="40"/>
  <c r="AL89" i="40" s="1"/>
  <c r="AK90" i="40"/>
  <c r="AI91" i="40"/>
  <c r="AI88" i="40"/>
  <c r="AI92" i="40"/>
  <c r="AM87" i="40"/>
  <c r="AL87" i="40" s="1"/>
  <c r="AM77" i="40"/>
  <c r="AL77" i="40" s="1"/>
  <c r="AM79" i="40"/>
  <c r="AL79" i="40" s="1"/>
  <c r="AI78" i="40"/>
  <c r="AJ78" i="40" s="1"/>
  <c r="AN78" i="40" s="1"/>
  <c r="V81" i="40"/>
  <c r="Q81" i="40"/>
  <c r="V75" i="40"/>
  <c r="AI79" i="40"/>
  <c r="AI80" i="40"/>
  <c r="Q75" i="40"/>
  <c r="AI75" i="40" s="1"/>
  <c r="AK78" i="40"/>
  <c r="AM75" i="40"/>
  <c r="AL75" i="40" s="1"/>
  <c r="AI77" i="40"/>
  <c r="AK204" i="1"/>
  <c r="AJ204" i="1"/>
  <c r="AN204" i="1" s="1"/>
  <c r="AK219" i="1"/>
  <c r="AJ219" i="1"/>
  <c r="AK179" i="1"/>
  <c r="AJ179" i="1"/>
  <c r="AK188" i="1"/>
  <c r="AJ188" i="1"/>
  <c r="AK192" i="1"/>
  <c r="AJ192" i="1"/>
  <c r="AN192" i="1" s="1"/>
  <c r="AK194" i="1"/>
  <c r="AJ194" i="1"/>
  <c r="AK186" i="1"/>
  <c r="AJ186" i="1"/>
  <c r="AN207" i="1"/>
  <c r="AN226" i="1"/>
  <c r="AK178" i="1"/>
  <c r="AJ178" i="1"/>
  <c r="AJ184" i="1"/>
  <c r="AK184" i="1"/>
  <c r="AJ215" i="1"/>
  <c r="AN215" i="1" s="1"/>
  <c r="AK215" i="1"/>
  <c r="AJ216" i="1"/>
  <c r="AN216" i="1" s="1"/>
  <c r="AK216" i="1"/>
  <c r="AI217" i="1" s="1"/>
  <c r="AK222" i="1"/>
  <c r="AI223" i="1" s="1"/>
  <c r="AJ222" i="1"/>
  <c r="AK224" i="1"/>
  <c r="AJ224" i="1"/>
  <c r="V174" i="1"/>
  <c r="U174" i="1"/>
  <c r="AM174" i="1" s="1"/>
  <c r="AL174" i="1" s="1"/>
  <c r="AJ180" i="1"/>
  <c r="AN180" i="1" s="1"/>
  <c r="AK180" i="1"/>
  <c r="AN185" i="1"/>
  <c r="AJ189" i="1"/>
  <c r="AK189" i="1"/>
  <c r="AK195" i="1"/>
  <c r="AJ195" i="1"/>
  <c r="AN195" i="1" s="1"/>
  <c r="AK209" i="1"/>
  <c r="AJ209" i="1"/>
  <c r="AJ220" i="1"/>
  <c r="AK220" i="1"/>
  <c r="AK175" i="1"/>
  <c r="AJ175" i="1"/>
  <c r="AN175" i="1" s="1"/>
  <c r="AK183" i="1"/>
  <c r="AJ183" i="1"/>
  <c r="AN183" i="1" s="1"/>
  <c r="U210" i="1"/>
  <c r="V210" i="1"/>
  <c r="AK214" i="1"/>
  <c r="AJ214" i="1"/>
  <c r="V204" i="1"/>
  <c r="AN221" i="1"/>
  <c r="AJ225" i="1"/>
  <c r="AK225" i="1"/>
  <c r="AM183" i="1"/>
  <c r="AL183" i="1" s="1"/>
  <c r="AM205" i="1"/>
  <c r="AL205" i="1" s="1"/>
  <c r="AM209" i="1"/>
  <c r="AL209" i="1" s="1"/>
  <c r="AM210" i="1"/>
  <c r="AL210" i="1" s="1"/>
  <c r="AM214" i="1"/>
  <c r="AL214" i="1" s="1"/>
  <c r="AM219" i="1"/>
  <c r="AL219" i="1" s="1"/>
  <c r="AM224" i="1"/>
  <c r="AL224" i="1" s="1"/>
  <c r="AM188" i="1"/>
  <c r="AL188" i="1" s="1"/>
  <c r="AM178" i="1"/>
  <c r="AL178" i="1" s="1"/>
  <c r="AM194" i="1"/>
  <c r="AL194" i="1" s="1"/>
  <c r="AM199" i="1"/>
  <c r="AI177" i="1"/>
  <c r="AM179" i="1"/>
  <c r="AL179" i="1" s="1"/>
  <c r="AJ187" i="1"/>
  <c r="AN187" i="1" s="1"/>
  <c r="AJ191" i="1"/>
  <c r="AN191" i="1" s="1"/>
  <c r="AM195" i="1"/>
  <c r="AL195" i="1" s="1"/>
  <c r="Q198" i="1"/>
  <c r="AI198" i="1" s="1"/>
  <c r="AJ203" i="1"/>
  <c r="AN203" i="1" s="1"/>
  <c r="AJ208" i="1"/>
  <c r="AN208" i="1" s="1"/>
  <c r="AJ213" i="1"/>
  <c r="AN213" i="1" s="1"/>
  <c r="AJ218" i="1"/>
  <c r="AN218" i="1" s="1"/>
  <c r="AJ227" i="1"/>
  <c r="AN227" i="1" s="1"/>
  <c r="AM189" i="1"/>
  <c r="AL189" i="1" s="1"/>
  <c r="AM225" i="1"/>
  <c r="AL225" i="1" s="1"/>
  <c r="AJ182" i="1"/>
  <c r="AN182" i="1" s="1"/>
  <c r="AM181" i="1"/>
  <c r="AL181" i="1" s="1"/>
  <c r="AN181" i="1" s="1"/>
  <c r="AM186" i="1"/>
  <c r="AL186" i="1" s="1"/>
  <c r="AJ193" i="1"/>
  <c r="AN193" i="1" s="1"/>
  <c r="AJ197" i="1"/>
  <c r="AN197" i="1" s="1"/>
  <c r="AI205" i="1"/>
  <c r="AI210" i="1"/>
  <c r="AM222" i="1"/>
  <c r="AL222" i="1" s="1"/>
  <c r="AM184" i="1"/>
  <c r="AL184" i="1" s="1"/>
  <c r="AM211" i="1"/>
  <c r="AL211" i="1" s="1"/>
  <c r="AM220" i="1"/>
  <c r="AL220" i="1" s="1"/>
  <c r="AM206" i="1"/>
  <c r="AL206" i="1" s="1"/>
  <c r="AM215" i="1"/>
  <c r="AL215" i="1" s="1"/>
  <c r="AI174" i="1"/>
  <c r="AM175" i="1"/>
  <c r="AL175" i="1" s="1"/>
  <c r="AK282" i="1" l="1"/>
  <c r="AJ282" i="1"/>
  <c r="AN282" i="1" s="1"/>
  <c r="AJ246" i="1"/>
  <c r="AN246" i="1" s="1"/>
  <c r="AK246" i="1"/>
  <c r="AI247" i="1" s="1"/>
  <c r="AK267" i="1"/>
  <c r="AJ267" i="1"/>
  <c r="AN267" i="1" s="1"/>
  <c r="AK240" i="1"/>
  <c r="AJ240" i="1"/>
  <c r="AN240" i="1" s="1"/>
  <c r="AK262" i="1"/>
  <c r="AJ262" i="1"/>
  <c r="AN262" i="1" s="1"/>
  <c r="AK233" i="1"/>
  <c r="AJ233" i="1"/>
  <c r="AN233" i="1" s="1"/>
  <c r="AN271" i="1"/>
  <c r="AK244" i="1"/>
  <c r="AJ244" i="1"/>
  <c r="AN244" i="1" s="1"/>
  <c r="AK264" i="1"/>
  <c r="AJ264" i="1"/>
  <c r="AN264" i="1" s="1"/>
  <c r="AK287" i="1"/>
  <c r="AJ287" i="1"/>
  <c r="AN287" i="1" s="1"/>
  <c r="AK277" i="1"/>
  <c r="AJ277" i="1"/>
  <c r="AN277" i="1" s="1"/>
  <c r="AK248" i="1"/>
  <c r="AJ248" i="1"/>
  <c r="AN248" i="1" s="1"/>
  <c r="AK243" i="1"/>
  <c r="AJ243" i="1"/>
  <c r="AN243" i="1" s="1"/>
  <c r="AK254" i="1"/>
  <c r="AJ254" i="1"/>
  <c r="AN254" i="1" s="1"/>
  <c r="AK239" i="1"/>
  <c r="AJ239" i="1"/>
  <c r="AN239" i="1" s="1"/>
  <c r="AK286" i="1"/>
  <c r="AJ286" i="1"/>
  <c r="AN286" i="1" s="1"/>
  <c r="AK230" i="1"/>
  <c r="AJ230" i="1"/>
  <c r="AN230" i="1" s="1"/>
  <c r="AK283" i="1"/>
  <c r="AJ283" i="1"/>
  <c r="AN283" i="1" s="1"/>
  <c r="AK278" i="1"/>
  <c r="AJ278" i="1"/>
  <c r="AN278" i="1" s="1"/>
  <c r="AK249" i="1"/>
  <c r="AJ249" i="1"/>
  <c r="AN249" i="1" s="1"/>
  <c r="AN276" i="1"/>
  <c r="AK273" i="1"/>
  <c r="AJ273" i="1"/>
  <c r="AN273" i="1" s="1"/>
  <c r="AK253" i="1"/>
  <c r="AJ253" i="1"/>
  <c r="AN253" i="1" s="1"/>
  <c r="AK238" i="1"/>
  <c r="AJ238" i="1"/>
  <c r="AN238" i="1" s="1"/>
  <c r="AK272" i="1"/>
  <c r="AJ272" i="1"/>
  <c r="AN272" i="1" s="1"/>
  <c r="AK234" i="1"/>
  <c r="AI235" i="1" s="1"/>
  <c r="AJ234" i="1"/>
  <c r="AN234" i="1" s="1"/>
  <c r="AK263" i="1"/>
  <c r="AJ263" i="1"/>
  <c r="AN263" i="1" s="1"/>
  <c r="AK259" i="1"/>
  <c r="AJ259" i="1"/>
  <c r="AN259" i="1" s="1"/>
  <c r="AK228" i="1"/>
  <c r="AI229" i="1" s="1"/>
  <c r="AJ228" i="1"/>
  <c r="AN228" i="1" s="1"/>
  <c r="AK258" i="1"/>
  <c r="AJ258" i="1"/>
  <c r="AN258" i="1" s="1"/>
  <c r="AK268" i="1"/>
  <c r="AJ268" i="1"/>
  <c r="AN268" i="1" s="1"/>
  <c r="AK87" i="40"/>
  <c r="AJ87" i="40"/>
  <c r="AN87" i="40" s="1"/>
  <c r="AK91" i="40"/>
  <c r="AJ91" i="40"/>
  <c r="AN91" i="40" s="1"/>
  <c r="AK92" i="40"/>
  <c r="AJ92" i="40"/>
  <c r="AN92" i="40" s="1"/>
  <c r="AK88" i="40"/>
  <c r="AJ88" i="40"/>
  <c r="AN88" i="40" s="1"/>
  <c r="AN89" i="40"/>
  <c r="AK75" i="40"/>
  <c r="AI76" i="40" s="1"/>
  <c r="AJ75" i="40"/>
  <c r="AN75" i="40" s="1"/>
  <c r="AK80" i="40"/>
  <c r="AJ80" i="40"/>
  <c r="AN80" i="40" s="1"/>
  <c r="AK79" i="40"/>
  <c r="AJ79" i="40"/>
  <c r="AN79" i="40" s="1"/>
  <c r="AM76" i="40"/>
  <c r="AL76" i="40" s="1"/>
  <c r="AJ77" i="40"/>
  <c r="AN77" i="40" s="1"/>
  <c r="AK77" i="40"/>
  <c r="AK177" i="1"/>
  <c r="AJ177" i="1"/>
  <c r="AN177" i="1" s="1"/>
  <c r="AN186" i="1"/>
  <c r="AN179" i="1"/>
  <c r="AM200" i="1"/>
  <c r="AL199" i="1"/>
  <c r="AN214" i="1"/>
  <c r="AN189" i="1"/>
  <c r="AN224" i="1"/>
  <c r="AN194" i="1"/>
  <c r="AN219" i="1"/>
  <c r="AK198" i="1"/>
  <c r="AI199" i="1" s="1"/>
  <c r="AJ198" i="1"/>
  <c r="AN198" i="1" s="1"/>
  <c r="AN184" i="1"/>
  <c r="AK174" i="1"/>
  <c r="AJ174" i="1"/>
  <c r="AN174" i="1" s="1"/>
  <c r="AK210" i="1"/>
  <c r="AI211" i="1" s="1"/>
  <c r="AJ210" i="1"/>
  <c r="AN210" i="1" s="1"/>
  <c r="AN220" i="1"/>
  <c r="AN222" i="1"/>
  <c r="AN178" i="1"/>
  <c r="AK205" i="1"/>
  <c r="AI206" i="1" s="1"/>
  <c r="AJ205" i="1"/>
  <c r="AN205" i="1" s="1"/>
  <c r="AN225" i="1"/>
  <c r="AN209" i="1"/>
  <c r="AK223" i="1"/>
  <c r="AJ223" i="1"/>
  <c r="AN223" i="1" s="1"/>
  <c r="AM223" i="1"/>
  <c r="AL223" i="1" s="1"/>
  <c r="AK217" i="1"/>
  <c r="AJ217" i="1"/>
  <c r="AN217" i="1" s="1"/>
  <c r="AN188" i="1"/>
  <c r="AK235" i="1" l="1"/>
  <c r="AJ235" i="1"/>
  <c r="AN235" i="1" s="1"/>
  <c r="AK229" i="1"/>
  <c r="AJ229" i="1"/>
  <c r="AN229" i="1" s="1"/>
  <c r="AJ247" i="1"/>
  <c r="AN247" i="1" s="1"/>
  <c r="AK247" i="1"/>
  <c r="AK76" i="40"/>
  <c r="AJ76" i="40"/>
  <c r="AN76" i="40" s="1"/>
  <c r="AJ211" i="1"/>
  <c r="AN211" i="1" s="1"/>
  <c r="AK211" i="1"/>
  <c r="AM201" i="1"/>
  <c r="AL200" i="1"/>
  <c r="AK199" i="1"/>
  <c r="AI200" i="1" s="1"/>
  <c r="AJ199" i="1"/>
  <c r="AN199" i="1" s="1"/>
  <c r="AJ206" i="1"/>
  <c r="AN206" i="1" s="1"/>
  <c r="AK206" i="1"/>
  <c r="AJ200" i="1" l="1"/>
  <c r="AN200" i="1" s="1"/>
  <c r="AK200" i="1"/>
  <c r="AI201" i="1" s="1"/>
  <c r="AL201" i="1"/>
  <c r="AM202" i="1"/>
  <c r="AL202" i="1" s="1"/>
  <c r="AK201" i="1" l="1"/>
  <c r="AI202" i="1" s="1"/>
  <c r="AJ201" i="1"/>
  <c r="AN201" i="1" s="1"/>
  <c r="AK202" i="1" l="1"/>
  <c r="AJ202" i="1"/>
  <c r="AN202" i="1" s="1"/>
  <c r="S28" i="42" l="1"/>
  <c r="AE27" i="42"/>
  <c r="AB27" i="42"/>
  <c r="AA27" i="42"/>
  <c r="AE26" i="42"/>
  <c r="AB26" i="42"/>
  <c r="AM27" i="42" s="1"/>
  <c r="AL27" i="42" s="1"/>
  <c r="AA26" i="42"/>
  <c r="AE25" i="42"/>
  <c r="AB25" i="42"/>
  <c r="AA25" i="42"/>
  <c r="AI24" i="42"/>
  <c r="AK24" i="42" s="1"/>
  <c r="AE24" i="42"/>
  <c r="AB24" i="42"/>
  <c r="AM25" i="42" s="1"/>
  <c r="AL25" i="42" s="1"/>
  <c r="AA24" i="42"/>
  <c r="AE23" i="42"/>
  <c r="AB23" i="42"/>
  <c r="AA23" i="42"/>
  <c r="AE22" i="42"/>
  <c r="AB22" i="42"/>
  <c r="AI23" i="42" s="1"/>
  <c r="AA22" i="42"/>
  <c r="S22" i="42"/>
  <c r="P22" i="42"/>
  <c r="Q22" i="42" s="1"/>
  <c r="G22" i="42"/>
  <c r="AE74" i="40"/>
  <c r="AB74" i="40"/>
  <c r="AA74" i="40"/>
  <c r="S74" i="40"/>
  <c r="AE73" i="40"/>
  <c r="AB73" i="40"/>
  <c r="AA73" i="40"/>
  <c r="S73" i="40"/>
  <c r="AE72" i="40"/>
  <c r="AB72" i="40"/>
  <c r="AM73" i="40" s="1"/>
  <c r="AL73" i="40" s="1"/>
  <c r="AA72" i="40"/>
  <c r="S72" i="40"/>
  <c r="AE71" i="40"/>
  <c r="AB71" i="40"/>
  <c r="AA71" i="40"/>
  <c r="S71" i="40"/>
  <c r="AE70" i="40"/>
  <c r="AB70" i="40"/>
  <c r="AM71" i="40" s="1"/>
  <c r="AL71" i="40" s="1"/>
  <c r="AA70" i="40"/>
  <c r="S70" i="40"/>
  <c r="AE69" i="40"/>
  <c r="AB69" i="40"/>
  <c r="AA69" i="40"/>
  <c r="S69" i="40"/>
  <c r="T69" i="40" s="1"/>
  <c r="U69" i="40" s="1"/>
  <c r="P69" i="40"/>
  <c r="Q69" i="40" s="1"/>
  <c r="G69" i="40"/>
  <c r="AD21" i="41"/>
  <c r="AA21" i="41"/>
  <c r="Z21" i="41"/>
  <c r="R21" i="41"/>
  <c r="AD20" i="41"/>
  <c r="AA20" i="41"/>
  <c r="AL21" i="41" s="1"/>
  <c r="AK21" i="41" s="1"/>
  <c r="Z20" i="41"/>
  <c r="R20" i="41"/>
  <c r="AH19" i="41"/>
  <c r="AI19" i="41" s="1"/>
  <c r="AD19" i="41"/>
  <c r="AA19" i="41"/>
  <c r="AL20" i="41" s="1"/>
  <c r="AK20" i="41" s="1"/>
  <c r="Z19" i="41"/>
  <c r="R19" i="41"/>
  <c r="AD18" i="41"/>
  <c r="AA18" i="41"/>
  <c r="AL19" i="41" s="1"/>
  <c r="AK19" i="41" s="1"/>
  <c r="Z18" i="41"/>
  <c r="R18" i="41"/>
  <c r="AD17" i="41"/>
  <c r="AA17" i="41"/>
  <c r="AH18" i="41" s="1"/>
  <c r="Z17" i="41"/>
  <c r="AD16" i="41"/>
  <c r="AA16" i="41"/>
  <c r="Z16" i="41"/>
  <c r="R16" i="41"/>
  <c r="S16" i="41" s="1"/>
  <c r="T16" i="41" s="1"/>
  <c r="O16" i="41"/>
  <c r="G16" i="41"/>
  <c r="AE62" i="40"/>
  <c r="AB62" i="40"/>
  <c r="AA62" i="40"/>
  <c r="S62" i="40"/>
  <c r="AE61" i="40"/>
  <c r="AB61" i="40"/>
  <c r="AM62" i="40" s="1"/>
  <c r="AL62" i="40" s="1"/>
  <c r="AA61" i="40"/>
  <c r="S61" i="40"/>
  <c r="AE60" i="40"/>
  <c r="AB60" i="40"/>
  <c r="AA60" i="40"/>
  <c r="S60" i="40"/>
  <c r="AE59" i="40"/>
  <c r="AB59" i="40"/>
  <c r="AM60" i="40" s="1"/>
  <c r="AL60" i="40" s="1"/>
  <c r="AA59" i="40"/>
  <c r="S59" i="40"/>
  <c r="AE58" i="40"/>
  <c r="AB58" i="40"/>
  <c r="AA58" i="40"/>
  <c r="S58" i="40"/>
  <c r="AE57" i="40"/>
  <c r="AB57" i="40"/>
  <c r="AA57" i="40"/>
  <c r="S57" i="40"/>
  <c r="T57" i="40" s="1"/>
  <c r="U57" i="40" s="1"/>
  <c r="Q57" i="40"/>
  <c r="AI57" i="40" s="1"/>
  <c r="P57" i="40"/>
  <c r="G57" i="40"/>
  <c r="AE161" i="1"/>
  <c r="AB161" i="1"/>
  <c r="AA161" i="1"/>
  <c r="S161" i="1"/>
  <c r="AI160" i="1"/>
  <c r="AK160" i="1" s="1"/>
  <c r="AE160" i="1"/>
  <c r="AB160" i="1"/>
  <c r="AM161" i="1" s="1"/>
  <c r="AL161" i="1" s="1"/>
  <c r="AA160" i="1"/>
  <c r="S160" i="1"/>
  <c r="AK159" i="1"/>
  <c r="AI159" i="1"/>
  <c r="AJ159" i="1" s="1"/>
  <c r="AE159" i="1"/>
  <c r="AB159" i="1"/>
  <c r="AM160" i="1" s="1"/>
  <c r="AL160" i="1" s="1"/>
  <c r="AA159" i="1"/>
  <c r="S159" i="1"/>
  <c r="AE158" i="1"/>
  <c r="AB158" i="1"/>
  <c r="AM159" i="1" s="1"/>
  <c r="AL159" i="1" s="1"/>
  <c r="AA158" i="1"/>
  <c r="S158" i="1"/>
  <c r="AE157" i="1"/>
  <c r="AB157" i="1"/>
  <c r="AI158" i="1" s="1"/>
  <c r="AA157" i="1"/>
  <c r="S157" i="1"/>
  <c r="AE156" i="1"/>
  <c r="AB156" i="1"/>
  <c r="AM157" i="1" s="1"/>
  <c r="AL157" i="1" s="1"/>
  <c r="AA156" i="1"/>
  <c r="S156" i="1"/>
  <c r="T156" i="1" s="1"/>
  <c r="Q156" i="1"/>
  <c r="P156" i="1"/>
  <c r="G156" i="1"/>
  <c r="S145" i="1" s="1"/>
  <c r="AE155" i="1"/>
  <c r="AB155" i="1"/>
  <c r="AI155" i="1" s="1"/>
  <c r="AA155" i="1"/>
  <c r="S155" i="1"/>
  <c r="AI154" i="1"/>
  <c r="AJ154" i="1" s="1"/>
  <c r="AE154" i="1"/>
  <c r="AB154" i="1"/>
  <c r="AM155" i="1" s="1"/>
  <c r="AL155" i="1" s="1"/>
  <c r="AA154" i="1"/>
  <c r="S154" i="1"/>
  <c r="AE153" i="1"/>
  <c r="AB153" i="1"/>
  <c r="AM154" i="1" s="1"/>
  <c r="AL154" i="1" s="1"/>
  <c r="AA153" i="1"/>
  <c r="S153" i="1"/>
  <c r="AE152" i="1"/>
  <c r="AB152" i="1"/>
  <c r="AI153" i="1" s="1"/>
  <c r="AA152" i="1"/>
  <c r="S152" i="1"/>
  <c r="AE151" i="1"/>
  <c r="AB151" i="1"/>
  <c r="AI152" i="1" s="1"/>
  <c r="AA151" i="1"/>
  <c r="S151" i="1"/>
  <c r="AE150" i="1"/>
  <c r="AB150" i="1"/>
  <c r="AM151" i="1" s="1"/>
  <c r="AL151" i="1" s="1"/>
  <c r="AA150" i="1"/>
  <c r="S150" i="1"/>
  <c r="T150" i="1" s="1"/>
  <c r="U150" i="1" s="1"/>
  <c r="Q150" i="1"/>
  <c r="AI150" i="1" s="1"/>
  <c r="P150" i="1"/>
  <c r="G150" i="1"/>
  <c r="AI149" i="1"/>
  <c r="AJ149" i="1" s="1"/>
  <c r="AE149" i="1"/>
  <c r="AB149" i="1"/>
  <c r="AA149" i="1"/>
  <c r="S149" i="1"/>
  <c r="AE148" i="1"/>
  <c r="AB148" i="1"/>
  <c r="AM149" i="1" s="1"/>
  <c r="AL149" i="1" s="1"/>
  <c r="AA148" i="1"/>
  <c r="S148" i="1"/>
  <c r="AE147" i="1"/>
  <c r="AB147" i="1"/>
  <c r="AI148" i="1" s="1"/>
  <c r="AA147" i="1"/>
  <c r="S147" i="1"/>
  <c r="AE146" i="1"/>
  <c r="AB146" i="1"/>
  <c r="AM147" i="1" s="1"/>
  <c r="AL147" i="1" s="1"/>
  <c r="AA146" i="1"/>
  <c r="S146" i="1"/>
  <c r="AE145" i="1"/>
  <c r="AB145" i="1"/>
  <c r="AM146" i="1" s="1"/>
  <c r="AL146" i="1" s="1"/>
  <c r="AA145" i="1"/>
  <c r="AE144" i="1"/>
  <c r="AB144" i="1"/>
  <c r="AA144" i="1"/>
  <c r="S144" i="1"/>
  <c r="T144" i="1" s="1"/>
  <c r="U144" i="1" s="1"/>
  <c r="AM144" i="1" s="1"/>
  <c r="AL144" i="1" s="1"/>
  <c r="Q144" i="1"/>
  <c r="AI144" i="1" s="1"/>
  <c r="P144" i="1"/>
  <c r="G144" i="1"/>
  <c r="AK143" i="1"/>
  <c r="AI143" i="1"/>
  <c r="AJ143" i="1" s="1"/>
  <c r="AE143" i="1"/>
  <c r="AB143" i="1"/>
  <c r="AA143" i="1"/>
  <c r="S143" i="1"/>
  <c r="AE142" i="1"/>
  <c r="AB142" i="1"/>
  <c r="AM143" i="1" s="1"/>
  <c r="AL143" i="1" s="1"/>
  <c r="AA142" i="1"/>
  <c r="S142" i="1"/>
  <c r="AE141" i="1"/>
  <c r="AB141" i="1"/>
  <c r="AM142" i="1" s="1"/>
  <c r="AL142" i="1" s="1"/>
  <c r="AA141" i="1"/>
  <c r="S141" i="1"/>
  <c r="AI140" i="1"/>
  <c r="AJ140" i="1" s="1"/>
  <c r="AE140" i="1"/>
  <c r="AB140" i="1"/>
  <c r="AM141" i="1" s="1"/>
  <c r="AL141" i="1" s="1"/>
  <c r="AA140" i="1"/>
  <c r="S140" i="1"/>
  <c r="AE139" i="1"/>
  <c r="AB139" i="1"/>
  <c r="AM140" i="1" s="1"/>
  <c r="AL140" i="1" s="1"/>
  <c r="AA139" i="1"/>
  <c r="S139" i="1"/>
  <c r="AE138" i="1"/>
  <c r="AB138" i="1"/>
  <c r="AI138" i="1" s="1"/>
  <c r="AA138" i="1"/>
  <c r="S138" i="1"/>
  <c r="T138" i="1" s="1"/>
  <c r="U138" i="1" s="1"/>
  <c r="AM138" i="1" s="1"/>
  <c r="AL138" i="1" s="1"/>
  <c r="P138" i="1"/>
  <c r="Q138" i="1" s="1"/>
  <c r="G138" i="1"/>
  <c r="AA16" i="42"/>
  <c r="AB16" i="42"/>
  <c r="AE173" i="1"/>
  <c r="AB173" i="1"/>
  <c r="AA173" i="1"/>
  <c r="S173" i="1"/>
  <c r="AI172" i="1"/>
  <c r="AK172" i="1" s="1"/>
  <c r="AE172" i="1"/>
  <c r="AB172" i="1"/>
  <c r="AM173" i="1" s="1"/>
  <c r="AL173" i="1" s="1"/>
  <c r="AA172" i="1"/>
  <c r="S172" i="1"/>
  <c r="AK171" i="1"/>
  <c r="AI171" i="1"/>
  <c r="AJ171" i="1" s="1"/>
  <c r="AE171" i="1"/>
  <c r="AB171" i="1"/>
  <c r="AM172" i="1" s="1"/>
  <c r="AL172" i="1" s="1"/>
  <c r="AA171" i="1"/>
  <c r="S171" i="1"/>
  <c r="AE170" i="1"/>
  <c r="AB170" i="1"/>
  <c r="AM171" i="1" s="1"/>
  <c r="AL171" i="1" s="1"/>
  <c r="AA170" i="1"/>
  <c r="S170" i="1"/>
  <c r="AE169" i="1"/>
  <c r="AB169" i="1"/>
  <c r="AI170" i="1" s="1"/>
  <c r="AA169" i="1"/>
  <c r="S169" i="1"/>
  <c r="AE168" i="1"/>
  <c r="AB168" i="1"/>
  <c r="AA168" i="1"/>
  <c r="S168" i="1"/>
  <c r="T168" i="1" s="1"/>
  <c r="U168" i="1" s="1"/>
  <c r="Q168" i="1"/>
  <c r="AI168" i="1" s="1"/>
  <c r="P168" i="1"/>
  <c r="G168" i="1"/>
  <c r="AI167" i="1"/>
  <c r="AK167" i="1" s="1"/>
  <c r="AE167" i="1"/>
  <c r="AB167" i="1"/>
  <c r="AA167" i="1"/>
  <c r="S167" i="1"/>
  <c r="AK166" i="1"/>
  <c r="AI166" i="1"/>
  <c r="AJ166" i="1" s="1"/>
  <c r="AE166" i="1"/>
  <c r="AB166" i="1"/>
  <c r="AM167" i="1" s="1"/>
  <c r="AL167" i="1" s="1"/>
  <c r="AA166" i="1"/>
  <c r="S166" i="1"/>
  <c r="AE165" i="1"/>
  <c r="AB165" i="1"/>
  <c r="AM166" i="1" s="1"/>
  <c r="AL166" i="1" s="1"/>
  <c r="AA165" i="1"/>
  <c r="S165" i="1"/>
  <c r="AE164" i="1"/>
  <c r="AB164" i="1"/>
  <c r="AI165" i="1" s="1"/>
  <c r="AA164" i="1"/>
  <c r="S164" i="1"/>
  <c r="AE163" i="1"/>
  <c r="AB163" i="1"/>
  <c r="AA163" i="1"/>
  <c r="S163" i="1"/>
  <c r="AE162" i="1"/>
  <c r="AB162" i="1"/>
  <c r="AA162" i="1"/>
  <c r="S162" i="1"/>
  <c r="T162" i="1" s="1"/>
  <c r="U162" i="1" s="1"/>
  <c r="P162" i="1"/>
  <c r="Q162" i="1" s="1"/>
  <c r="AI162" i="1" s="1"/>
  <c r="G162" i="1"/>
  <c r="AM24" i="42" l="1"/>
  <c r="AL24" i="42" s="1"/>
  <c r="AM26" i="42"/>
  <c r="AL26" i="42" s="1"/>
  <c r="AI25" i="42"/>
  <c r="AI27" i="42"/>
  <c r="AJ27" i="42" s="1"/>
  <c r="AI61" i="40"/>
  <c r="AK61" i="40" s="1"/>
  <c r="AI59" i="40"/>
  <c r="AK59" i="40" s="1"/>
  <c r="AI60" i="40"/>
  <c r="AI73" i="40"/>
  <c r="AK73" i="40" s="1"/>
  <c r="AI69" i="40"/>
  <c r="AM70" i="40"/>
  <c r="AL70" i="40" s="1"/>
  <c r="AI72" i="40"/>
  <c r="AJ72" i="40" s="1"/>
  <c r="AM74" i="40"/>
  <c r="AL74" i="40" s="1"/>
  <c r="AJ23" i="42"/>
  <c r="AK23" i="42"/>
  <c r="AN27" i="42"/>
  <c r="AJ24" i="42"/>
  <c r="AM22" i="42"/>
  <c r="AL22" i="42" s="1"/>
  <c r="AI26" i="42"/>
  <c r="AM23" i="42"/>
  <c r="AL23" i="42" s="1"/>
  <c r="AK27" i="42"/>
  <c r="AI22" i="42"/>
  <c r="AK69" i="40"/>
  <c r="AJ69" i="40"/>
  <c r="AK72" i="40"/>
  <c r="AI70" i="40"/>
  <c r="AM72" i="40"/>
  <c r="AL72" i="40" s="1"/>
  <c r="AI74" i="40"/>
  <c r="V69" i="40"/>
  <c r="AM69" i="40"/>
  <c r="AL69" i="40" s="1"/>
  <c r="AI71" i="40"/>
  <c r="AN143" i="1"/>
  <c r="AN154" i="1"/>
  <c r="V150" i="1"/>
  <c r="AM145" i="1"/>
  <c r="AL145" i="1" s="1"/>
  <c r="AN140" i="1"/>
  <c r="AM19" i="41"/>
  <c r="AL16" i="41"/>
  <c r="AK16" i="41" s="1"/>
  <c r="AI18" i="41"/>
  <c r="AJ18" i="41"/>
  <c r="U16" i="41"/>
  <c r="AL17" i="41"/>
  <c r="AK17" i="41" s="1"/>
  <c r="AJ19" i="41"/>
  <c r="AH17" i="41"/>
  <c r="AH21" i="41"/>
  <c r="P16" i="41"/>
  <c r="AH16" i="41"/>
  <c r="AL18" i="41"/>
  <c r="AK18" i="41" s="1"/>
  <c r="AH20" i="41"/>
  <c r="AK57" i="40"/>
  <c r="AJ57" i="40"/>
  <c r="V57" i="40"/>
  <c r="AJ60" i="40"/>
  <c r="AN60" i="40" s="1"/>
  <c r="AK60" i="40"/>
  <c r="AM58" i="40"/>
  <c r="AL58" i="40" s="1"/>
  <c r="AI58" i="40"/>
  <c r="AI62" i="40"/>
  <c r="AM59" i="40"/>
  <c r="AL59" i="40" s="1"/>
  <c r="AM57" i="40"/>
  <c r="AL57" i="40" s="1"/>
  <c r="AM61" i="40"/>
  <c r="AL61" i="40" s="1"/>
  <c r="AK138" i="1"/>
  <c r="AI139" i="1" s="1"/>
  <c r="AJ138" i="1"/>
  <c r="AN138" i="1" s="1"/>
  <c r="AK155" i="1"/>
  <c r="AJ155" i="1"/>
  <c r="AN155" i="1" s="1"/>
  <c r="AJ153" i="1"/>
  <c r="AK153" i="1"/>
  <c r="AK158" i="1"/>
  <c r="AJ158" i="1"/>
  <c r="AJ148" i="1"/>
  <c r="AK148" i="1"/>
  <c r="AJ144" i="1"/>
  <c r="AN144" i="1" s="1"/>
  <c r="AK144" i="1"/>
  <c r="AI145" i="1" s="1"/>
  <c r="AN149" i="1"/>
  <c r="V156" i="1"/>
  <c r="U156" i="1"/>
  <c r="AN159" i="1"/>
  <c r="AJ150" i="1"/>
  <c r="AK150" i="1"/>
  <c r="AK152" i="1"/>
  <c r="AJ152" i="1"/>
  <c r="V138" i="1"/>
  <c r="AM139" i="1"/>
  <c r="AL139" i="1" s="1"/>
  <c r="AI141" i="1"/>
  <c r="AI146" i="1"/>
  <c r="AM148" i="1"/>
  <c r="AL148" i="1" s="1"/>
  <c r="AK149" i="1"/>
  <c r="AI151" i="1"/>
  <c r="AM153" i="1"/>
  <c r="AL153" i="1" s="1"/>
  <c r="AK154" i="1"/>
  <c r="AI156" i="1"/>
  <c r="AM158" i="1"/>
  <c r="AL158" i="1" s="1"/>
  <c r="AK140" i="1"/>
  <c r="AJ160" i="1"/>
  <c r="AN160" i="1" s="1"/>
  <c r="AM152" i="1"/>
  <c r="AL152" i="1" s="1"/>
  <c r="V144" i="1"/>
  <c r="AI142" i="1"/>
  <c r="AI147" i="1"/>
  <c r="AM150" i="1"/>
  <c r="AL150" i="1" s="1"/>
  <c r="AI157" i="1"/>
  <c r="AI161" i="1"/>
  <c r="AM156" i="1"/>
  <c r="AL156" i="1" s="1"/>
  <c r="AK165" i="1"/>
  <c r="AJ165" i="1"/>
  <c r="AJ162" i="1"/>
  <c r="AK162" i="1"/>
  <c r="AI163" i="1" s="1"/>
  <c r="AN166" i="1"/>
  <c r="V168" i="1"/>
  <c r="AK170" i="1"/>
  <c r="AJ170" i="1"/>
  <c r="AK168" i="1"/>
  <c r="AJ168" i="1"/>
  <c r="AN171" i="1"/>
  <c r="AM170" i="1"/>
  <c r="AL170" i="1" s="1"/>
  <c r="AJ167" i="1"/>
  <c r="AN167" i="1" s="1"/>
  <c r="AJ172" i="1"/>
  <c r="AN172" i="1" s="1"/>
  <c r="AM165" i="1"/>
  <c r="AL165" i="1" s="1"/>
  <c r="V162" i="1"/>
  <c r="AM162" i="1"/>
  <c r="AL162" i="1" s="1"/>
  <c r="AI169" i="1"/>
  <c r="AI173" i="1"/>
  <c r="AM168" i="1"/>
  <c r="AL168" i="1" s="1"/>
  <c r="AN24" i="42" l="1"/>
  <c r="AJ25" i="42"/>
  <c r="AN25" i="42" s="1"/>
  <c r="AK25" i="42"/>
  <c r="AJ61" i="40"/>
  <c r="AJ59" i="40"/>
  <c r="AN59" i="40" s="1"/>
  <c r="AJ73" i="40"/>
  <c r="AN73" i="40" s="1"/>
  <c r="AN72" i="40"/>
  <c r="AN23" i="42"/>
  <c r="AJ26" i="42"/>
  <c r="AN26" i="42" s="1"/>
  <c r="AK26" i="42"/>
  <c r="AK22" i="42"/>
  <c r="AJ22" i="42"/>
  <c r="AN22" i="42" s="1"/>
  <c r="AK71" i="40"/>
  <c r="AJ71" i="40"/>
  <c r="AN71" i="40" s="1"/>
  <c r="AN69" i="40"/>
  <c r="AK74" i="40"/>
  <c r="AJ74" i="40"/>
  <c r="AN74" i="40" s="1"/>
  <c r="AK70" i="40"/>
  <c r="AJ70" i="40"/>
  <c r="AN70" i="40" s="1"/>
  <c r="AN57" i="40"/>
  <c r="AN61" i="40"/>
  <c r="AN150" i="1"/>
  <c r="AN158" i="1"/>
  <c r="AM18" i="41"/>
  <c r="AJ16" i="41"/>
  <c r="AI16" i="41"/>
  <c r="AM16" i="41" s="1"/>
  <c r="AJ17" i="41"/>
  <c r="AI17" i="41"/>
  <c r="AM17" i="41" s="1"/>
  <c r="AJ21" i="41"/>
  <c r="AI21" i="41"/>
  <c r="AM21" i="41" s="1"/>
  <c r="AJ20" i="41"/>
  <c r="AI20" i="41"/>
  <c r="AM20" i="41" s="1"/>
  <c r="AK62" i="40"/>
  <c r="AJ62" i="40"/>
  <c r="AN62" i="40" s="1"/>
  <c r="AK58" i="40"/>
  <c r="AJ58" i="40"/>
  <c r="AN58" i="40" s="1"/>
  <c r="AK157" i="1"/>
  <c r="AJ157" i="1"/>
  <c r="AN157" i="1" s="1"/>
  <c r="AK141" i="1"/>
  <c r="AJ141" i="1"/>
  <c r="AN141" i="1" s="1"/>
  <c r="AK146" i="1"/>
  <c r="AJ146" i="1"/>
  <c r="AN146" i="1" s="1"/>
  <c r="AN153" i="1"/>
  <c r="AK147" i="1"/>
  <c r="AJ147" i="1"/>
  <c r="AN147" i="1" s="1"/>
  <c r="AN152" i="1"/>
  <c r="AJ145" i="1"/>
  <c r="AN145" i="1" s="1"/>
  <c r="AK145" i="1"/>
  <c r="AK161" i="1"/>
  <c r="AJ161" i="1"/>
  <c r="AN161" i="1" s="1"/>
  <c r="AK156" i="1"/>
  <c r="AJ156" i="1"/>
  <c r="AN156" i="1" s="1"/>
  <c r="AK142" i="1"/>
  <c r="AJ142" i="1"/>
  <c r="AN142" i="1" s="1"/>
  <c r="AK151" i="1"/>
  <c r="AJ151" i="1"/>
  <c r="AN151" i="1" s="1"/>
  <c r="AN148" i="1"/>
  <c r="AJ139" i="1"/>
  <c r="AN139" i="1" s="1"/>
  <c r="AK139" i="1"/>
  <c r="AN168" i="1"/>
  <c r="AM169" i="1"/>
  <c r="AL169" i="1" s="1"/>
  <c r="AK163" i="1"/>
  <c r="AI164" i="1" s="1"/>
  <c r="AJ163" i="1"/>
  <c r="AK173" i="1"/>
  <c r="AJ173" i="1"/>
  <c r="AN173" i="1" s="1"/>
  <c r="AN170" i="1"/>
  <c r="AN162" i="1"/>
  <c r="AK169" i="1"/>
  <c r="AJ169" i="1"/>
  <c r="AN165" i="1"/>
  <c r="AM163" i="1"/>
  <c r="AN169" i="1" l="1"/>
  <c r="AK164" i="1"/>
  <c r="AJ164" i="1"/>
  <c r="AL163" i="1"/>
  <c r="AN163" i="1" s="1"/>
  <c r="AM164" i="1"/>
  <c r="AL164" i="1" s="1"/>
  <c r="AN164" i="1" l="1"/>
  <c r="AE69" i="42" l="1"/>
  <c r="AB69" i="42"/>
  <c r="AA69" i="42"/>
  <c r="AE68" i="42"/>
  <c r="AB68" i="42"/>
  <c r="AM69" i="42" s="1"/>
  <c r="AL69" i="42" s="1"/>
  <c r="AA68" i="42"/>
  <c r="AE67" i="42"/>
  <c r="AB67" i="42"/>
  <c r="AA67" i="42"/>
  <c r="AI66" i="42"/>
  <c r="AK66" i="42" s="1"/>
  <c r="AE66" i="42"/>
  <c r="AB66" i="42"/>
  <c r="AM67" i="42" s="1"/>
  <c r="AL67" i="42" s="1"/>
  <c r="AA66" i="42"/>
  <c r="AE65" i="42"/>
  <c r="AB65" i="42"/>
  <c r="AM66" i="42" s="1"/>
  <c r="AL66" i="42" s="1"/>
  <c r="AA65" i="42"/>
  <c r="AE64" i="42"/>
  <c r="AB64" i="42"/>
  <c r="AM65" i="42" s="1"/>
  <c r="AL65" i="42" s="1"/>
  <c r="AA64" i="42"/>
  <c r="S64" i="42"/>
  <c r="T64" i="42" s="1"/>
  <c r="U64" i="42" s="1"/>
  <c r="P64" i="42"/>
  <c r="G64" i="42"/>
  <c r="AE63" i="42"/>
  <c r="AB63" i="42"/>
  <c r="AA63" i="42"/>
  <c r="AE62" i="42"/>
  <c r="AB62" i="42"/>
  <c r="AA62" i="42"/>
  <c r="AI61" i="42"/>
  <c r="AK61" i="42" s="1"/>
  <c r="AE61" i="42"/>
  <c r="AB61" i="42"/>
  <c r="AA61" i="42"/>
  <c r="AE60" i="42"/>
  <c r="AB60" i="42"/>
  <c r="AM61" i="42" s="1"/>
  <c r="AL61" i="42" s="1"/>
  <c r="AA60" i="42"/>
  <c r="AE59" i="42"/>
  <c r="AB59" i="42"/>
  <c r="AI60" i="42" s="1"/>
  <c r="AJ60" i="42" s="1"/>
  <c r="AA59" i="42"/>
  <c r="AE58" i="42"/>
  <c r="AB58" i="42"/>
  <c r="AA58" i="42"/>
  <c r="S58" i="42"/>
  <c r="T58" i="42" s="1"/>
  <c r="U58" i="42" s="1"/>
  <c r="P58" i="42"/>
  <c r="G58" i="42"/>
  <c r="AE57" i="42"/>
  <c r="AB57" i="42"/>
  <c r="AI57" i="42" s="1"/>
  <c r="AA57" i="42"/>
  <c r="AE56" i="42"/>
  <c r="AB56" i="42"/>
  <c r="AA56" i="42"/>
  <c r="AE55" i="42"/>
  <c r="AB55" i="42"/>
  <c r="AI56" i="42" s="1"/>
  <c r="AA55" i="42"/>
  <c r="AE54" i="42"/>
  <c r="AB54" i="42"/>
  <c r="AA54" i="42"/>
  <c r="AE53" i="42"/>
  <c r="AB53" i="42"/>
  <c r="AI54" i="42" s="1"/>
  <c r="AA53" i="42"/>
  <c r="AM52" i="42"/>
  <c r="AL52" i="42" s="1"/>
  <c r="AI52" i="42"/>
  <c r="AK52" i="42" s="1"/>
  <c r="AE52" i="42"/>
  <c r="AB52" i="42"/>
  <c r="AA52" i="42"/>
  <c r="S52" i="42"/>
  <c r="T52" i="42" s="1"/>
  <c r="U52" i="42" s="1"/>
  <c r="P52" i="42"/>
  <c r="G52" i="42"/>
  <c r="AE51" i="42"/>
  <c r="AB51" i="42"/>
  <c r="AI51" i="42" s="1"/>
  <c r="AK51" i="42" s="1"/>
  <c r="AA51" i="42"/>
  <c r="AE50" i="42"/>
  <c r="AB50" i="42"/>
  <c r="AA50" i="42"/>
  <c r="AE49" i="42"/>
  <c r="AB49" i="42"/>
  <c r="AI50" i="42" s="1"/>
  <c r="AJ50" i="42" s="1"/>
  <c r="AA49" i="42"/>
  <c r="AE48" i="42"/>
  <c r="AB48" i="42"/>
  <c r="AA48" i="42"/>
  <c r="AE47" i="42"/>
  <c r="AB47" i="42"/>
  <c r="AM48" i="42" s="1"/>
  <c r="AL48" i="42" s="1"/>
  <c r="AA47" i="42"/>
  <c r="AM46" i="42"/>
  <c r="AL46" i="42" s="1"/>
  <c r="AI46" i="42"/>
  <c r="AJ46" i="42" s="1"/>
  <c r="AE46" i="42"/>
  <c r="AB46" i="42"/>
  <c r="AI47" i="42" s="1"/>
  <c r="AA46" i="42"/>
  <c r="S46" i="42"/>
  <c r="T46" i="42" s="1"/>
  <c r="P46" i="42"/>
  <c r="Q46" i="42" s="1"/>
  <c r="G46" i="42"/>
  <c r="AE45" i="42"/>
  <c r="AB45" i="42"/>
  <c r="AA45" i="42"/>
  <c r="AE44" i="42"/>
  <c r="AB44" i="42"/>
  <c r="AM45" i="42" s="1"/>
  <c r="AL45" i="42" s="1"/>
  <c r="AA44" i="42"/>
  <c r="AE43" i="42"/>
  <c r="AB43" i="42"/>
  <c r="AA43" i="42"/>
  <c r="AE42" i="42"/>
  <c r="AB42" i="42"/>
  <c r="AA42" i="42"/>
  <c r="AE41" i="42"/>
  <c r="AB41" i="42"/>
  <c r="AM42" i="42" s="1"/>
  <c r="AL42" i="42" s="1"/>
  <c r="AA41" i="42"/>
  <c r="AE40" i="42"/>
  <c r="AB40" i="42"/>
  <c r="AM41" i="42" s="1"/>
  <c r="AL41" i="42" s="1"/>
  <c r="AA40" i="42"/>
  <c r="S40" i="42"/>
  <c r="T40" i="42" s="1"/>
  <c r="U40" i="42" s="1"/>
  <c r="P40" i="42"/>
  <c r="G40" i="42"/>
  <c r="AE39" i="42"/>
  <c r="AB39" i="42"/>
  <c r="AA39" i="42"/>
  <c r="AE38" i="42"/>
  <c r="AB38" i="42"/>
  <c r="AM39" i="42" s="1"/>
  <c r="AL39" i="42" s="1"/>
  <c r="AA38" i="42"/>
  <c r="AE37" i="42"/>
  <c r="AB37" i="42"/>
  <c r="AM38" i="42" s="1"/>
  <c r="AL38" i="42" s="1"/>
  <c r="AA37" i="42"/>
  <c r="AM36" i="42"/>
  <c r="AL36" i="42" s="1"/>
  <c r="AE36" i="42"/>
  <c r="AB36" i="42"/>
  <c r="AA36" i="42"/>
  <c r="AE35" i="42"/>
  <c r="AB35" i="42"/>
  <c r="AI36" i="42" s="1"/>
  <c r="AA35" i="42"/>
  <c r="AE34" i="42"/>
  <c r="AB34" i="42"/>
  <c r="AI35" i="42" s="1"/>
  <c r="AA34" i="42"/>
  <c r="S34" i="42"/>
  <c r="T34" i="42" s="1"/>
  <c r="U34" i="42" s="1"/>
  <c r="P34" i="42"/>
  <c r="Q34" i="42" s="1"/>
  <c r="G34" i="42"/>
  <c r="AE33" i="42"/>
  <c r="AB33" i="42"/>
  <c r="AM33" i="42" s="1"/>
  <c r="AL33" i="42" s="1"/>
  <c r="AA33" i="42"/>
  <c r="AE32" i="42"/>
  <c r="AB32" i="42"/>
  <c r="AA32" i="42"/>
  <c r="AE31" i="42"/>
  <c r="AB31" i="42"/>
  <c r="AI31" i="42" s="1"/>
  <c r="AJ31" i="42" s="1"/>
  <c r="AA31" i="42"/>
  <c r="AE30" i="42"/>
  <c r="AB30" i="42"/>
  <c r="AA30" i="42"/>
  <c r="AE29" i="42"/>
  <c r="AB29" i="42"/>
  <c r="AM30" i="42" s="1"/>
  <c r="AL30" i="42" s="1"/>
  <c r="AA29" i="42"/>
  <c r="AE28" i="42"/>
  <c r="AB28" i="42"/>
  <c r="AM29" i="42" s="1"/>
  <c r="AL29" i="42" s="1"/>
  <c r="AA28" i="42"/>
  <c r="T28" i="42"/>
  <c r="P28" i="42"/>
  <c r="Q28" i="42" s="1"/>
  <c r="G28" i="42"/>
  <c r="AE21" i="42"/>
  <c r="AB21" i="42"/>
  <c r="AA21" i="42"/>
  <c r="AE20" i="42"/>
  <c r="AB20" i="42"/>
  <c r="AI21" i="42" s="1"/>
  <c r="AJ21" i="42" s="1"/>
  <c r="AA20" i="42"/>
  <c r="AE19" i="42"/>
  <c r="AB19" i="42"/>
  <c r="AA19" i="42"/>
  <c r="AI18" i="42"/>
  <c r="AK18" i="42" s="1"/>
  <c r="AE18" i="42"/>
  <c r="AB18" i="42"/>
  <c r="AM19" i="42" s="1"/>
  <c r="AL19" i="42" s="1"/>
  <c r="AA18" i="42"/>
  <c r="AE17" i="42"/>
  <c r="AB17" i="42"/>
  <c r="AM18" i="42" s="1"/>
  <c r="AL18" i="42" s="1"/>
  <c r="AA17" i="42"/>
  <c r="AE16" i="42"/>
  <c r="AM17" i="42"/>
  <c r="AL17" i="42" s="1"/>
  <c r="S16" i="42"/>
  <c r="T16" i="42" s="1"/>
  <c r="U16" i="42" s="1"/>
  <c r="P16" i="42"/>
  <c r="G16" i="42"/>
  <c r="AE15" i="42"/>
  <c r="AB15" i="42"/>
  <c r="AA15" i="42"/>
  <c r="AE14" i="42"/>
  <c r="AB14" i="42"/>
  <c r="AA14" i="42"/>
  <c r="AE13" i="42"/>
  <c r="AB13" i="42"/>
  <c r="AA13" i="42"/>
  <c r="AE12" i="42"/>
  <c r="AB12" i="42"/>
  <c r="AA12" i="42"/>
  <c r="AE11" i="42"/>
  <c r="AB11" i="42"/>
  <c r="AI12" i="42" s="1"/>
  <c r="AJ12" i="42" s="1"/>
  <c r="AA11" i="42"/>
  <c r="AE10" i="42"/>
  <c r="AB10" i="42"/>
  <c r="AM11" i="42" s="1"/>
  <c r="AL11" i="42" s="1"/>
  <c r="AA10" i="42"/>
  <c r="S10" i="42"/>
  <c r="T10" i="42" s="1"/>
  <c r="U10" i="42" s="1"/>
  <c r="P10" i="42"/>
  <c r="G10" i="42"/>
  <c r="AD69" i="41"/>
  <c r="AA69" i="41"/>
  <c r="Z69" i="41"/>
  <c r="R69" i="41"/>
  <c r="AD68" i="41"/>
  <c r="AA68" i="41"/>
  <c r="Z68" i="41"/>
  <c r="R68" i="41"/>
  <c r="AH67" i="41"/>
  <c r="AI67" i="41" s="1"/>
  <c r="AD67" i="41"/>
  <c r="AA67" i="41"/>
  <c r="Z67" i="41"/>
  <c r="R67" i="41"/>
  <c r="AD66" i="41"/>
  <c r="AA66" i="41"/>
  <c r="Z66" i="41"/>
  <c r="R66" i="41"/>
  <c r="AD65" i="41"/>
  <c r="AA65" i="41"/>
  <c r="Z65" i="41"/>
  <c r="R65" i="41"/>
  <c r="AD64" i="41"/>
  <c r="AA64" i="41"/>
  <c r="AL65" i="41" s="1"/>
  <c r="AK65" i="41" s="1"/>
  <c r="Z64" i="41"/>
  <c r="R64" i="41"/>
  <c r="S64" i="41" s="1"/>
  <c r="O64" i="41"/>
  <c r="P64" i="41" s="1"/>
  <c r="G64" i="41"/>
  <c r="R53" i="41" s="1"/>
  <c r="AD63" i="41"/>
  <c r="AA63" i="41"/>
  <c r="Z63" i="41"/>
  <c r="R63" i="41"/>
  <c r="AH62" i="41"/>
  <c r="AI62" i="41" s="1"/>
  <c r="AD62" i="41"/>
  <c r="AA62" i="41"/>
  <c r="AL63" i="41" s="1"/>
  <c r="AK63" i="41" s="1"/>
  <c r="Z62" i="41"/>
  <c r="R62" i="41"/>
  <c r="AD61" i="41"/>
  <c r="AA61" i="41"/>
  <c r="Z61" i="41"/>
  <c r="R61" i="41"/>
  <c r="AD60" i="41"/>
  <c r="AA60" i="41"/>
  <c r="Z60" i="41"/>
  <c r="R60" i="41"/>
  <c r="AD59" i="41"/>
  <c r="AA59" i="41"/>
  <c r="Z59" i="41"/>
  <c r="R59" i="41"/>
  <c r="AD58" i="41"/>
  <c r="AA58" i="41"/>
  <c r="AL59" i="41" s="1"/>
  <c r="AK59" i="41" s="1"/>
  <c r="Z58" i="41"/>
  <c r="R58" i="41"/>
  <c r="S58" i="41" s="1"/>
  <c r="T58" i="41" s="1"/>
  <c r="O58" i="41"/>
  <c r="G58" i="41"/>
  <c r="AD57" i="41"/>
  <c r="AA57" i="41"/>
  <c r="Z57" i="41"/>
  <c r="R57" i="41"/>
  <c r="AD56" i="41"/>
  <c r="AA56" i="41"/>
  <c r="Z56" i="41"/>
  <c r="R56" i="41"/>
  <c r="AD55" i="41"/>
  <c r="AA55" i="41"/>
  <c r="AH56" i="41" s="1"/>
  <c r="Z55" i="41"/>
  <c r="R55" i="41"/>
  <c r="AD54" i="41"/>
  <c r="AA54" i="41"/>
  <c r="Z54" i="41"/>
  <c r="R54" i="41"/>
  <c r="AD53" i="41"/>
  <c r="AA53" i="41"/>
  <c r="AL54" i="41" s="1"/>
  <c r="AK54" i="41" s="1"/>
  <c r="Z53" i="41"/>
  <c r="AD52" i="41"/>
  <c r="AA52" i="41"/>
  <c r="Z52" i="41"/>
  <c r="R52" i="41"/>
  <c r="S52" i="41" s="1"/>
  <c r="T52" i="41" s="1"/>
  <c r="O52" i="41"/>
  <c r="P52" i="41" s="1"/>
  <c r="G52" i="41"/>
  <c r="R41" i="41" s="1"/>
  <c r="AD51" i="41"/>
  <c r="AA51" i="41"/>
  <c r="Z51" i="41"/>
  <c r="R51" i="41"/>
  <c r="AD50" i="41"/>
  <c r="AA50" i="41"/>
  <c r="AL51" i="41" s="1"/>
  <c r="AK51" i="41" s="1"/>
  <c r="Z50" i="41"/>
  <c r="R50" i="41"/>
  <c r="AD49" i="41"/>
  <c r="AA49" i="41"/>
  <c r="Z49" i="41"/>
  <c r="R49" i="41"/>
  <c r="AD48" i="41"/>
  <c r="AA48" i="41"/>
  <c r="AL49" i="41" s="1"/>
  <c r="AK49" i="41" s="1"/>
  <c r="Z48" i="41"/>
  <c r="R48" i="41"/>
  <c r="AD47" i="41"/>
  <c r="AA47" i="41"/>
  <c r="AH48" i="41" s="1"/>
  <c r="AI48" i="41" s="1"/>
  <c r="Z47" i="41"/>
  <c r="R47" i="41"/>
  <c r="AD46" i="41"/>
  <c r="AA46" i="41"/>
  <c r="AL46" i="41" s="1"/>
  <c r="AK46" i="41" s="1"/>
  <c r="Z46" i="41"/>
  <c r="R46" i="41"/>
  <c r="S46" i="41" s="1"/>
  <c r="O46" i="41"/>
  <c r="P46" i="41" s="1"/>
  <c r="G46" i="41"/>
  <c r="R35" i="41" s="1"/>
  <c r="AD45" i="41"/>
  <c r="AA45" i="41"/>
  <c r="Z45" i="41"/>
  <c r="R45" i="41"/>
  <c r="AD44" i="41"/>
  <c r="AA44" i="41"/>
  <c r="Z44" i="41"/>
  <c r="R44" i="41"/>
  <c r="AD43" i="41"/>
  <c r="AA43" i="41"/>
  <c r="Z43" i="41"/>
  <c r="R43" i="41"/>
  <c r="AD42" i="41"/>
  <c r="AA42" i="41"/>
  <c r="AL43" i="41" s="1"/>
  <c r="AK43" i="41" s="1"/>
  <c r="Z42" i="41"/>
  <c r="R42" i="41"/>
  <c r="AD41" i="41"/>
  <c r="AA41" i="41"/>
  <c r="Z41" i="41"/>
  <c r="AH40" i="41"/>
  <c r="AJ40" i="41" s="1"/>
  <c r="AD40" i="41"/>
  <c r="AA40" i="41"/>
  <c r="AL41" i="41" s="1"/>
  <c r="AK41" i="41" s="1"/>
  <c r="Z40" i="41"/>
  <c r="R40" i="41"/>
  <c r="S40" i="41" s="1"/>
  <c r="O40" i="41"/>
  <c r="P40" i="41" s="1"/>
  <c r="G40" i="41"/>
  <c r="R29" i="41" s="1"/>
  <c r="AD39" i="41"/>
  <c r="AA39" i="41"/>
  <c r="Z39" i="41"/>
  <c r="R39" i="41"/>
  <c r="AD38" i="41"/>
  <c r="AA38" i="41"/>
  <c r="Z38" i="41"/>
  <c r="R38" i="41"/>
  <c r="AD37" i="41"/>
  <c r="AA37" i="41"/>
  <c r="Z37" i="41"/>
  <c r="R37" i="41"/>
  <c r="AD36" i="41"/>
  <c r="AA36" i="41"/>
  <c r="Z36" i="41"/>
  <c r="R36" i="41"/>
  <c r="AD35" i="41"/>
  <c r="AA35" i="41"/>
  <c r="Z35" i="41"/>
  <c r="AH34" i="41"/>
  <c r="AI34" i="41" s="1"/>
  <c r="AD34" i="41"/>
  <c r="AA34" i="41"/>
  <c r="Z34" i="41"/>
  <c r="R34" i="41"/>
  <c r="S34" i="41" s="1"/>
  <c r="T34" i="41" s="1"/>
  <c r="O34" i="41"/>
  <c r="P34" i="41" s="1"/>
  <c r="G34" i="41"/>
  <c r="R23" i="41" s="1"/>
  <c r="AD33" i="41"/>
  <c r="AA33" i="41"/>
  <c r="Z33" i="41"/>
  <c r="R33" i="41"/>
  <c r="AD32" i="41"/>
  <c r="AA32" i="41"/>
  <c r="AL33" i="41" s="1"/>
  <c r="AK33" i="41" s="1"/>
  <c r="Z32" i="41"/>
  <c r="R32" i="41"/>
  <c r="AD31" i="41"/>
  <c r="AA31" i="41"/>
  <c r="Z31" i="41"/>
  <c r="R31" i="41"/>
  <c r="AD30" i="41"/>
  <c r="AA30" i="41"/>
  <c r="Z30" i="41"/>
  <c r="R30" i="41"/>
  <c r="AD29" i="41"/>
  <c r="AA29" i="41"/>
  <c r="Z29" i="41"/>
  <c r="AL28" i="41"/>
  <c r="AK28" i="41" s="1"/>
  <c r="AH28" i="41"/>
  <c r="AI28" i="41" s="1"/>
  <c r="AD28" i="41"/>
  <c r="AA28" i="41"/>
  <c r="Z28" i="41"/>
  <c r="R28" i="41"/>
  <c r="S28" i="41" s="1"/>
  <c r="T28" i="41" s="1"/>
  <c r="O28" i="41"/>
  <c r="P28" i="41" s="1"/>
  <c r="G28" i="41"/>
  <c r="R17" i="41" s="1"/>
  <c r="AD27" i="41"/>
  <c r="AA27" i="41"/>
  <c r="Z27" i="41"/>
  <c r="R27" i="41"/>
  <c r="AD26" i="41"/>
  <c r="AA26" i="41"/>
  <c r="Z26" i="41"/>
  <c r="R26" i="41"/>
  <c r="AD25" i="41"/>
  <c r="AA25" i="41"/>
  <c r="Z25" i="41"/>
  <c r="R25" i="41"/>
  <c r="AD24" i="41"/>
  <c r="AA24" i="41"/>
  <c r="AL25" i="41" s="1"/>
  <c r="AK25" i="41" s="1"/>
  <c r="Z24" i="41"/>
  <c r="R24" i="41"/>
  <c r="AD23" i="41"/>
  <c r="AA23" i="41"/>
  <c r="AL24" i="41" s="1"/>
  <c r="AK24" i="41" s="1"/>
  <c r="Z23" i="41"/>
  <c r="AD22" i="41"/>
  <c r="AA22" i="41"/>
  <c r="AL22" i="41" s="1"/>
  <c r="AK22" i="41" s="1"/>
  <c r="Z22" i="41"/>
  <c r="R22" i="41"/>
  <c r="S22" i="41" s="1"/>
  <c r="O22" i="41"/>
  <c r="P22" i="41" s="1"/>
  <c r="G22" i="41"/>
  <c r="R11" i="41" s="1"/>
  <c r="AD15" i="41"/>
  <c r="AA15" i="41"/>
  <c r="Z15" i="41"/>
  <c r="R15" i="41"/>
  <c r="AD14" i="41"/>
  <c r="AA14" i="41"/>
  <c r="Z14" i="41"/>
  <c r="R14" i="41"/>
  <c r="AD13" i="41"/>
  <c r="AA13" i="41"/>
  <c r="AH14" i="41" s="1"/>
  <c r="Z13" i="41"/>
  <c r="R13" i="41"/>
  <c r="AD12" i="41"/>
  <c r="AA12" i="41"/>
  <c r="AH13" i="41" s="1"/>
  <c r="Z12" i="41"/>
  <c r="R12" i="41"/>
  <c r="AD11" i="41"/>
  <c r="AA11" i="41"/>
  <c r="AL12" i="41" s="1"/>
  <c r="AK12" i="41" s="1"/>
  <c r="Z11" i="41"/>
  <c r="AD10" i="41"/>
  <c r="AA10" i="41"/>
  <c r="Z10" i="41"/>
  <c r="R10" i="41"/>
  <c r="S10" i="41" s="1"/>
  <c r="T10" i="41" s="1"/>
  <c r="O10" i="41"/>
  <c r="G10" i="41"/>
  <c r="AE68" i="40"/>
  <c r="AB68" i="40"/>
  <c r="AA68" i="40"/>
  <c r="S68" i="40"/>
  <c r="AE67" i="40"/>
  <c r="AB67" i="40"/>
  <c r="AA67" i="40"/>
  <c r="S67" i="40"/>
  <c r="AE66" i="40"/>
  <c r="AB66" i="40"/>
  <c r="AA66" i="40"/>
  <c r="S66" i="40"/>
  <c r="AE65" i="40"/>
  <c r="AB65" i="40"/>
  <c r="AA65" i="40"/>
  <c r="S65" i="40"/>
  <c r="AE64" i="40"/>
  <c r="AB64" i="40"/>
  <c r="AM65" i="40" s="1"/>
  <c r="AL65" i="40" s="1"/>
  <c r="AA64" i="40"/>
  <c r="S64" i="40"/>
  <c r="AE63" i="40"/>
  <c r="AB63" i="40"/>
  <c r="AA63" i="40"/>
  <c r="S63" i="40"/>
  <c r="T63" i="40" s="1"/>
  <c r="U63" i="40" s="1"/>
  <c r="P63" i="40"/>
  <c r="Q63" i="40" s="1"/>
  <c r="G63" i="40"/>
  <c r="S52" i="40" s="1"/>
  <c r="AE56" i="40"/>
  <c r="AB56" i="40"/>
  <c r="AA56" i="40"/>
  <c r="S56" i="40"/>
  <c r="AE55" i="40"/>
  <c r="AB55" i="40"/>
  <c r="AA55" i="40"/>
  <c r="S55" i="40"/>
  <c r="AE54" i="40"/>
  <c r="AB54" i="40"/>
  <c r="AA54" i="40"/>
  <c r="S54" i="40"/>
  <c r="AE53" i="40"/>
  <c r="AB53" i="40"/>
  <c r="AA53" i="40"/>
  <c r="S53" i="40"/>
  <c r="AE52" i="40"/>
  <c r="AB52" i="40"/>
  <c r="AA52" i="40"/>
  <c r="AE51" i="40"/>
  <c r="AB51" i="40"/>
  <c r="AA51" i="40"/>
  <c r="S51" i="40"/>
  <c r="T51" i="40" s="1"/>
  <c r="U51" i="40" s="1"/>
  <c r="AM51" i="40" s="1"/>
  <c r="AL51" i="40" s="1"/>
  <c r="P51" i="40"/>
  <c r="G51" i="40"/>
  <c r="AE50" i="40"/>
  <c r="AB50" i="40"/>
  <c r="AA50" i="40"/>
  <c r="S50" i="40"/>
  <c r="AE49" i="40"/>
  <c r="AB49" i="40"/>
  <c r="AM50" i="40" s="1"/>
  <c r="AL50" i="40" s="1"/>
  <c r="AA49" i="40"/>
  <c r="S49" i="40"/>
  <c r="AE48" i="40"/>
  <c r="AB48" i="40"/>
  <c r="AA48" i="40"/>
  <c r="S48" i="40"/>
  <c r="AE47" i="40"/>
  <c r="AB47" i="40"/>
  <c r="AM48" i="40" s="1"/>
  <c r="AL48" i="40" s="1"/>
  <c r="AA47" i="40"/>
  <c r="S47" i="40"/>
  <c r="AE46" i="40"/>
  <c r="AB46" i="40"/>
  <c r="AA46" i="40"/>
  <c r="S46" i="40"/>
  <c r="AE45" i="40"/>
  <c r="AB45" i="40"/>
  <c r="AA45" i="40"/>
  <c r="S45" i="40"/>
  <c r="T45" i="40" s="1"/>
  <c r="P45" i="40"/>
  <c r="Q45" i="40" s="1"/>
  <c r="G45" i="40"/>
  <c r="S34" i="40" s="1"/>
  <c r="AE44" i="40"/>
  <c r="AB44" i="40"/>
  <c r="AA44" i="40"/>
  <c r="S44" i="40"/>
  <c r="AE43" i="40"/>
  <c r="AB43" i="40"/>
  <c r="AA43" i="40"/>
  <c r="S43" i="40"/>
  <c r="AE42" i="40"/>
  <c r="AB42" i="40"/>
  <c r="AM43" i="40" s="1"/>
  <c r="AL43" i="40" s="1"/>
  <c r="AA42" i="40"/>
  <c r="S42" i="40"/>
  <c r="AE41" i="40"/>
  <c r="AB41" i="40"/>
  <c r="AI42" i="40" s="1"/>
  <c r="AK42" i="40" s="1"/>
  <c r="AA41" i="40"/>
  <c r="S41" i="40"/>
  <c r="AE40" i="40"/>
  <c r="AB40" i="40"/>
  <c r="AM41" i="40" s="1"/>
  <c r="AL41" i="40" s="1"/>
  <c r="AA40" i="40"/>
  <c r="S40" i="40"/>
  <c r="AE39" i="40"/>
  <c r="AB39" i="40"/>
  <c r="AA39" i="40"/>
  <c r="S39" i="40"/>
  <c r="T39" i="40" s="1"/>
  <c r="U39" i="40" s="1"/>
  <c r="P39" i="40"/>
  <c r="Q39" i="40" s="1"/>
  <c r="G39" i="40"/>
  <c r="S28" i="40" s="1"/>
  <c r="AE38" i="40"/>
  <c r="AB38" i="40"/>
  <c r="AA38" i="40"/>
  <c r="S38" i="40"/>
  <c r="AE37" i="40"/>
  <c r="AB37" i="40"/>
  <c r="AM38" i="40" s="1"/>
  <c r="AL38" i="40" s="1"/>
  <c r="AA37" i="40"/>
  <c r="S37" i="40"/>
  <c r="AE36" i="40"/>
  <c r="AB36" i="40"/>
  <c r="AM37" i="40" s="1"/>
  <c r="AL37" i="40" s="1"/>
  <c r="AA36" i="40"/>
  <c r="S36" i="40"/>
  <c r="AE35" i="40"/>
  <c r="AB35" i="40"/>
  <c r="AA35" i="40"/>
  <c r="S35" i="40"/>
  <c r="AE34" i="40"/>
  <c r="AB34" i="40"/>
  <c r="AA34" i="40"/>
  <c r="AE33" i="40"/>
  <c r="AB33" i="40"/>
  <c r="AI33" i="40" s="1"/>
  <c r="AK33" i="40" s="1"/>
  <c r="AA33" i="40"/>
  <c r="S33" i="40"/>
  <c r="T33" i="40" s="1"/>
  <c r="U33" i="40" s="1"/>
  <c r="P33" i="40"/>
  <c r="Q33" i="40" s="1"/>
  <c r="G33" i="40"/>
  <c r="AE32" i="40"/>
  <c r="AB32" i="40"/>
  <c r="AA32" i="40"/>
  <c r="S32" i="40"/>
  <c r="AE31" i="40"/>
  <c r="AB31" i="40"/>
  <c r="AA31" i="40"/>
  <c r="S31" i="40"/>
  <c r="AE30" i="40"/>
  <c r="AB30" i="40"/>
  <c r="AA30" i="40"/>
  <c r="S30" i="40"/>
  <c r="AE29" i="40"/>
  <c r="AB29" i="40"/>
  <c r="AI29" i="40" s="1"/>
  <c r="AA29" i="40"/>
  <c r="S29" i="40"/>
  <c r="AE28" i="40"/>
  <c r="AB28" i="40"/>
  <c r="AA28" i="40"/>
  <c r="AE27" i="40"/>
  <c r="AB27" i="40"/>
  <c r="AA27" i="40"/>
  <c r="S27" i="40"/>
  <c r="T27" i="40" s="1"/>
  <c r="U27" i="40" s="1"/>
  <c r="AM27" i="40" s="1"/>
  <c r="AL27" i="40" s="1"/>
  <c r="P27" i="40"/>
  <c r="G27" i="40"/>
  <c r="S16" i="40" s="1"/>
  <c r="AE26" i="40"/>
  <c r="AB26" i="40"/>
  <c r="AA26" i="40"/>
  <c r="S26" i="40"/>
  <c r="AE25" i="40"/>
  <c r="AB25" i="40"/>
  <c r="AA25" i="40"/>
  <c r="S25" i="40"/>
  <c r="AE24" i="40"/>
  <c r="AB24" i="40"/>
  <c r="AI24" i="40" s="1"/>
  <c r="AA24" i="40"/>
  <c r="S24" i="40"/>
  <c r="AE23" i="40"/>
  <c r="AB23" i="40"/>
  <c r="AA23" i="40"/>
  <c r="S23" i="40"/>
  <c r="AE22" i="40"/>
  <c r="AB22" i="40"/>
  <c r="AA22" i="40"/>
  <c r="S22" i="40"/>
  <c r="AE21" i="40"/>
  <c r="AB21" i="40"/>
  <c r="AA21" i="40"/>
  <c r="S21" i="40"/>
  <c r="T21" i="40" s="1"/>
  <c r="P21" i="40"/>
  <c r="Q21" i="40" s="1"/>
  <c r="G21" i="40"/>
  <c r="S10" i="40" s="1"/>
  <c r="AE20" i="40"/>
  <c r="AB20" i="40"/>
  <c r="AA20" i="40"/>
  <c r="S20" i="40"/>
  <c r="AE19" i="40"/>
  <c r="AB19" i="40"/>
  <c r="AM20" i="40" s="1"/>
  <c r="AL20" i="40" s="1"/>
  <c r="AA19" i="40"/>
  <c r="S19" i="40"/>
  <c r="AE18" i="40"/>
  <c r="AB18" i="40"/>
  <c r="AA18" i="40"/>
  <c r="S18" i="40"/>
  <c r="AE17" i="40"/>
  <c r="AB17" i="40"/>
  <c r="AI18" i="40" s="1"/>
  <c r="AK18" i="40" s="1"/>
  <c r="AA17" i="40"/>
  <c r="S17" i="40"/>
  <c r="AE16" i="40"/>
  <c r="AB16" i="40"/>
  <c r="AA16" i="40"/>
  <c r="AE15" i="40"/>
  <c r="AB15" i="40"/>
  <c r="AA15" i="40"/>
  <c r="S15" i="40"/>
  <c r="T15" i="40" s="1"/>
  <c r="U15" i="40" s="1"/>
  <c r="P15" i="40"/>
  <c r="Q15" i="40" s="1"/>
  <c r="G15" i="40"/>
  <c r="AE14" i="40"/>
  <c r="AB14" i="40"/>
  <c r="AA14" i="40"/>
  <c r="S14" i="40"/>
  <c r="AE13" i="40"/>
  <c r="AB13" i="40"/>
  <c r="AI13" i="40" s="1"/>
  <c r="AK13" i="40" s="1"/>
  <c r="AA13" i="40"/>
  <c r="S13" i="40"/>
  <c r="AE12" i="40"/>
  <c r="AB12" i="40"/>
  <c r="AA12" i="40"/>
  <c r="S12" i="40"/>
  <c r="AE11" i="40"/>
  <c r="AB11" i="40"/>
  <c r="AA11" i="40"/>
  <c r="S11" i="40"/>
  <c r="AE10" i="40"/>
  <c r="AB10" i="40"/>
  <c r="AA10" i="40"/>
  <c r="AE9" i="40"/>
  <c r="AB9" i="40"/>
  <c r="AA9" i="40"/>
  <c r="S9" i="40"/>
  <c r="T9" i="40" s="1"/>
  <c r="U9" i="40" s="1"/>
  <c r="P9" i="40"/>
  <c r="Q9" i="40" s="1"/>
  <c r="AI9" i="40" s="1"/>
  <c r="G9" i="40"/>
  <c r="AL29" i="41" l="1"/>
  <c r="AK29" i="41" s="1"/>
  <c r="AJ28" i="41"/>
  <c r="AL44" i="41"/>
  <c r="AK44" i="41" s="1"/>
  <c r="AL62" i="41"/>
  <c r="AK62" i="41" s="1"/>
  <c r="AM62" i="41" s="1"/>
  <c r="AL67" i="41"/>
  <c r="AK67" i="41" s="1"/>
  <c r="AM67" i="41" s="1"/>
  <c r="AH64" i="41"/>
  <c r="AJ64" i="41" s="1"/>
  <c r="AL35" i="41"/>
  <c r="AK35" i="41" s="1"/>
  <c r="AH37" i="41"/>
  <c r="AL39" i="41"/>
  <c r="AK39" i="41" s="1"/>
  <c r="AL48" i="41"/>
  <c r="AK48" i="41" s="1"/>
  <c r="AL57" i="41"/>
  <c r="AK57" i="41" s="1"/>
  <c r="AL50" i="41"/>
  <c r="AK50" i="41" s="1"/>
  <c r="AL53" i="41"/>
  <c r="AK53" i="41" s="1"/>
  <c r="AL15" i="41"/>
  <c r="AK15" i="41" s="1"/>
  <c r="AM13" i="40"/>
  <c r="AL13" i="40" s="1"/>
  <c r="AI14" i="40"/>
  <c r="AM17" i="40"/>
  <c r="AL17" i="40" s="1"/>
  <c r="AM32" i="40"/>
  <c r="AL32" i="40" s="1"/>
  <c r="AM47" i="40"/>
  <c r="AL47" i="40" s="1"/>
  <c r="AM53" i="40"/>
  <c r="AL53" i="40" s="1"/>
  <c r="AM55" i="40"/>
  <c r="AL55" i="40" s="1"/>
  <c r="AI56" i="40"/>
  <c r="AK56" i="40" s="1"/>
  <c r="AM66" i="40"/>
  <c r="AL66" i="40" s="1"/>
  <c r="AI67" i="40"/>
  <c r="AI63" i="40"/>
  <c r="AM19" i="40"/>
  <c r="AL19" i="40" s="1"/>
  <c r="AI43" i="40"/>
  <c r="AK43" i="40" s="1"/>
  <c r="AM12" i="40"/>
  <c r="AL12" i="40" s="1"/>
  <c r="AM14" i="40"/>
  <c r="AL14" i="40" s="1"/>
  <c r="AI38" i="40"/>
  <c r="AK38" i="40" s="1"/>
  <c r="AI66" i="40"/>
  <c r="AK66" i="40" s="1"/>
  <c r="AI15" i="40"/>
  <c r="AK15" i="40" s="1"/>
  <c r="AM18" i="40"/>
  <c r="AL18" i="40" s="1"/>
  <c r="AM29" i="40"/>
  <c r="AL29" i="40" s="1"/>
  <c r="AM31" i="40"/>
  <c r="AL31" i="40" s="1"/>
  <c r="AM36" i="40"/>
  <c r="AL36" i="40" s="1"/>
  <c r="AI47" i="40"/>
  <c r="AK47" i="40" s="1"/>
  <c r="AI53" i="40"/>
  <c r="AM56" i="40"/>
  <c r="AL56" i="40" s="1"/>
  <c r="AI32" i="40"/>
  <c r="AK32" i="40" s="1"/>
  <c r="AI37" i="40"/>
  <c r="AK37" i="40" s="1"/>
  <c r="AM24" i="40"/>
  <c r="AL24" i="40" s="1"/>
  <c r="AM26" i="40"/>
  <c r="AL26" i="40" s="1"/>
  <c r="AI39" i="40"/>
  <c r="AK39" i="40" s="1"/>
  <c r="AI40" i="40" s="1"/>
  <c r="AM42" i="40"/>
  <c r="AL42" i="40" s="1"/>
  <c r="AI48" i="40"/>
  <c r="AK48" i="40" s="1"/>
  <c r="AM67" i="40"/>
  <c r="AL67" i="40" s="1"/>
  <c r="V51" i="40"/>
  <c r="V27" i="40"/>
  <c r="U28" i="41"/>
  <c r="AM52" i="40"/>
  <c r="AL52" i="40" s="1"/>
  <c r="AM48" i="41"/>
  <c r="V16" i="42"/>
  <c r="V64" i="42"/>
  <c r="U46" i="42"/>
  <c r="V46" i="42"/>
  <c r="AK47" i="42"/>
  <c r="AJ47" i="42"/>
  <c r="AJ57" i="42"/>
  <c r="AK57" i="42"/>
  <c r="AK56" i="42"/>
  <c r="AJ56" i="42"/>
  <c r="V58" i="42"/>
  <c r="AJ18" i="42"/>
  <c r="AN18" i="42" s="1"/>
  <c r="AI29" i="42"/>
  <c r="AI38" i="42"/>
  <c r="AM49" i="42"/>
  <c r="AL49" i="42" s="1"/>
  <c r="AM51" i="42"/>
  <c r="AL51" i="42" s="1"/>
  <c r="V52" i="42"/>
  <c r="AM56" i="42"/>
  <c r="AL56" i="42" s="1"/>
  <c r="Q58" i="42"/>
  <c r="AJ66" i="42"/>
  <c r="AN66" i="42" s="1"/>
  <c r="AI28" i="42"/>
  <c r="AI37" i="42"/>
  <c r="AM55" i="42"/>
  <c r="AL55" i="42" s="1"/>
  <c r="V10" i="42"/>
  <c r="AI33" i="42"/>
  <c r="AK33" i="42" s="1"/>
  <c r="AI48" i="42"/>
  <c r="Q10" i="42"/>
  <c r="AI10" i="42" s="1"/>
  <c r="AJ10" i="42" s="1"/>
  <c r="Q16" i="42"/>
  <c r="V34" i="42"/>
  <c r="AI44" i="42"/>
  <c r="AI53" i="42"/>
  <c r="AM57" i="42"/>
  <c r="AL57" i="42" s="1"/>
  <c r="Q64" i="42"/>
  <c r="AI15" i="42"/>
  <c r="AK15" i="42" s="1"/>
  <c r="AM20" i="42"/>
  <c r="AL20" i="42" s="1"/>
  <c r="AM21" i="42"/>
  <c r="AL21" i="42" s="1"/>
  <c r="AN21" i="42" s="1"/>
  <c r="AM28" i="42"/>
  <c r="AL28" i="42" s="1"/>
  <c r="AM37" i="42"/>
  <c r="AL37" i="42" s="1"/>
  <c r="AI55" i="42"/>
  <c r="AM59" i="42"/>
  <c r="AL59" i="42" s="1"/>
  <c r="AI63" i="42"/>
  <c r="AM68" i="42"/>
  <c r="AL68" i="42" s="1"/>
  <c r="AM13" i="42"/>
  <c r="AL13" i="42" s="1"/>
  <c r="AI17" i="42"/>
  <c r="AJ17" i="42" s="1"/>
  <c r="AN17" i="42" s="1"/>
  <c r="AI19" i="42"/>
  <c r="AM32" i="42"/>
  <c r="AL32" i="42" s="1"/>
  <c r="AI41" i="42"/>
  <c r="AJ41" i="42" s="1"/>
  <c r="AI45" i="42"/>
  <c r="AK46" i="42"/>
  <c r="AM47" i="42"/>
  <c r="AL47" i="42" s="1"/>
  <c r="AI58" i="42"/>
  <c r="AI65" i="42"/>
  <c r="AJ65" i="42" s="1"/>
  <c r="AN65" i="42" s="1"/>
  <c r="AI67" i="42"/>
  <c r="AI69" i="42"/>
  <c r="AK69" i="42" s="1"/>
  <c r="AI14" i="41"/>
  <c r="AJ14" i="41"/>
  <c r="T46" i="41"/>
  <c r="U46" i="41"/>
  <c r="AH32" i="41"/>
  <c r="AJ32" i="41" s="1"/>
  <c r="AL38" i="41"/>
  <c r="AK38" i="41" s="1"/>
  <c r="AJ67" i="41"/>
  <c r="AH24" i="41"/>
  <c r="AM28" i="41"/>
  <c r="AH35" i="41"/>
  <c r="AJ35" i="41" s="1"/>
  <c r="AH43" i="41"/>
  <c r="U52" i="41"/>
  <c r="AH54" i="41"/>
  <c r="AJ54" i="41" s="1"/>
  <c r="AH58" i="41"/>
  <c r="U10" i="41"/>
  <c r="AL27" i="41"/>
  <c r="AK27" i="41" s="1"/>
  <c r="AH33" i="41"/>
  <c r="AH49" i="41"/>
  <c r="AJ49" i="41" s="1"/>
  <c r="AL56" i="41"/>
  <c r="AK56" i="41" s="1"/>
  <c r="U58" i="41"/>
  <c r="AH61" i="41"/>
  <c r="AJ61" i="41" s="1"/>
  <c r="AH63" i="41"/>
  <c r="AJ63" i="41" s="1"/>
  <c r="AH15" i="41"/>
  <c r="AJ15" i="41" s="1"/>
  <c r="AL31" i="41"/>
  <c r="AK31" i="41" s="1"/>
  <c r="AH53" i="41"/>
  <c r="P58" i="41"/>
  <c r="AL69" i="41"/>
  <c r="AK69" i="41" s="1"/>
  <c r="AL26" i="41"/>
  <c r="AK26" i="41" s="1"/>
  <c r="AL30" i="41"/>
  <c r="AK30" i="41" s="1"/>
  <c r="AH30" i="41"/>
  <c r="AJ30" i="41" s="1"/>
  <c r="U34" i="41"/>
  <c r="AJ34" i="41"/>
  <c r="AL45" i="41"/>
  <c r="AK45" i="41" s="1"/>
  <c r="AJ48" i="41"/>
  <c r="AH51" i="41"/>
  <c r="AJ51" i="41" s="1"/>
  <c r="AH52" i="41"/>
  <c r="AL60" i="41"/>
  <c r="AK60" i="41" s="1"/>
  <c r="AJ62" i="41"/>
  <c r="AH66" i="41"/>
  <c r="AL68" i="41"/>
  <c r="AK68" i="41" s="1"/>
  <c r="AH68" i="41"/>
  <c r="AJ68" i="41" s="1"/>
  <c r="AH39" i="41"/>
  <c r="AJ39" i="41" s="1"/>
  <c r="AH38" i="41"/>
  <c r="P10" i="41"/>
  <c r="AH10" i="41" s="1"/>
  <c r="AL14" i="41"/>
  <c r="AK14" i="41" s="1"/>
  <c r="AH25" i="41"/>
  <c r="AJ25" i="41" s="1"/>
  <c r="AH29" i="41"/>
  <c r="AL36" i="41"/>
  <c r="AK36" i="41" s="1"/>
  <c r="AH42" i="41"/>
  <c r="AJ42" i="41" s="1"/>
  <c r="AH44" i="41"/>
  <c r="AJ44" i="41" s="1"/>
  <c r="AL52" i="41"/>
  <c r="AK52" i="41" s="1"/>
  <c r="AL55" i="41"/>
  <c r="AK55" i="41" s="1"/>
  <c r="AH57" i="41"/>
  <c r="AH59" i="41"/>
  <c r="AJ59" i="41" s="1"/>
  <c r="AJ36" i="42"/>
  <c r="AN36" i="42" s="1"/>
  <c r="AK36" i="42"/>
  <c r="AK54" i="42"/>
  <c r="AJ54" i="42"/>
  <c r="AK44" i="42"/>
  <c r="AJ44" i="42"/>
  <c r="AK53" i="42"/>
  <c r="AJ53" i="42"/>
  <c r="AJ55" i="42"/>
  <c r="AK55" i="42"/>
  <c r="AK63" i="42"/>
  <c r="AJ63" i="42"/>
  <c r="U28" i="42"/>
  <c r="V28" i="42"/>
  <c r="AK35" i="42"/>
  <c r="AJ35" i="42"/>
  <c r="AN46" i="42"/>
  <c r="V40" i="42"/>
  <c r="AN41" i="42"/>
  <c r="AJ45" i="42"/>
  <c r="AN45" i="42" s="1"/>
  <c r="AK45" i="42"/>
  <c r="AM34" i="42"/>
  <c r="AL34" i="42" s="1"/>
  <c r="AM53" i="42"/>
  <c r="AL53" i="42" s="1"/>
  <c r="AM62" i="42"/>
  <c r="AL62" i="42" s="1"/>
  <c r="AM14" i="42"/>
  <c r="AL14" i="42" s="1"/>
  <c r="AM43" i="42"/>
  <c r="AL43" i="42" s="1"/>
  <c r="AI11" i="42"/>
  <c r="AM15" i="42"/>
  <c r="AL15" i="42" s="1"/>
  <c r="AM16" i="42"/>
  <c r="AL16" i="42" s="1"/>
  <c r="AI20" i="42"/>
  <c r="AI30" i="42"/>
  <c r="AM35" i="42"/>
  <c r="AL35" i="42" s="1"/>
  <c r="AI39" i="42"/>
  <c r="Q40" i="42"/>
  <c r="AI40" i="42"/>
  <c r="AM44" i="42"/>
  <c r="AL44" i="42" s="1"/>
  <c r="AI49" i="42"/>
  <c r="AM54" i="42"/>
  <c r="AL54" i="42" s="1"/>
  <c r="AI59" i="42"/>
  <c r="AM63" i="42"/>
  <c r="AL63" i="42" s="1"/>
  <c r="AM64" i="42"/>
  <c r="AL64" i="42" s="1"/>
  <c r="AI68" i="42"/>
  <c r="AM10" i="42"/>
  <c r="AL10" i="42" s="1"/>
  <c r="AK12" i="42"/>
  <c r="AI14" i="42"/>
  <c r="AK21" i="42"/>
  <c r="AK31" i="42"/>
  <c r="AI34" i="42"/>
  <c r="AK41" i="42"/>
  <c r="AI43" i="42"/>
  <c r="AK50" i="42"/>
  <c r="AJ51" i="42"/>
  <c r="AN51" i="42" s="1"/>
  <c r="AJ52" i="42"/>
  <c r="AN52" i="42" s="1"/>
  <c r="AM58" i="42"/>
  <c r="AL58" i="42" s="1"/>
  <c r="AK60" i="42"/>
  <c r="AJ61" i="42"/>
  <c r="AN61" i="42" s="1"/>
  <c r="AI62" i="42"/>
  <c r="AI16" i="42"/>
  <c r="AM40" i="42"/>
  <c r="AL40" i="42" s="1"/>
  <c r="AI64" i="42"/>
  <c r="AI32" i="42"/>
  <c r="AI42" i="42"/>
  <c r="AM12" i="42"/>
  <c r="AL12" i="42" s="1"/>
  <c r="AN12" i="42" s="1"/>
  <c r="AM31" i="42"/>
  <c r="AL31" i="42" s="1"/>
  <c r="AN31" i="42" s="1"/>
  <c r="AM50" i="42"/>
  <c r="AL50" i="42" s="1"/>
  <c r="AN50" i="42" s="1"/>
  <c r="AM60" i="42"/>
  <c r="AL60" i="42" s="1"/>
  <c r="AN60" i="42" s="1"/>
  <c r="AI13" i="42"/>
  <c r="Q52" i="42"/>
  <c r="AJ13" i="41"/>
  <c r="AI13" i="41"/>
  <c r="AJ37" i="41"/>
  <c r="AI37" i="41"/>
  <c r="AJ66" i="41"/>
  <c r="AI66" i="41"/>
  <c r="AJ56" i="41"/>
  <c r="AI56" i="41"/>
  <c r="U22" i="41"/>
  <c r="T22" i="41"/>
  <c r="U64" i="41"/>
  <c r="T64" i="41"/>
  <c r="AI10" i="41"/>
  <c r="AJ10" i="41"/>
  <c r="U40" i="41"/>
  <c r="T40" i="41"/>
  <c r="AL61" i="41"/>
  <c r="AK61" i="41" s="1"/>
  <c r="AL66" i="41"/>
  <c r="AK66" i="41" s="1"/>
  <c r="AI15" i="41"/>
  <c r="AI25" i="41"/>
  <c r="AM25" i="41" s="1"/>
  <c r="AI39" i="41"/>
  <c r="AI40" i="41"/>
  <c r="AI44" i="41"/>
  <c r="AM44" i="41" s="1"/>
  <c r="AI49" i="41"/>
  <c r="AM49" i="41" s="1"/>
  <c r="AI54" i="41"/>
  <c r="AM54" i="41" s="1"/>
  <c r="AI68" i="41"/>
  <c r="AL32" i="41"/>
  <c r="AK32" i="41" s="1"/>
  <c r="AL10" i="41"/>
  <c r="AK10" i="41" s="1"/>
  <c r="AH12" i="41"/>
  <c r="AH22" i="41"/>
  <c r="AH26" i="41"/>
  <c r="AH31" i="41"/>
  <c r="AL34" i="41"/>
  <c r="AK34" i="41" s="1"/>
  <c r="AM34" i="41" s="1"/>
  <c r="AH36" i="41"/>
  <c r="AH41" i="41"/>
  <c r="AH45" i="41"/>
  <c r="AH46" i="41"/>
  <c r="AH50" i="41"/>
  <c r="AH55" i="41"/>
  <c r="AL58" i="41"/>
  <c r="AK58" i="41" s="1"/>
  <c r="AH60" i="41"/>
  <c r="AH65" i="41"/>
  <c r="AH69" i="41"/>
  <c r="AL13" i="41"/>
  <c r="AK13" i="41" s="1"/>
  <c r="AL37" i="41"/>
  <c r="AK37" i="41" s="1"/>
  <c r="AL42" i="41"/>
  <c r="AK42" i="41" s="1"/>
  <c r="AL47" i="41"/>
  <c r="AK47" i="41" s="1"/>
  <c r="AH23" i="41"/>
  <c r="AH27" i="41"/>
  <c r="AL40" i="41"/>
  <c r="AK40" i="41" s="1"/>
  <c r="AH47" i="41"/>
  <c r="AL64" i="41"/>
  <c r="AK64" i="41" s="1"/>
  <c r="AL23" i="41"/>
  <c r="AK23" i="41" s="1"/>
  <c r="AK14" i="40"/>
  <c r="AJ14" i="40"/>
  <c r="AJ39" i="40"/>
  <c r="AJ48" i="40"/>
  <c r="AN48" i="40" s="1"/>
  <c r="AK29" i="40"/>
  <c r="AJ29" i="40"/>
  <c r="V33" i="40"/>
  <c r="AI34" i="40"/>
  <c r="AJ43" i="40"/>
  <c r="AN43" i="40" s="1"/>
  <c r="U45" i="40"/>
  <c r="AM45" i="40" s="1"/>
  <c r="AL45" i="40" s="1"/>
  <c r="V45" i="40"/>
  <c r="AK9" i="40"/>
  <c r="AJ9" i="40"/>
  <c r="AJ67" i="40"/>
  <c r="AK67" i="40"/>
  <c r="AM28" i="40"/>
  <c r="AL28" i="40" s="1"/>
  <c r="AJ38" i="40"/>
  <c r="AN38" i="40" s="1"/>
  <c r="V9" i="40"/>
  <c r="AJ24" i="40"/>
  <c r="AK24" i="40"/>
  <c r="AJ15" i="40"/>
  <c r="AI10" i="40"/>
  <c r="U21" i="40"/>
  <c r="AM21" i="40" s="1"/>
  <c r="AL21" i="40" s="1"/>
  <c r="V21" i="40"/>
  <c r="AJ53" i="40"/>
  <c r="AN53" i="40" s="1"/>
  <c r="AK53" i="40"/>
  <c r="AJ63" i="40"/>
  <c r="AK63" i="40"/>
  <c r="AM11" i="40"/>
  <c r="AL11" i="40" s="1"/>
  <c r="AM64" i="40"/>
  <c r="AL64" i="40" s="1"/>
  <c r="AM68" i="40"/>
  <c r="AL68" i="40" s="1"/>
  <c r="AJ18" i="40"/>
  <c r="AN18" i="40" s="1"/>
  <c r="AM9" i="40"/>
  <c r="AL9" i="40" s="1"/>
  <c r="AI11" i="40"/>
  <c r="AI16" i="40"/>
  <c r="AI20" i="40"/>
  <c r="AI21" i="40"/>
  <c r="AI25" i="40"/>
  <c r="AI30" i="40"/>
  <c r="AM33" i="40"/>
  <c r="AL33" i="40" s="1"/>
  <c r="AI44" i="40"/>
  <c r="AI45" i="40"/>
  <c r="AI49" i="40"/>
  <c r="AI54" i="40"/>
  <c r="AI64" i="40"/>
  <c r="AI68" i="40"/>
  <c r="AM16" i="40"/>
  <c r="AL16" i="40" s="1"/>
  <c r="AI12" i="40"/>
  <c r="V15" i="40"/>
  <c r="AM15" i="40"/>
  <c r="AL15" i="40" s="1"/>
  <c r="AI17" i="40"/>
  <c r="AI26" i="40"/>
  <c r="Q27" i="40"/>
  <c r="AI27" i="40" s="1"/>
  <c r="AI31" i="40"/>
  <c r="AI36" i="40"/>
  <c r="V39" i="40"/>
  <c r="AM39" i="40"/>
  <c r="AL39" i="40" s="1"/>
  <c r="AI41" i="40"/>
  <c r="AI50" i="40"/>
  <c r="Q51" i="40"/>
  <c r="AI51" i="40" s="1"/>
  <c r="AI55" i="40"/>
  <c r="V63" i="40"/>
  <c r="AM63" i="40"/>
  <c r="AL63" i="40" s="1"/>
  <c r="AI65" i="40"/>
  <c r="AM30" i="40"/>
  <c r="AL30" i="40" s="1"/>
  <c r="AM49" i="40"/>
  <c r="AL49" i="40" s="1"/>
  <c r="AM54" i="40"/>
  <c r="AL54" i="40" s="1"/>
  <c r="AJ13" i="40"/>
  <c r="AN13" i="40" s="1"/>
  <c r="AJ33" i="40"/>
  <c r="AJ42" i="40"/>
  <c r="AN42" i="40" s="1"/>
  <c r="AJ56" i="40"/>
  <c r="AJ66" i="40"/>
  <c r="AN66" i="40" s="1"/>
  <c r="AM25" i="40"/>
  <c r="AL25" i="40" s="1"/>
  <c r="AM44" i="40"/>
  <c r="AL44" i="40" s="1"/>
  <c r="AI19" i="40"/>
  <c r="AE137" i="1"/>
  <c r="AB137" i="1"/>
  <c r="AI137" i="1" s="1"/>
  <c r="AA137" i="1"/>
  <c r="S137" i="1"/>
  <c r="AE136" i="1"/>
  <c r="AB136" i="1"/>
  <c r="AM137" i="1" s="1"/>
  <c r="AL137" i="1" s="1"/>
  <c r="AA136" i="1"/>
  <c r="S136" i="1"/>
  <c r="AE135" i="1"/>
  <c r="AB135" i="1"/>
  <c r="AM136" i="1" s="1"/>
  <c r="AL136" i="1" s="1"/>
  <c r="AA135" i="1"/>
  <c r="S135" i="1"/>
  <c r="AE134" i="1"/>
  <c r="AB134" i="1"/>
  <c r="AI135" i="1" s="1"/>
  <c r="AA134" i="1"/>
  <c r="S134" i="1"/>
  <c r="AE133" i="1"/>
  <c r="AB133" i="1"/>
  <c r="AM134" i="1" s="1"/>
  <c r="AL134" i="1" s="1"/>
  <c r="AA133" i="1"/>
  <c r="S133" i="1"/>
  <c r="AE132" i="1"/>
  <c r="AB132" i="1"/>
  <c r="AA132" i="1"/>
  <c r="U132" i="1"/>
  <c r="S132" i="1"/>
  <c r="P132" i="1"/>
  <c r="V132" i="1" s="1"/>
  <c r="G132" i="1"/>
  <c r="AE131" i="1"/>
  <c r="AB131" i="1"/>
  <c r="AA131" i="1"/>
  <c r="S131" i="1"/>
  <c r="AE130" i="1"/>
  <c r="AB130" i="1"/>
  <c r="AM131" i="1" s="1"/>
  <c r="AL131" i="1" s="1"/>
  <c r="AA130" i="1"/>
  <c r="S130" i="1"/>
  <c r="AE129" i="1"/>
  <c r="AB129" i="1"/>
  <c r="AI130" i="1" s="1"/>
  <c r="AA129" i="1"/>
  <c r="S129" i="1"/>
  <c r="AE128" i="1"/>
  <c r="AB128" i="1"/>
  <c r="AI129" i="1" s="1"/>
  <c r="AA128" i="1"/>
  <c r="S128" i="1"/>
  <c r="AE127" i="1"/>
  <c r="AB127" i="1"/>
  <c r="AM128" i="1" s="1"/>
  <c r="AL128" i="1" s="1"/>
  <c r="AA127" i="1"/>
  <c r="S127" i="1"/>
  <c r="AE126" i="1"/>
  <c r="AB126" i="1"/>
  <c r="AA126" i="1"/>
  <c r="S126" i="1"/>
  <c r="T126" i="1" s="1"/>
  <c r="U126" i="1" s="1"/>
  <c r="P126" i="1"/>
  <c r="Q126" i="1" s="1"/>
  <c r="AI126" i="1" s="1"/>
  <c r="G126" i="1"/>
  <c r="AM39" i="41" l="1"/>
  <c r="AI32" i="41"/>
  <c r="AI35" i="41"/>
  <c r="AM35" i="41" s="1"/>
  <c r="AI64" i="41"/>
  <c r="AI59" i="41"/>
  <c r="AM59" i="41" s="1"/>
  <c r="AM15" i="41"/>
  <c r="AJ32" i="40"/>
  <c r="AN32" i="40" s="1"/>
  <c r="AJ37" i="40"/>
  <c r="AN37" i="40" s="1"/>
  <c r="AJ47" i="40"/>
  <c r="AN47" i="40" s="1"/>
  <c r="AM56" i="41"/>
  <c r="AK17" i="42"/>
  <c r="AN67" i="40"/>
  <c r="AN14" i="40"/>
  <c r="AN29" i="40"/>
  <c r="AN24" i="40"/>
  <c r="AN56" i="42"/>
  <c r="AN56" i="40"/>
  <c r="AM68" i="41"/>
  <c r="AM37" i="41"/>
  <c r="AN55" i="42"/>
  <c r="AN54" i="42"/>
  <c r="AM14" i="41"/>
  <c r="AJ33" i="42"/>
  <c r="AN33" i="42" s="1"/>
  <c r="AJ67" i="42"/>
  <c r="AN67" i="42" s="1"/>
  <c r="AK67" i="42"/>
  <c r="AJ69" i="42"/>
  <c r="AN69" i="42" s="1"/>
  <c r="AK65" i="42"/>
  <c r="AJ15" i="42"/>
  <c r="AN15" i="42" s="1"/>
  <c r="AK10" i="42"/>
  <c r="AJ58" i="42"/>
  <c r="AN58" i="42" s="1"/>
  <c r="AK58" i="42"/>
  <c r="AJ19" i="42"/>
  <c r="AN19" i="42" s="1"/>
  <c r="AK19" i="42"/>
  <c r="AK37" i="42"/>
  <c r="AJ37" i="42"/>
  <c r="AN37" i="42" s="1"/>
  <c r="AJ38" i="42"/>
  <c r="AN38" i="42" s="1"/>
  <c r="AK38" i="42"/>
  <c r="AN57" i="42"/>
  <c r="AK28" i="42"/>
  <c r="AJ28" i="42"/>
  <c r="AN28" i="42" s="1"/>
  <c r="AJ29" i="42"/>
  <c r="AN29" i="42" s="1"/>
  <c r="AK29" i="42"/>
  <c r="AN47" i="42"/>
  <c r="AN35" i="42"/>
  <c r="AJ48" i="42"/>
  <c r="AN48" i="42" s="1"/>
  <c r="AK48" i="42"/>
  <c r="AI61" i="41"/>
  <c r="AM61" i="41" s="1"/>
  <c r="AI29" i="41"/>
  <c r="AM29" i="41" s="1"/>
  <c r="AJ29" i="41"/>
  <c r="AI43" i="41"/>
  <c r="AM43" i="41" s="1"/>
  <c r="AJ43" i="41"/>
  <c r="AI63" i="41"/>
  <c r="AM63" i="41" s="1"/>
  <c r="AI30" i="41"/>
  <c r="AM30" i="41" s="1"/>
  <c r="AI42" i="41"/>
  <c r="AI51" i="41"/>
  <c r="AM51" i="41" s="1"/>
  <c r="AI53" i="41"/>
  <c r="AM53" i="41" s="1"/>
  <c r="AJ53" i="41"/>
  <c r="AI33" i="41"/>
  <c r="AM33" i="41" s="1"/>
  <c r="AJ33" i="41"/>
  <c r="AI57" i="41"/>
  <c r="AM57" i="41" s="1"/>
  <c r="AJ57" i="41"/>
  <c r="AH11" i="41"/>
  <c r="AI24" i="41"/>
  <c r="AM24" i="41" s="1"/>
  <c r="AJ24" i="41"/>
  <c r="AM32" i="41"/>
  <c r="AI38" i="41"/>
  <c r="AM38" i="41" s="1"/>
  <c r="AJ38" i="41"/>
  <c r="AI52" i="41"/>
  <c r="AM52" i="41" s="1"/>
  <c r="AJ52" i="41"/>
  <c r="AI58" i="41"/>
  <c r="AM58" i="41" s="1"/>
  <c r="AJ58" i="41"/>
  <c r="AN44" i="42"/>
  <c r="AK42" i="42"/>
  <c r="AJ42" i="42"/>
  <c r="AN42" i="42" s="1"/>
  <c r="AJ68" i="42"/>
  <c r="AN68" i="42" s="1"/>
  <c r="AK68" i="42"/>
  <c r="AK11" i="42"/>
  <c r="AJ11" i="42"/>
  <c r="AN11" i="42" s="1"/>
  <c r="AK62" i="42"/>
  <c r="AJ62" i="42"/>
  <c r="AN62" i="42" s="1"/>
  <c r="AK40" i="42"/>
  <c r="AJ40" i="42"/>
  <c r="AN40" i="42" s="1"/>
  <c r="AK13" i="42"/>
  <c r="AJ13" i="42"/>
  <c r="AN13" i="42" s="1"/>
  <c r="AK64" i="42"/>
  <c r="AJ64" i="42"/>
  <c r="AN64" i="42" s="1"/>
  <c r="AJ59" i="42"/>
  <c r="AN59" i="42" s="1"/>
  <c r="AK59" i="42"/>
  <c r="AJ30" i="42"/>
  <c r="AN30" i="42" s="1"/>
  <c r="AK30" i="42"/>
  <c r="AK16" i="42"/>
  <c r="AJ16" i="42"/>
  <c r="AN16" i="42" s="1"/>
  <c r="AK14" i="42"/>
  <c r="AJ14" i="42"/>
  <c r="AN14" i="42" s="1"/>
  <c r="AN10" i="42"/>
  <c r="AK34" i="42"/>
  <c r="AJ34" i="42"/>
  <c r="AN34" i="42" s="1"/>
  <c r="AK32" i="42"/>
  <c r="AJ32" i="42"/>
  <c r="AN32" i="42" s="1"/>
  <c r="AK39" i="42"/>
  <c r="AJ39" i="42"/>
  <c r="AN39" i="42" s="1"/>
  <c r="AK43" i="42"/>
  <c r="AJ43" i="42"/>
  <c r="AN43" i="42" s="1"/>
  <c r="AK49" i="42"/>
  <c r="AJ49" i="42"/>
  <c r="AN49" i="42" s="1"/>
  <c r="AK20" i="42"/>
  <c r="AJ20" i="42"/>
  <c r="AN20" i="42" s="1"/>
  <c r="AN63" i="42"/>
  <c r="AN53" i="42"/>
  <c r="AJ69" i="41"/>
  <c r="AI69" i="41"/>
  <c r="AM69" i="41" s="1"/>
  <c r="AJ23" i="41"/>
  <c r="AI23" i="41"/>
  <c r="AM23" i="41" s="1"/>
  <c r="AM10" i="41"/>
  <c r="AJ60" i="41"/>
  <c r="AI60" i="41"/>
  <c r="AM60" i="41" s="1"/>
  <c r="AM40" i="41"/>
  <c r="AJ31" i="41"/>
  <c r="AI31" i="41"/>
  <c r="AM31" i="41" s="1"/>
  <c r="AM66" i="41"/>
  <c r="AM13" i="41"/>
  <c r="AJ55" i="41"/>
  <c r="AI55" i="41"/>
  <c r="AM55" i="41" s="1"/>
  <c r="AJ26" i="41"/>
  <c r="AI26" i="41"/>
  <c r="AM26" i="41" s="1"/>
  <c r="AM64" i="41"/>
  <c r="AJ12" i="41"/>
  <c r="AI12" i="41"/>
  <c r="AM12" i="41" s="1"/>
  <c r="AJ65" i="41"/>
  <c r="AI65" i="41"/>
  <c r="AM65" i="41" s="1"/>
  <c r="AJ50" i="41"/>
  <c r="AI50" i="41"/>
  <c r="AM50" i="41" s="1"/>
  <c r="AJ22" i="41"/>
  <c r="AI22" i="41"/>
  <c r="AM22" i="41" s="1"/>
  <c r="AL11" i="41"/>
  <c r="AK11" i="41" s="1"/>
  <c r="AJ47" i="41"/>
  <c r="AI47" i="41"/>
  <c r="AM47" i="41" s="1"/>
  <c r="AJ46" i="41"/>
  <c r="AI46" i="41"/>
  <c r="AM46" i="41" s="1"/>
  <c r="AM42" i="41"/>
  <c r="AJ27" i="41"/>
  <c r="AI27" i="41"/>
  <c r="AM27" i="41" s="1"/>
  <c r="AJ41" i="41"/>
  <c r="AI41" i="41"/>
  <c r="AM41" i="41" s="1"/>
  <c r="AJ36" i="41"/>
  <c r="AI36" i="41"/>
  <c r="AM36" i="41" s="1"/>
  <c r="AJ45" i="41"/>
  <c r="AI45" i="41"/>
  <c r="AM45" i="41" s="1"/>
  <c r="AM46" i="40"/>
  <c r="AL46" i="40" s="1"/>
  <c r="AN33" i="40"/>
  <c r="AK54" i="40"/>
  <c r="AJ54" i="40"/>
  <c r="AN54" i="40" s="1"/>
  <c r="AK25" i="40"/>
  <c r="AJ25" i="40"/>
  <c r="AN25" i="40" s="1"/>
  <c r="AJ34" i="40"/>
  <c r="AK34" i="40"/>
  <c r="AI35" i="40" s="1"/>
  <c r="AN39" i="40"/>
  <c r="AK64" i="40"/>
  <c r="AJ64" i="40"/>
  <c r="AN64" i="40" s="1"/>
  <c r="AJ65" i="40"/>
  <c r="AN65" i="40" s="1"/>
  <c r="AK65" i="40"/>
  <c r="AK36" i="40"/>
  <c r="AJ36" i="40"/>
  <c r="AN36" i="40" s="1"/>
  <c r="AJ12" i="40"/>
  <c r="AN12" i="40" s="1"/>
  <c r="AK12" i="40"/>
  <c r="AK49" i="40"/>
  <c r="AJ49" i="40"/>
  <c r="AN49" i="40" s="1"/>
  <c r="AK21" i="40"/>
  <c r="AI22" i="40" s="1"/>
  <c r="AJ21" i="40"/>
  <c r="AN21" i="40" s="1"/>
  <c r="AJ41" i="40"/>
  <c r="AN41" i="40" s="1"/>
  <c r="AK41" i="40"/>
  <c r="AM40" i="40"/>
  <c r="AL40" i="40" s="1"/>
  <c r="AJ55" i="40"/>
  <c r="AN55" i="40" s="1"/>
  <c r="AK55" i="40"/>
  <c r="AK31" i="40"/>
  <c r="AJ31" i="40"/>
  <c r="AN31" i="40" s="1"/>
  <c r="AK45" i="40"/>
  <c r="AI46" i="40" s="1"/>
  <c r="AJ45" i="40"/>
  <c r="AN45" i="40" s="1"/>
  <c r="AK20" i="40"/>
  <c r="AJ20" i="40"/>
  <c r="AN20" i="40" s="1"/>
  <c r="AK10" i="40"/>
  <c r="AJ10" i="40"/>
  <c r="AN9" i="40"/>
  <c r="AM22" i="40"/>
  <c r="AJ51" i="40"/>
  <c r="AN51" i="40" s="1"/>
  <c r="AK51" i="40"/>
  <c r="AI52" i="40" s="1"/>
  <c r="AK27" i="40"/>
  <c r="AI28" i="40" s="1"/>
  <c r="AJ27" i="40"/>
  <c r="AN27" i="40" s="1"/>
  <c r="AK44" i="40"/>
  <c r="AJ44" i="40"/>
  <c r="AN44" i="40" s="1"/>
  <c r="AJ16" i="40"/>
  <c r="AN16" i="40" s="1"/>
  <c r="AK16" i="40"/>
  <c r="AN63" i="40"/>
  <c r="AK17" i="40"/>
  <c r="AJ17" i="40"/>
  <c r="AN17" i="40" s="1"/>
  <c r="AK30" i="40"/>
  <c r="AJ30" i="40"/>
  <c r="AN30" i="40" s="1"/>
  <c r="AM34" i="40"/>
  <c r="AM10" i="40"/>
  <c r="AL10" i="40" s="1"/>
  <c r="AK19" i="40"/>
  <c r="AJ19" i="40"/>
  <c r="AN19" i="40" s="1"/>
  <c r="AJ50" i="40"/>
  <c r="AN50" i="40" s="1"/>
  <c r="AK50" i="40"/>
  <c r="AK26" i="40"/>
  <c r="AJ26" i="40"/>
  <c r="AN26" i="40" s="1"/>
  <c r="AK68" i="40"/>
  <c r="AJ68" i="40"/>
  <c r="AN68" i="40" s="1"/>
  <c r="AK40" i="40"/>
  <c r="AJ40" i="40"/>
  <c r="AK11" i="40"/>
  <c r="AJ11" i="40"/>
  <c r="AN11" i="40" s="1"/>
  <c r="AN15" i="40"/>
  <c r="AK130" i="1"/>
  <c r="AJ130" i="1"/>
  <c r="AI131" i="1"/>
  <c r="AJ131" i="1" s="1"/>
  <c r="AN131" i="1" s="1"/>
  <c r="AI136" i="1"/>
  <c r="AJ136" i="1" s="1"/>
  <c r="AN136" i="1" s="1"/>
  <c r="AM130" i="1"/>
  <c r="AL130" i="1" s="1"/>
  <c r="AJ135" i="1"/>
  <c r="AK135" i="1"/>
  <c r="AK129" i="1"/>
  <c r="AJ129" i="1"/>
  <c r="V126" i="1"/>
  <c r="AK137" i="1"/>
  <c r="AJ137" i="1"/>
  <c r="AN137" i="1" s="1"/>
  <c r="AJ126" i="1"/>
  <c r="AK126" i="1"/>
  <c r="AI127" i="1" s="1"/>
  <c r="AM135" i="1"/>
  <c r="AL135" i="1" s="1"/>
  <c r="AM126" i="1"/>
  <c r="AL126" i="1" s="1"/>
  <c r="AI128" i="1"/>
  <c r="AK131" i="1"/>
  <c r="Q132" i="1"/>
  <c r="AI132" i="1" s="1"/>
  <c r="AM132" i="1"/>
  <c r="AL132" i="1" s="1"/>
  <c r="AI134" i="1"/>
  <c r="AM129" i="1"/>
  <c r="AL129" i="1" s="1"/>
  <c r="AN40" i="40" l="1"/>
  <c r="AJ11" i="41"/>
  <c r="AI11" i="41"/>
  <c r="AM11" i="41" s="1"/>
  <c r="AL34" i="40"/>
  <c r="AM35" i="40"/>
  <c r="AL35" i="40" s="1"/>
  <c r="AK22" i="40"/>
  <c r="AI23" i="40" s="1"/>
  <c r="AJ22" i="40"/>
  <c r="AN10" i="40"/>
  <c r="AN34" i="40"/>
  <c r="AK28" i="40"/>
  <c r="AJ28" i="40"/>
  <c r="AN28" i="40" s="1"/>
  <c r="AK52" i="40"/>
  <c r="AJ52" i="40"/>
  <c r="AN52" i="40" s="1"/>
  <c r="AK46" i="40"/>
  <c r="AJ46" i="40"/>
  <c r="AN46" i="40" s="1"/>
  <c r="AK35" i="40"/>
  <c r="AJ35" i="40"/>
  <c r="AN35" i="40" s="1"/>
  <c r="AL22" i="40"/>
  <c r="AM23" i="40"/>
  <c r="AL23" i="40" s="1"/>
  <c r="AK136" i="1"/>
  <c r="AN130" i="1"/>
  <c r="AN129" i="1"/>
  <c r="AK134" i="1"/>
  <c r="AJ134" i="1"/>
  <c r="AN134" i="1" s="1"/>
  <c r="AJ127" i="1"/>
  <c r="AK127" i="1"/>
  <c r="AM127" i="1"/>
  <c r="AL127" i="1" s="1"/>
  <c r="AJ132" i="1"/>
  <c r="AN132" i="1" s="1"/>
  <c r="AK132" i="1"/>
  <c r="AI133" i="1" s="1"/>
  <c r="AN126" i="1"/>
  <c r="AK128" i="1"/>
  <c r="AJ128" i="1"/>
  <c r="AN128" i="1" s="1"/>
  <c r="AN135" i="1"/>
  <c r="AN22" i="40" l="1"/>
  <c r="AK23" i="40"/>
  <c r="AJ23" i="40"/>
  <c r="AN23" i="40" s="1"/>
  <c r="AK133" i="1"/>
  <c r="AJ133" i="1"/>
  <c r="AN127" i="1"/>
  <c r="AE125" i="1" l="1"/>
  <c r="AB125" i="1"/>
  <c r="AA125" i="1"/>
  <c r="S125" i="1"/>
  <c r="AE124" i="1"/>
  <c r="AB124" i="1"/>
  <c r="AM125" i="1" s="1"/>
  <c r="AL125" i="1" s="1"/>
  <c r="AA124" i="1"/>
  <c r="S124" i="1"/>
  <c r="AI123" i="1"/>
  <c r="AJ123" i="1" s="1"/>
  <c r="AE123" i="1"/>
  <c r="AB123" i="1"/>
  <c r="AA123" i="1"/>
  <c r="S123" i="1"/>
  <c r="AE122" i="1"/>
  <c r="AB122" i="1"/>
  <c r="AM123" i="1" s="1"/>
  <c r="AL123" i="1" s="1"/>
  <c r="AA122" i="1"/>
  <c r="S122" i="1"/>
  <c r="AE121" i="1"/>
  <c r="AB121" i="1"/>
  <c r="AA121" i="1"/>
  <c r="S121" i="1"/>
  <c r="AE120" i="1"/>
  <c r="AB120" i="1"/>
  <c r="AM121" i="1" s="1"/>
  <c r="AL121" i="1" s="1"/>
  <c r="AA120" i="1"/>
  <c r="S120" i="1"/>
  <c r="T120" i="1" s="1"/>
  <c r="U120" i="1" s="1"/>
  <c r="P120" i="1"/>
  <c r="Q120" i="1" s="1"/>
  <c r="G120" i="1"/>
  <c r="AE119" i="1"/>
  <c r="AB119" i="1"/>
  <c r="AA119" i="1"/>
  <c r="S119" i="1"/>
  <c r="AE118" i="1"/>
  <c r="AB118" i="1"/>
  <c r="AA118" i="1"/>
  <c r="S118" i="1"/>
  <c r="AE117" i="1"/>
  <c r="AB117" i="1"/>
  <c r="AM118" i="1" s="1"/>
  <c r="AL118" i="1" s="1"/>
  <c r="AA117" i="1"/>
  <c r="S117" i="1"/>
  <c r="AE116" i="1"/>
  <c r="AB116" i="1"/>
  <c r="AA116" i="1"/>
  <c r="S116" i="1"/>
  <c r="AE115" i="1"/>
  <c r="AB115" i="1"/>
  <c r="AA115" i="1"/>
  <c r="S115" i="1"/>
  <c r="AE114" i="1"/>
  <c r="AB114" i="1"/>
  <c r="AI115" i="1" s="1"/>
  <c r="AK115" i="1" s="1"/>
  <c r="AA114" i="1"/>
  <c r="S114" i="1"/>
  <c r="T114" i="1" s="1"/>
  <c r="V114" i="1" s="1"/>
  <c r="Q114" i="1"/>
  <c r="P114" i="1"/>
  <c r="G114" i="1"/>
  <c r="S103" i="1" s="1"/>
  <c r="AE113" i="1"/>
  <c r="AB113" i="1"/>
  <c r="AA113" i="1"/>
  <c r="S113" i="1"/>
  <c r="AE112" i="1"/>
  <c r="AB112" i="1"/>
  <c r="AA112" i="1"/>
  <c r="S112" i="1"/>
  <c r="AE111" i="1"/>
  <c r="AB111" i="1"/>
  <c r="AA111" i="1"/>
  <c r="S111" i="1"/>
  <c r="AE110" i="1"/>
  <c r="AB110" i="1"/>
  <c r="AA110" i="1"/>
  <c r="S110" i="1"/>
  <c r="AI109" i="1"/>
  <c r="AJ109" i="1" s="1"/>
  <c r="AE109" i="1"/>
  <c r="AB109" i="1"/>
  <c r="AA109" i="1"/>
  <c r="S109" i="1"/>
  <c r="AE108" i="1"/>
  <c r="AB108" i="1"/>
  <c r="AA108" i="1"/>
  <c r="S108" i="1"/>
  <c r="T108" i="1" s="1"/>
  <c r="P108" i="1"/>
  <c r="Q108" i="1" s="1"/>
  <c r="G108" i="1"/>
  <c r="AE107" i="1"/>
  <c r="AB107" i="1"/>
  <c r="AA107" i="1"/>
  <c r="S107" i="1"/>
  <c r="AE106" i="1"/>
  <c r="AB106" i="1"/>
  <c r="AA106" i="1"/>
  <c r="S106" i="1"/>
  <c r="AE105" i="1"/>
  <c r="AB105" i="1"/>
  <c r="AA105" i="1"/>
  <c r="S105" i="1"/>
  <c r="AE104" i="1"/>
  <c r="AB104" i="1"/>
  <c r="AA104" i="1"/>
  <c r="S104" i="1"/>
  <c r="AE103" i="1"/>
  <c r="AB103" i="1"/>
  <c r="AA103" i="1"/>
  <c r="AE102" i="1"/>
  <c r="AB102" i="1"/>
  <c r="AA102" i="1"/>
  <c r="S102" i="1"/>
  <c r="T102" i="1" s="1"/>
  <c r="P102" i="1"/>
  <c r="Q102" i="1" s="1"/>
  <c r="G102" i="1"/>
  <c r="S91" i="1" s="1"/>
  <c r="AE101" i="1"/>
  <c r="AB101" i="1"/>
  <c r="AA101" i="1"/>
  <c r="S101" i="1"/>
  <c r="AE100" i="1"/>
  <c r="AB100" i="1"/>
  <c r="AA100" i="1"/>
  <c r="S100" i="1"/>
  <c r="AE99" i="1"/>
  <c r="AB99" i="1"/>
  <c r="AM100" i="1" s="1"/>
  <c r="AL100" i="1" s="1"/>
  <c r="AA99" i="1"/>
  <c r="S99" i="1"/>
  <c r="AE98" i="1"/>
  <c r="AB98" i="1"/>
  <c r="AI99" i="1" s="1"/>
  <c r="AJ99" i="1" s="1"/>
  <c r="AA98" i="1"/>
  <c r="S98" i="1"/>
  <c r="AE97" i="1"/>
  <c r="AB97" i="1"/>
  <c r="AI98" i="1" s="1"/>
  <c r="AA97" i="1"/>
  <c r="S97" i="1"/>
  <c r="AE96" i="1"/>
  <c r="AB96" i="1"/>
  <c r="AA96" i="1"/>
  <c r="S96" i="1"/>
  <c r="T96" i="1" s="1"/>
  <c r="U96" i="1" s="1"/>
  <c r="P96" i="1"/>
  <c r="G96" i="1"/>
  <c r="S85" i="1" s="1"/>
  <c r="AE95" i="1"/>
  <c r="AB95" i="1"/>
  <c r="AA95" i="1"/>
  <c r="S95" i="1"/>
  <c r="AE94" i="1"/>
  <c r="AB94" i="1"/>
  <c r="AM95" i="1" s="1"/>
  <c r="AL95" i="1" s="1"/>
  <c r="AA94" i="1"/>
  <c r="S94" i="1"/>
  <c r="AE93" i="1"/>
  <c r="AB93" i="1"/>
  <c r="AA93" i="1"/>
  <c r="S93" i="1"/>
  <c r="AE92" i="1"/>
  <c r="AB92" i="1"/>
  <c r="AA92" i="1"/>
  <c r="S92" i="1"/>
  <c r="AE91" i="1"/>
  <c r="AB91" i="1"/>
  <c r="AA91" i="1"/>
  <c r="AE90" i="1"/>
  <c r="AB90" i="1"/>
  <c r="AA90" i="1"/>
  <c r="S90" i="1"/>
  <c r="T90" i="1" s="1"/>
  <c r="P90" i="1"/>
  <c r="Q90" i="1" s="1"/>
  <c r="AI90" i="1" s="1"/>
  <c r="G90" i="1"/>
  <c r="AE89" i="1"/>
  <c r="AB89" i="1"/>
  <c r="AA89" i="1"/>
  <c r="S89" i="1"/>
  <c r="AE88" i="1"/>
  <c r="AB88" i="1"/>
  <c r="AA88" i="1"/>
  <c r="S88" i="1"/>
  <c r="AE87" i="1"/>
  <c r="AB87" i="1"/>
  <c r="AA87" i="1"/>
  <c r="S87" i="1"/>
  <c r="AE86" i="1"/>
  <c r="AB86" i="1"/>
  <c r="AA86" i="1"/>
  <c r="S86" i="1"/>
  <c r="AE85" i="1"/>
  <c r="AB85" i="1"/>
  <c r="AA85" i="1"/>
  <c r="AE84" i="1"/>
  <c r="AB84" i="1"/>
  <c r="AA84" i="1"/>
  <c r="S84" i="1"/>
  <c r="T84" i="1" s="1"/>
  <c r="U84" i="1" s="1"/>
  <c r="AM84" i="1" s="1"/>
  <c r="AL84" i="1" s="1"/>
  <c r="P84" i="1"/>
  <c r="Q84" i="1" s="1"/>
  <c r="AI84" i="1" s="1"/>
  <c r="G84" i="1"/>
  <c r="S73" i="1" s="1"/>
  <c r="AE83" i="1"/>
  <c r="AB83" i="1"/>
  <c r="AA83" i="1"/>
  <c r="S83" i="1"/>
  <c r="AE82" i="1"/>
  <c r="AB82" i="1"/>
  <c r="AI83" i="1" s="1"/>
  <c r="AA82" i="1"/>
  <c r="S82" i="1"/>
  <c r="AE81" i="1"/>
  <c r="AB81" i="1"/>
  <c r="AA81" i="1"/>
  <c r="S81" i="1"/>
  <c r="AE80" i="1"/>
  <c r="AB80" i="1"/>
  <c r="AM81" i="1" s="1"/>
  <c r="AL81" i="1" s="1"/>
  <c r="AA80" i="1"/>
  <c r="S80" i="1"/>
  <c r="AE79" i="1"/>
  <c r="AB79" i="1"/>
  <c r="AA79" i="1"/>
  <c r="S79" i="1"/>
  <c r="AE78" i="1"/>
  <c r="AB78" i="1"/>
  <c r="AA78" i="1"/>
  <c r="S78" i="1"/>
  <c r="T78" i="1" s="1"/>
  <c r="P78" i="1"/>
  <c r="Q78" i="1" s="1"/>
  <c r="G78" i="1"/>
  <c r="AE77" i="1"/>
  <c r="AB77" i="1"/>
  <c r="AA77" i="1"/>
  <c r="S77" i="1"/>
  <c r="AE76" i="1"/>
  <c r="AB76" i="1"/>
  <c r="AA76" i="1"/>
  <c r="S76" i="1"/>
  <c r="AI75" i="1"/>
  <c r="AJ75" i="1" s="1"/>
  <c r="AE75" i="1"/>
  <c r="AB75" i="1"/>
  <c r="AA75" i="1"/>
  <c r="S75" i="1"/>
  <c r="AE74" i="1"/>
  <c r="AB74" i="1"/>
  <c r="AA74" i="1"/>
  <c r="S74" i="1"/>
  <c r="AE73" i="1"/>
  <c r="AB73" i="1"/>
  <c r="AA73" i="1"/>
  <c r="AE72" i="1"/>
  <c r="AB72" i="1"/>
  <c r="AA72" i="1"/>
  <c r="S72" i="1"/>
  <c r="T72" i="1" s="1"/>
  <c r="U72" i="1" s="1"/>
  <c r="P72" i="1"/>
  <c r="Q72" i="1" s="1"/>
  <c r="AI72" i="1" s="1"/>
  <c r="G72" i="1"/>
  <c r="V90" i="1" l="1"/>
  <c r="AM106" i="1"/>
  <c r="AL106" i="1" s="1"/>
  <c r="AM82" i="1"/>
  <c r="AL82" i="1" s="1"/>
  <c r="AM75" i="1"/>
  <c r="AL75" i="1" s="1"/>
  <c r="AM88" i="1"/>
  <c r="AL88" i="1" s="1"/>
  <c r="AI89" i="1"/>
  <c r="AJ89" i="1" s="1"/>
  <c r="AM115" i="1"/>
  <c r="AL115" i="1" s="1"/>
  <c r="AM124" i="1"/>
  <c r="AL124" i="1" s="1"/>
  <c r="AM92" i="1"/>
  <c r="AL92" i="1" s="1"/>
  <c r="AM94" i="1"/>
  <c r="AL94" i="1" s="1"/>
  <c r="AI112" i="1"/>
  <c r="AI113" i="1"/>
  <c r="AM119" i="1"/>
  <c r="AL119" i="1" s="1"/>
  <c r="U108" i="1"/>
  <c r="AM108" i="1" s="1"/>
  <c r="AL108" i="1" s="1"/>
  <c r="V108" i="1"/>
  <c r="U102" i="1"/>
  <c r="AM102" i="1" s="1"/>
  <c r="AL102" i="1" s="1"/>
  <c r="V102" i="1"/>
  <c r="AJ113" i="1"/>
  <c r="AK113" i="1"/>
  <c r="AI80" i="1"/>
  <c r="AI93" i="1"/>
  <c r="AK93" i="1" s="1"/>
  <c r="AI95" i="1"/>
  <c r="AK95" i="1" s="1"/>
  <c r="AM101" i="1"/>
  <c r="AL101" i="1" s="1"/>
  <c r="AI104" i="1"/>
  <c r="AM111" i="1"/>
  <c r="AL111" i="1" s="1"/>
  <c r="AI117" i="1"/>
  <c r="AI119" i="1"/>
  <c r="AK119" i="1" s="1"/>
  <c r="AM80" i="1"/>
  <c r="AL80" i="1" s="1"/>
  <c r="AM77" i="1"/>
  <c r="AL77" i="1" s="1"/>
  <c r="AI107" i="1"/>
  <c r="AJ107" i="1" s="1"/>
  <c r="AM113" i="1"/>
  <c r="AL113" i="1" s="1"/>
  <c r="AI100" i="1"/>
  <c r="AK100" i="1" s="1"/>
  <c r="AM110" i="1"/>
  <c r="AL110" i="1" s="1"/>
  <c r="AI110" i="1"/>
  <c r="AK110" i="1" s="1"/>
  <c r="AI118" i="1"/>
  <c r="V120" i="1"/>
  <c r="V84" i="1"/>
  <c r="AI94" i="1"/>
  <c r="V96" i="1"/>
  <c r="V72" i="1"/>
  <c r="AI74" i="1"/>
  <c r="AJ74" i="1" s="1"/>
  <c r="AM76" i="1"/>
  <c r="AL76" i="1" s="1"/>
  <c r="AI76" i="1"/>
  <c r="AK76" i="1" s="1"/>
  <c r="AM89" i="1"/>
  <c r="AL89" i="1" s="1"/>
  <c r="Q96" i="1"/>
  <c r="AI96" i="1" s="1"/>
  <c r="AK96" i="1" s="1"/>
  <c r="AI97" i="1" s="1"/>
  <c r="AI114" i="1"/>
  <c r="AJ114" i="1" s="1"/>
  <c r="AM116" i="1"/>
  <c r="AL116" i="1" s="1"/>
  <c r="AI120" i="1"/>
  <c r="AK120" i="1" s="1"/>
  <c r="AI122" i="1"/>
  <c r="AK122" i="1" s="1"/>
  <c r="AI124" i="1"/>
  <c r="AK124" i="1" s="1"/>
  <c r="AK99" i="1"/>
  <c r="AK109" i="1"/>
  <c r="AM85" i="1"/>
  <c r="AL85" i="1" s="1"/>
  <c r="AM99" i="1"/>
  <c r="AL99" i="1" s="1"/>
  <c r="AN99" i="1" s="1"/>
  <c r="AM105" i="1"/>
  <c r="AL105" i="1" s="1"/>
  <c r="AI105" i="1"/>
  <c r="AK105" i="1" s="1"/>
  <c r="AI108" i="1"/>
  <c r="AJ108" i="1" s="1"/>
  <c r="AK123" i="1"/>
  <c r="AI81" i="1"/>
  <c r="AK81" i="1" s="1"/>
  <c r="AK75" i="1"/>
  <c r="AM86" i="1"/>
  <c r="AL86" i="1" s="1"/>
  <c r="AK117" i="1"/>
  <c r="AJ117" i="1"/>
  <c r="AJ120" i="1"/>
  <c r="AJ122" i="1"/>
  <c r="V78" i="1"/>
  <c r="U78" i="1"/>
  <c r="AM78" i="1" s="1"/>
  <c r="AL78" i="1" s="1"/>
  <c r="AK98" i="1"/>
  <c r="AJ98" i="1"/>
  <c r="AK74" i="1"/>
  <c r="AK72" i="1"/>
  <c r="AJ72" i="1"/>
  <c r="AK83" i="1"/>
  <c r="AJ83" i="1"/>
  <c r="AK114" i="1"/>
  <c r="AN75" i="1"/>
  <c r="AJ90" i="1"/>
  <c r="AK90" i="1"/>
  <c r="AI91" i="1" s="1"/>
  <c r="AK112" i="1"/>
  <c r="AJ112" i="1"/>
  <c r="AN123" i="1"/>
  <c r="AK108" i="1"/>
  <c r="AK84" i="1"/>
  <c r="AI85" i="1" s="1"/>
  <c r="AJ84" i="1"/>
  <c r="AN84" i="1" s="1"/>
  <c r="AM74" i="1"/>
  <c r="AL74" i="1" s="1"/>
  <c r="AM83" i="1"/>
  <c r="AL83" i="1" s="1"/>
  <c r="AM98" i="1"/>
  <c r="AL98" i="1" s="1"/>
  <c r="AM112" i="1"/>
  <c r="AL112" i="1" s="1"/>
  <c r="AJ76" i="1"/>
  <c r="AN76" i="1" s="1"/>
  <c r="AJ81" i="1"/>
  <c r="AN81" i="1" s="1"/>
  <c r="U90" i="1"/>
  <c r="AM90" i="1" s="1"/>
  <c r="AJ95" i="1"/>
  <c r="AN95" i="1" s="1"/>
  <c r="AJ100" i="1"/>
  <c r="AN100" i="1" s="1"/>
  <c r="AJ105" i="1"/>
  <c r="AJ110" i="1"/>
  <c r="U114" i="1"/>
  <c r="AM114" i="1" s="1"/>
  <c r="AL114" i="1" s="1"/>
  <c r="AJ115" i="1"/>
  <c r="AJ119" i="1"/>
  <c r="AJ124" i="1"/>
  <c r="AI73" i="1"/>
  <c r="AI77" i="1"/>
  <c r="AI78" i="1"/>
  <c r="AI82" i="1"/>
  <c r="AI92" i="1"/>
  <c r="AI101" i="1"/>
  <c r="AI102" i="1"/>
  <c r="AI106" i="1"/>
  <c r="AM109" i="1"/>
  <c r="AL109" i="1" s="1"/>
  <c r="AN109" i="1" s="1"/>
  <c r="AI111" i="1"/>
  <c r="AI116" i="1"/>
  <c r="AI121" i="1"/>
  <c r="AI125" i="1"/>
  <c r="AM93" i="1"/>
  <c r="AL93" i="1" s="1"/>
  <c r="AM107" i="1"/>
  <c r="AL107" i="1" s="1"/>
  <c r="AM122" i="1"/>
  <c r="AL122" i="1" s="1"/>
  <c r="AM117" i="1"/>
  <c r="AL117" i="1" s="1"/>
  <c r="AM72" i="1"/>
  <c r="AL72" i="1" s="1"/>
  <c r="AI88" i="1"/>
  <c r="AM96" i="1"/>
  <c r="AL96" i="1" s="1"/>
  <c r="AM120" i="1"/>
  <c r="AL120" i="1" s="1"/>
  <c r="AN110" i="1" l="1"/>
  <c r="AN108" i="1"/>
  <c r="AN124" i="1"/>
  <c r="AK107" i="1"/>
  <c r="AN89" i="1"/>
  <c r="AN119" i="1"/>
  <c r="AN105" i="1"/>
  <c r="AN98" i="1"/>
  <c r="AN74" i="1"/>
  <c r="AK89" i="1"/>
  <c r="AN115" i="1"/>
  <c r="AM97" i="1"/>
  <c r="AL97" i="1" s="1"/>
  <c r="AM87" i="1"/>
  <c r="AL87" i="1" s="1"/>
  <c r="AN83" i="1"/>
  <c r="AJ118" i="1"/>
  <c r="AN118" i="1" s="1"/>
  <c r="AK118" i="1"/>
  <c r="AN113" i="1"/>
  <c r="AJ104" i="1"/>
  <c r="AK104" i="1"/>
  <c r="AJ96" i="1"/>
  <c r="AN120" i="1"/>
  <c r="AJ93" i="1"/>
  <c r="AN93" i="1" s="1"/>
  <c r="AN107" i="1"/>
  <c r="AJ94" i="1"/>
  <c r="AN94" i="1" s="1"/>
  <c r="AK94" i="1"/>
  <c r="AJ80" i="1"/>
  <c r="AN80" i="1" s="1"/>
  <c r="AK80" i="1"/>
  <c r="AL90" i="1"/>
  <c r="AM91" i="1"/>
  <c r="AL91" i="1" s="1"/>
  <c r="AK88" i="1"/>
  <c r="AJ88" i="1"/>
  <c r="AN88" i="1" s="1"/>
  <c r="AK78" i="1"/>
  <c r="AI79" i="1" s="1"/>
  <c r="AJ78" i="1"/>
  <c r="AN78" i="1" s="1"/>
  <c r="AK92" i="1"/>
  <c r="AJ92" i="1"/>
  <c r="AN92" i="1" s="1"/>
  <c r="AK111" i="1"/>
  <c r="AJ111" i="1"/>
  <c r="AN111" i="1" s="1"/>
  <c r="AK82" i="1"/>
  <c r="AJ82" i="1"/>
  <c r="AN82" i="1" s="1"/>
  <c r="AM103" i="1"/>
  <c r="AM79" i="1"/>
  <c r="AL79" i="1" s="1"/>
  <c r="AN114" i="1"/>
  <c r="AN72" i="1"/>
  <c r="AN122" i="1"/>
  <c r="AN117" i="1"/>
  <c r="AK97" i="1"/>
  <c r="AJ97" i="1"/>
  <c r="AN97" i="1" s="1"/>
  <c r="AK106" i="1"/>
  <c r="AJ106" i="1"/>
  <c r="AN106" i="1" s="1"/>
  <c r="AK102" i="1"/>
  <c r="AI103" i="1" s="1"/>
  <c r="AJ102" i="1"/>
  <c r="AN102" i="1" s="1"/>
  <c r="AK77" i="1"/>
  <c r="AJ77" i="1"/>
  <c r="AN77" i="1" s="1"/>
  <c r="AK101" i="1"/>
  <c r="AJ101" i="1"/>
  <c r="AN101" i="1" s="1"/>
  <c r="AK73" i="1"/>
  <c r="AJ73" i="1"/>
  <c r="AN112" i="1"/>
  <c r="AN96" i="1"/>
  <c r="AK125" i="1"/>
  <c r="AJ125" i="1"/>
  <c r="AN125" i="1" s="1"/>
  <c r="AJ85" i="1"/>
  <c r="AN85" i="1" s="1"/>
  <c r="AK85" i="1"/>
  <c r="AI86" i="1" s="1"/>
  <c r="AK91" i="1"/>
  <c r="AJ91" i="1"/>
  <c r="AN91" i="1" s="1"/>
  <c r="AN90" i="1"/>
  <c r="AK121" i="1"/>
  <c r="AJ121" i="1"/>
  <c r="AN121" i="1" s="1"/>
  <c r="AK116" i="1"/>
  <c r="AJ116" i="1"/>
  <c r="AN116" i="1" s="1"/>
  <c r="AM73" i="1"/>
  <c r="AL73" i="1" s="1"/>
  <c r="AL103" i="1" l="1"/>
  <c r="AM104" i="1"/>
  <c r="AL104" i="1" s="1"/>
  <c r="AN104" i="1" s="1"/>
  <c r="AK103" i="1"/>
  <c r="AJ103" i="1"/>
  <c r="AK86" i="1"/>
  <c r="AI87" i="1" s="1"/>
  <c r="AJ86" i="1"/>
  <c r="AN86" i="1" s="1"/>
  <c r="AN73" i="1"/>
  <c r="AK79" i="1"/>
  <c r="AJ79" i="1"/>
  <c r="AN79" i="1" s="1"/>
  <c r="AN103" i="1" l="1"/>
  <c r="AK87" i="1"/>
  <c r="AJ87" i="1"/>
  <c r="AN87" i="1" s="1"/>
  <c r="G58" i="1" l="1"/>
  <c r="AE58" i="1"/>
  <c r="AE59" i="1"/>
  <c r="AE60" i="1"/>
  <c r="AE61" i="1"/>
  <c r="AE62" i="1"/>
  <c r="AE65" i="1"/>
  <c r="AA63" i="1"/>
  <c r="AA64" i="1"/>
  <c r="AA41" i="1" l="1"/>
  <c r="AA40" i="1"/>
  <c r="AA39" i="1"/>
  <c r="AA38" i="1"/>
  <c r="AA37" i="1"/>
  <c r="AA36" i="1"/>
  <c r="AA35" i="1"/>
  <c r="AA34" i="1"/>
  <c r="G22" i="1" l="1"/>
  <c r="G16" i="1"/>
  <c r="R19" i="38"/>
  <c r="O19" i="38"/>
  <c r="P19" i="38" s="1"/>
  <c r="U19" i="38"/>
  <c r="V19" i="38" s="1"/>
  <c r="W19" i="38" s="1"/>
  <c r="T19" i="38"/>
  <c r="AE14" i="38"/>
  <c r="AF14" i="38"/>
  <c r="AI14" i="38"/>
  <c r="AM14" i="38"/>
  <c r="AN14" i="38"/>
  <c r="AO14" i="38"/>
  <c r="AQ14" i="38"/>
  <c r="AP14" i="38" s="1"/>
  <c r="AR14" i="38"/>
  <c r="T13" i="38"/>
  <c r="R13" i="38"/>
  <c r="AE13" i="38"/>
  <c r="AC72" i="38"/>
  <c r="AC71" i="38"/>
  <c r="AC70" i="38"/>
  <c r="AC69" i="38"/>
  <c r="AC68" i="38"/>
  <c r="AC67" i="38"/>
  <c r="T67" i="38"/>
  <c r="R67" i="38"/>
  <c r="O67" i="38"/>
  <c r="P67" i="38" s="1"/>
  <c r="AC66" i="38"/>
  <c r="AC65" i="38"/>
  <c r="AC64" i="38"/>
  <c r="AC63" i="38"/>
  <c r="AC62" i="38"/>
  <c r="AC61" i="38"/>
  <c r="T61" i="38"/>
  <c r="R61" i="38"/>
  <c r="U61" i="38" s="1"/>
  <c r="V61" i="38" s="1"/>
  <c r="O61" i="38"/>
  <c r="P61" i="38" s="1"/>
  <c r="AC60" i="38"/>
  <c r="AC59" i="38"/>
  <c r="AC58" i="38"/>
  <c r="AC57" i="38"/>
  <c r="AC56" i="38"/>
  <c r="AC55" i="38"/>
  <c r="T55" i="38"/>
  <c r="R55" i="38"/>
  <c r="U55" i="38" s="1"/>
  <c r="V55" i="38" s="1"/>
  <c r="O55" i="38"/>
  <c r="P55" i="38" s="1"/>
  <c r="AC54" i="38"/>
  <c r="AC53" i="38"/>
  <c r="AC52" i="38"/>
  <c r="AC51" i="38"/>
  <c r="AC50" i="38"/>
  <c r="AC49" i="38"/>
  <c r="T49" i="38"/>
  <c r="U49" i="38" s="1"/>
  <c r="V49" i="38" s="1"/>
  <c r="R49" i="38"/>
  <c r="O49" i="38"/>
  <c r="P49" i="38" s="1"/>
  <c r="AC48" i="38"/>
  <c r="AC47" i="38"/>
  <c r="AC46" i="38"/>
  <c r="AC45" i="38"/>
  <c r="AC44" i="38"/>
  <c r="AC43" i="38"/>
  <c r="T43" i="38"/>
  <c r="R43" i="38"/>
  <c r="O43" i="38"/>
  <c r="AC42" i="38"/>
  <c r="AC41" i="38"/>
  <c r="AC40" i="38"/>
  <c r="AC39" i="38"/>
  <c r="AC38" i="38"/>
  <c r="AC37" i="38"/>
  <c r="T37" i="38"/>
  <c r="R37" i="38"/>
  <c r="O37" i="38"/>
  <c r="P37" i="38" s="1"/>
  <c r="AC36" i="38"/>
  <c r="AC35" i="38"/>
  <c r="AC34" i="38"/>
  <c r="AC33" i="38"/>
  <c r="AC32" i="38"/>
  <c r="AC31" i="38"/>
  <c r="T31" i="38"/>
  <c r="R31" i="38"/>
  <c r="O31" i="38"/>
  <c r="P31" i="38" s="1"/>
  <c r="AC30" i="38"/>
  <c r="AC29" i="38"/>
  <c r="AC28" i="38"/>
  <c r="AC27" i="38"/>
  <c r="AC26" i="38"/>
  <c r="AC25" i="38"/>
  <c r="T25" i="38"/>
  <c r="R25" i="38"/>
  <c r="O25" i="38"/>
  <c r="AC24" i="38"/>
  <c r="AC23" i="38"/>
  <c r="AC22" i="38"/>
  <c r="AC21" i="38"/>
  <c r="AC20" i="38"/>
  <c r="AC19" i="38"/>
  <c r="AC18" i="38"/>
  <c r="AC17" i="38"/>
  <c r="AC16" i="38"/>
  <c r="AC15" i="38"/>
  <c r="AC14" i="38"/>
  <c r="AI13" i="38"/>
  <c r="AF13" i="38"/>
  <c r="AC13" i="38"/>
  <c r="O13" i="38"/>
  <c r="P13" i="38" s="1"/>
  <c r="F13" i="38"/>
  <c r="G28" i="1"/>
  <c r="G34" i="1"/>
  <c r="G40" i="1"/>
  <c r="G46" i="1"/>
  <c r="G52" i="1"/>
  <c r="G66" i="1"/>
  <c r="X19" i="38" l="1"/>
  <c r="U31" i="38"/>
  <c r="V31" i="38" s="1"/>
  <c r="X31" i="38" s="1"/>
  <c r="U43" i="38"/>
  <c r="V43" i="38" s="1"/>
  <c r="X61" i="38"/>
  <c r="U37" i="38"/>
  <c r="V37" i="38" s="1"/>
  <c r="AM13" i="38"/>
  <c r="AN13" i="38" s="1"/>
  <c r="U25" i="38"/>
  <c r="V25" i="38" s="1"/>
  <c r="U67" i="38"/>
  <c r="V67" i="38" s="1"/>
  <c r="X43" i="38"/>
  <c r="U13" i="38"/>
  <c r="V13" i="38" s="1"/>
  <c r="W13" i="38" s="1"/>
  <c r="AO13" i="38"/>
  <c r="X49" i="38"/>
  <c r="X37" i="38"/>
  <c r="X55" i="38"/>
  <c r="X25" i="38"/>
  <c r="P25" i="38"/>
  <c r="P43" i="38"/>
  <c r="X67" i="38"/>
  <c r="AA26" i="1"/>
  <c r="AA27" i="1"/>
  <c r="AA28" i="1"/>
  <c r="AA29" i="1"/>
  <c r="AA30" i="1"/>
  <c r="AA31" i="1"/>
  <c r="AA32" i="1"/>
  <c r="AA33" i="1"/>
  <c r="AA42" i="1"/>
  <c r="AA43" i="1"/>
  <c r="AA44" i="1"/>
  <c r="AA45" i="1"/>
  <c r="AA46" i="1"/>
  <c r="AA47" i="1"/>
  <c r="AA48" i="1"/>
  <c r="AA49" i="1"/>
  <c r="AA50" i="1"/>
  <c r="AA51" i="1"/>
  <c r="AA52" i="1"/>
  <c r="AA53" i="1"/>
  <c r="AA54" i="1"/>
  <c r="AA55" i="1"/>
  <c r="AA56" i="1"/>
  <c r="AA57" i="1"/>
  <c r="AA58" i="1"/>
  <c r="AA59" i="1"/>
  <c r="AA60" i="1"/>
  <c r="AA61" i="1"/>
  <c r="AA62" i="1"/>
  <c r="AA65" i="1"/>
  <c r="AA66" i="1"/>
  <c r="AA67" i="1"/>
  <c r="AA68" i="1"/>
  <c r="AA69" i="1"/>
  <c r="AA70" i="1"/>
  <c r="AA71" i="1"/>
  <c r="AA11" i="1"/>
  <c r="AA12" i="1"/>
  <c r="AA13" i="1"/>
  <c r="AA14" i="1"/>
  <c r="AA15" i="1"/>
  <c r="AA16" i="1"/>
  <c r="AA17" i="1"/>
  <c r="AA18" i="1"/>
  <c r="AA19" i="1"/>
  <c r="AA20" i="1"/>
  <c r="AA21" i="1"/>
  <c r="AA22" i="1"/>
  <c r="AA23" i="1"/>
  <c r="AA24" i="1"/>
  <c r="AA25" i="1"/>
  <c r="AA10" i="1"/>
  <c r="G10" i="1"/>
  <c r="X13" i="38" l="1"/>
  <c r="AQ13" i="38"/>
  <c r="AP13" i="38" s="1"/>
  <c r="AR13" i="38"/>
  <c r="P10" i="1"/>
  <c r="Q10" i="1" s="1"/>
  <c r="AB10" i="1"/>
  <c r="AE10" i="1"/>
  <c r="AB11" i="1"/>
  <c r="AE11" i="1"/>
  <c r="AB12" i="1"/>
  <c r="AE12" i="1"/>
  <c r="AB13" i="1"/>
  <c r="AE13" i="1"/>
  <c r="AB14" i="1"/>
  <c r="AE14" i="1"/>
  <c r="AB15" i="1"/>
  <c r="AE15" i="1"/>
  <c r="S14" i="1"/>
  <c r="S12" i="1"/>
  <c r="S13" i="1"/>
  <c r="S11" i="1"/>
  <c r="S15" i="1"/>
  <c r="AI14" i="1" l="1"/>
  <c r="AJ14" i="1" s="1"/>
  <c r="AM15" i="1"/>
  <c r="AL15" i="1" s="1"/>
  <c r="AI15" i="1"/>
  <c r="AK15" i="1" s="1"/>
  <c r="AM13" i="1"/>
  <c r="AL13" i="1" s="1"/>
  <c r="AI10" i="1"/>
  <c r="AK10" i="1" s="1"/>
  <c r="AI11" i="1" s="1"/>
  <c r="AM14" i="1"/>
  <c r="AL14" i="1" s="1"/>
  <c r="AI13" i="1"/>
  <c r="AK14" i="1" l="1"/>
  <c r="AJ15" i="1"/>
  <c r="AN15" i="1" s="1"/>
  <c r="AM12" i="1"/>
  <c r="AL12" i="1" s="1"/>
  <c r="AJ10" i="1"/>
  <c r="AJ11" i="1"/>
  <c r="AK11" i="1"/>
  <c r="AI12" i="1" s="1"/>
  <c r="AJ12" i="1" s="1"/>
  <c r="AJ13" i="1"/>
  <c r="AN13" i="1" s="1"/>
  <c r="AK13" i="1"/>
  <c r="AN14" i="1"/>
  <c r="AN12" i="1" l="1"/>
  <c r="AK12" i="1"/>
  <c r="P52" i="1" l="1"/>
  <c r="AB16" i="1" l="1"/>
  <c r="AB17" i="1"/>
  <c r="E8" i="13" l="1"/>
  <c r="E7" i="13"/>
  <c r="E6" i="13"/>
  <c r="E5" i="13"/>
  <c r="S19" i="1"/>
  <c r="S70" i="1"/>
  <c r="S35" i="1"/>
  <c r="S51" i="1"/>
  <c r="S17" i="1"/>
  <c r="S32" i="1"/>
  <c r="S29" i="1"/>
  <c r="S39" i="1"/>
  <c r="S44" i="1"/>
  <c r="S56" i="1"/>
  <c r="S61" i="1"/>
  <c r="S37" i="1"/>
  <c r="S69" i="1"/>
  <c r="S42" i="1"/>
  <c r="S27" i="1"/>
  <c r="S60" i="1"/>
  <c r="S25" i="1"/>
  <c r="S26" i="1"/>
  <c r="S54" i="1"/>
  <c r="S21" i="1"/>
  <c r="S55" i="1"/>
  <c r="S59" i="1"/>
  <c r="S68" i="1"/>
  <c r="S67" i="1"/>
  <c r="S18" i="1"/>
  <c r="S43" i="1"/>
  <c r="S41" i="1"/>
  <c r="S50" i="1"/>
  <c r="S47" i="1"/>
  <c r="S33" i="1"/>
  <c r="S36" i="1"/>
  <c r="S20" i="1"/>
  <c r="S48" i="1"/>
  <c r="S38" i="1"/>
  <c r="S71" i="1"/>
  <c r="S24" i="1"/>
  <c r="S23" i="1"/>
  <c r="S62" i="1"/>
  <c r="S45" i="1"/>
  <c r="S53" i="1"/>
  <c r="S30" i="1"/>
  <c r="S57" i="1"/>
  <c r="S31" i="1"/>
  <c r="S49" i="1"/>
  <c r="S65" i="1"/>
  <c r="F222" i="13" l="1"/>
  <c r="F212" i="13"/>
  <c r="F213" i="13"/>
  <c r="F214" i="13"/>
  <c r="F215" i="13"/>
  <c r="F216" i="13"/>
  <c r="F217" i="13"/>
  <c r="F218" i="13"/>
  <c r="F219" i="13"/>
  <c r="F220" i="13"/>
  <c r="F221" i="13"/>
  <c r="F211" i="13"/>
  <c r="AB52" i="1" l="1"/>
  <c r="AB47" i="1"/>
  <c r="AB41" i="1"/>
  <c r="S10" i="1" l="1"/>
  <c r="T10" i="1" s="1"/>
  <c r="U10" i="1" s="1"/>
  <c r="AL44" i="18"/>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1" i="13"/>
  <c r="AM10" i="1" l="1"/>
  <c r="AM133" i="1"/>
  <c r="AL133" i="1" s="1"/>
  <c r="AN133" i="1" s="1"/>
  <c r="V10" i="1"/>
  <c r="AL10" i="1"/>
  <c r="AN10" i="1" s="1"/>
  <c r="AM11" i="1"/>
  <c r="AL11" i="1" s="1"/>
  <c r="AN11" i="1" s="1"/>
  <c r="AE71" i="1"/>
  <c r="AB71" i="1"/>
  <c r="AE70" i="1"/>
  <c r="AB70" i="1"/>
  <c r="AE69" i="1"/>
  <c r="AB69" i="1"/>
  <c r="AE68" i="1"/>
  <c r="AB68" i="1"/>
  <c r="AE67" i="1"/>
  <c r="AB67" i="1"/>
  <c r="AE66" i="1"/>
  <c r="AB66" i="1"/>
  <c r="P66" i="1"/>
  <c r="Q66" i="1" s="1"/>
  <c r="AB65" i="1"/>
  <c r="AB62" i="1"/>
  <c r="AB61" i="1"/>
  <c r="AB60" i="1"/>
  <c r="AB59" i="1"/>
  <c r="AB58" i="1"/>
  <c r="P58" i="1"/>
  <c r="Q58" i="1" s="1"/>
  <c r="AE57" i="1"/>
  <c r="AB57" i="1"/>
  <c r="AE56" i="1"/>
  <c r="AB56" i="1"/>
  <c r="AE55" i="1"/>
  <c r="AB55" i="1"/>
  <c r="AE54" i="1"/>
  <c r="AB54" i="1"/>
  <c r="AE53" i="1"/>
  <c r="AB53" i="1"/>
  <c r="AE52" i="1"/>
  <c r="Q52" i="1"/>
  <c r="AE51" i="1"/>
  <c r="AB51" i="1"/>
  <c r="AE50" i="1"/>
  <c r="AB50" i="1"/>
  <c r="AE49" i="1"/>
  <c r="AB49" i="1"/>
  <c r="AE48" i="1"/>
  <c r="AB48" i="1"/>
  <c r="AE47" i="1"/>
  <c r="AE46" i="1"/>
  <c r="AB46" i="1"/>
  <c r="P46" i="1"/>
  <c r="Q46" i="1" s="1"/>
  <c r="AE45" i="1"/>
  <c r="AB45" i="1"/>
  <c r="AE44" i="1"/>
  <c r="AB44" i="1"/>
  <c r="AE43" i="1"/>
  <c r="AB43" i="1"/>
  <c r="AE42" i="1"/>
  <c r="AB42" i="1"/>
  <c r="AE41" i="1"/>
  <c r="AE40" i="1"/>
  <c r="AB40" i="1"/>
  <c r="P40" i="1"/>
  <c r="Q40" i="1" s="1"/>
  <c r="AE39" i="1"/>
  <c r="AB39" i="1"/>
  <c r="AE38" i="1"/>
  <c r="AB38" i="1"/>
  <c r="AE37" i="1"/>
  <c r="AB37" i="1"/>
  <c r="AE36" i="1"/>
  <c r="AB36" i="1"/>
  <c r="AE35" i="1"/>
  <c r="AB35" i="1"/>
  <c r="AE34" i="1"/>
  <c r="AB34" i="1"/>
  <c r="P34" i="1"/>
  <c r="AE33" i="1"/>
  <c r="AB33" i="1"/>
  <c r="AE32" i="1"/>
  <c r="AB32" i="1"/>
  <c r="AE31" i="1"/>
  <c r="AB31" i="1"/>
  <c r="AE30" i="1"/>
  <c r="AB30" i="1"/>
  <c r="AE29" i="1"/>
  <c r="AB29" i="1"/>
  <c r="AE28" i="1"/>
  <c r="AB28" i="1"/>
  <c r="P28" i="1"/>
  <c r="Q28" i="1" s="1"/>
  <c r="AE27" i="1"/>
  <c r="AB27" i="1"/>
  <c r="AE26" i="1"/>
  <c r="AB26" i="1"/>
  <c r="AE25" i="1"/>
  <c r="AB25" i="1"/>
  <c r="AE24" i="1"/>
  <c r="AB24" i="1"/>
  <c r="AE23" i="1"/>
  <c r="AB23" i="1"/>
  <c r="AE22" i="1"/>
  <c r="AB22" i="1"/>
  <c r="P22" i="1"/>
  <c r="Q22" i="1" s="1"/>
  <c r="P16" i="1"/>
  <c r="AE21" i="1"/>
  <c r="AB21" i="1"/>
  <c r="AE20" i="1"/>
  <c r="AB20" i="1"/>
  <c r="AE19" i="1"/>
  <c r="AB19" i="1"/>
  <c r="AE18" i="1"/>
  <c r="AB18" i="1"/>
  <c r="AE17" i="1"/>
  <c r="AE16" i="1"/>
  <c r="AI58" i="1" l="1"/>
  <c r="Q34" i="1"/>
  <c r="AI34" i="1" s="1"/>
  <c r="AM26" i="1"/>
  <c r="AM45" i="1"/>
  <c r="AM57" i="1"/>
  <c r="AM70" i="1"/>
  <c r="AM20" i="1"/>
  <c r="AM27" i="1"/>
  <c r="AM38" i="1"/>
  <c r="AM33" i="1"/>
  <c r="AM31" i="1"/>
  <c r="AM25" i="1"/>
  <c r="AM44" i="1"/>
  <c r="AM56" i="1"/>
  <c r="AM30" i="1"/>
  <c r="AM50" i="1"/>
  <c r="AL50" i="1" s="1"/>
  <c r="AM71" i="1"/>
  <c r="AM19" i="1"/>
  <c r="AM54" i="1"/>
  <c r="AM53" i="1"/>
  <c r="AM49" i="1"/>
  <c r="AM48" i="1"/>
  <c r="AM21" i="1"/>
  <c r="AM39" i="1"/>
  <c r="AM43" i="1"/>
  <c r="AM42" i="1"/>
  <c r="AM51" i="1"/>
  <c r="AL51" i="1" s="1"/>
  <c r="AM55" i="1"/>
  <c r="AM32" i="1"/>
  <c r="AM47" i="1"/>
  <c r="Q16" i="1"/>
  <c r="AI16" i="1" s="1"/>
  <c r="AI66" i="1"/>
  <c r="AI52" i="1"/>
  <c r="AI46" i="1"/>
  <c r="AI50" i="1"/>
  <c r="AI51" i="1"/>
  <c r="AI40" i="1"/>
  <c r="AI28" i="1"/>
  <c r="AI22" i="1"/>
  <c r="AJ58" i="1" l="1"/>
  <c r="AK58" i="1"/>
  <c r="AI59" i="1" s="1"/>
  <c r="AJ66" i="1"/>
  <c r="AK66" i="1"/>
  <c r="AI67" i="1" s="1"/>
  <c r="AJ67" i="1" s="1"/>
  <c r="AJ52" i="1"/>
  <c r="AK52" i="1"/>
  <c r="AI53" i="1" s="1"/>
  <c r="AK53" i="1" s="1"/>
  <c r="AI54" i="1" s="1"/>
  <c r="AJ51" i="1"/>
  <c r="AK51" i="1"/>
  <c r="AJ50" i="1"/>
  <c r="AK50" i="1"/>
  <c r="AJ46" i="1"/>
  <c r="AK46" i="1"/>
  <c r="AJ40" i="1"/>
  <c r="AK40" i="1"/>
  <c r="AI41" i="1" s="1"/>
  <c r="AK41" i="1" s="1"/>
  <c r="AI42" i="1" s="1"/>
  <c r="AJ34" i="1"/>
  <c r="AK34" i="1"/>
  <c r="AJ28" i="1"/>
  <c r="AK28" i="1"/>
  <c r="AI29" i="1" s="1"/>
  <c r="AK29" i="1" s="1"/>
  <c r="AI30" i="1" s="1"/>
  <c r="AJ30" i="1" s="1"/>
  <c r="AJ22" i="1"/>
  <c r="AK22" i="1"/>
  <c r="AI23" i="1" s="1"/>
  <c r="AJ23" i="1" s="1"/>
  <c r="AJ16" i="1"/>
  <c r="AK16" i="1"/>
  <c r="AI17" i="1" s="1"/>
  <c r="AJ59" i="1" l="1"/>
  <c r="AK59" i="1"/>
  <c r="AI60" i="1" s="1"/>
  <c r="AJ53" i="1"/>
  <c r="AK23" i="1"/>
  <c r="AI24" i="1" s="1"/>
  <c r="AJ24" i="1" s="1"/>
  <c r="AJ41" i="1"/>
  <c r="AJ29" i="1"/>
  <c r="AJ42" i="1"/>
  <c r="AK42" i="1"/>
  <c r="AK54" i="1"/>
  <c r="AI55" i="1" s="1"/>
  <c r="AJ54" i="1"/>
  <c r="AK67" i="1"/>
  <c r="AI68" i="1" s="1"/>
  <c r="AI35" i="1"/>
  <c r="AI47" i="1"/>
  <c r="AK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N50" i="1"/>
  <c r="AN51" i="1"/>
  <c r="AK60" i="1" l="1"/>
  <c r="AI61" i="1" s="1"/>
  <c r="AJ60" i="1"/>
  <c r="AJ55" i="1"/>
  <c r="AK55" i="1"/>
  <c r="AI56" i="1" s="1"/>
  <c r="AK24" i="1"/>
  <c r="AI25" i="1" s="1"/>
  <c r="AK25" i="1" s="1"/>
  <c r="AJ68" i="1"/>
  <c r="AK68" i="1"/>
  <c r="AI69" i="1" s="1"/>
  <c r="AJ47" i="1"/>
  <c r="AK47" i="1"/>
  <c r="AI48" i="1" s="1"/>
  <c r="AJ48" i="1" s="1"/>
  <c r="AI43" i="1"/>
  <c r="AJ35" i="1"/>
  <c r="AK35" i="1"/>
  <c r="AI36" i="1" s="1"/>
  <c r="AJ36" i="1" s="1"/>
  <c r="AI32" i="1"/>
  <c r="AJ32" i="1" s="1"/>
  <c r="AI31" i="1"/>
  <c r="AJ17" i="1"/>
  <c r="AK17" i="1"/>
  <c r="AI18" i="1" s="1"/>
  <c r="AJ18" i="1" s="1"/>
  <c r="AK61" i="1" l="1"/>
  <c r="AI62" i="1" s="1"/>
  <c r="AJ61" i="1"/>
  <c r="AK48" i="1"/>
  <c r="AI49" i="1" s="1"/>
  <c r="AJ49" i="1" s="1"/>
  <c r="AK36" i="1"/>
  <c r="AI37" i="1" s="1"/>
  <c r="AK37" i="1" s="1"/>
  <c r="AI38" i="1" s="1"/>
  <c r="AJ56" i="1"/>
  <c r="AK56" i="1"/>
  <c r="AI57" i="1" s="1"/>
  <c r="AJ25" i="1"/>
  <c r="AJ43" i="1"/>
  <c r="AK43" i="1"/>
  <c r="AI44" i="1" s="1"/>
  <c r="AJ44" i="1" s="1"/>
  <c r="AI26" i="1"/>
  <c r="AK69" i="1"/>
  <c r="AJ69" i="1"/>
  <c r="AJ31" i="1"/>
  <c r="AK31" i="1"/>
  <c r="AK32" i="1"/>
  <c r="AI33" i="1" s="1"/>
  <c r="AK18" i="1"/>
  <c r="AI19" i="1" s="1"/>
  <c r="AJ19" i="1" s="1"/>
  <c r="AJ62" i="1" l="1"/>
  <c r="AK62" i="1"/>
  <c r="AI65" i="1" s="1"/>
  <c r="AK49" i="1"/>
  <c r="AJ37" i="1"/>
  <c r="AJ57" i="1"/>
  <c r="AK57" i="1"/>
  <c r="AI70" i="1"/>
  <c r="AI71" i="1"/>
  <c r="AK44" i="1"/>
  <c r="AI45" i="1" s="1"/>
  <c r="AJ45" i="1" s="1"/>
  <c r="AK38" i="1"/>
  <c r="AI39" i="1" s="1"/>
  <c r="AJ38" i="1"/>
  <c r="AJ26" i="1"/>
  <c r="AK26" i="1"/>
  <c r="AI27" i="1" s="1"/>
  <c r="AJ27" i="1" s="1"/>
  <c r="AJ33" i="1"/>
  <c r="AK33" i="1"/>
  <c r="AK19" i="1"/>
  <c r="AI20" i="1" s="1"/>
  <c r="AK20" i="1" s="1"/>
  <c r="AI21" i="1" s="1"/>
  <c r="AJ65" i="1" l="1"/>
  <c r="AK65" i="1"/>
  <c r="AJ71" i="1"/>
  <c r="AK71" i="1"/>
  <c r="AJ70" i="1"/>
  <c r="AK70" i="1"/>
  <c r="AJ39" i="1"/>
  <c r="AK39" i="1"/>
  <c r="AK45" i="1"/>
  <c r="AK27" i="1"/>
  <c r="AJ20" i="1"/>
  <c r="AJ21" i="1"/>
  <c r="AK21" i="1"/>
  <c r="S40" i="1" l="1"/>
  <c r="T40" i="1" s="1"/>
  <c r="S28" i="1"/>
  <c r="T28" i="1" s="1"/>
  <c r="S22" i="1"/>
  <c r="T22" i="1" s="1"/>
  <c r="S52" i="1"/>
  <c r="T52" i="1" s="1"/>
  <c r="S46" i="1"/>
  <c r="T46" i="1" s="1"/>
  <c r="S34" i="1"/>
  <c r="T34" i="1" s="1"/>
  <c r="AD40" i="18" s="1"/>
  <c r="S66" i="1"/>
  <c r="T66" i="1" s="1"/>
  <c r="S58" i="1"/>
  <c r="T58" i="1" s="1"/>
  <c r="S16" i="1"/>
  <c r="T16" i="1" s="1"/>
  <c r="Z42" i="18" l="1"/>
  <c r="N42" i="18"/>
  <c r="AF26" i="18"/>
  <c r="N26" i="18"/>
  <c r="AF18" i="18"/>
  <c r="T10" i="18"/>
  <c r="N34" i="18"/>
  <c r="T34" i="18"/>
  <c r="T18" i="18"/>
  <c r="Z18" i="18"/>
  <c r="Z10" i="18"/>
  <c r="AL18" i="18"/>
  <c r="Z26" i="18"/>
  <c r="V58" i="1"/>
  <c r="U58" i="1"/>
  <c r="AM58" i="1" s="1"/>
  <c r="T42" i="18"/>
  <c r="AF34" i="18"/>
  <c r="AL10" i="18"/>
  <c r="N18" i="18"/>
  <c r="N10" i="18"/>
  <c r="AL34" i="18"/>
  <c r="AL42" i="18"/>
  <c r="AF10" i="18"/>
  <c r="Z34" i="18"/>
  <c r="AF42" i="18"/>
  <c r="AL26" i="18"/>
  <c r="T26" i="18"/>
  <c r="AJ34" i="18"/>
  <c r="R34" i="18"/>
  <c r="R42" i="18"/>
  <c r="AJ26" i="18"/>
  <c r="X10" i="18"/>
  <c r="X42" i="18"/>
  <c r="L42" i="18"/>
  <c r="R18" i="18"/>
  <c r="R26" i="18"/>
  <c r="L34" i="18"/>
  <c r="X26" i="18"/>
  <c r="X34" i="18"/>
  <c r="AD18" i="18"/>
  <c r="AD34" i="18"/>
  <c r="L26" i="18"/>
  <c r="AJ10" i="18"/>
  <c r="U52" i="1"/>
  <c r="AM52" i="1" s="1"/>
  <c r="AJ42" i="18"/>
  <c r="AJ18" i="18"/>
  <c r="AD26" i="18"/>
  <c r="L10" i="18"/>
  <c r="AD10" i="18"/>
  <c r="X18" i="18"/>
  <c r="AD42" i="18"/>
  <c r="L18" i="18"/>
  <c r="R10" i="18"/>
  <c r="V52" i="1"/>
  <c r="U66" i="1"/>
  <c r="AM66" i="1" s="1"/>
  <c r="AM67" i="1" s="1"/>
  <c r="AM68" i="1" s="1"/>
  <c r="AM69" i="1" s="1"/>
  <c r="AB36" i="18"/>
  <c r="AH12" i="18"/>
  <c r="P28" i="18"/>
  <c r="AH20" i="18"/>
  <c r="P36" i="18"/>
  <c r="V12" i="18"/>
  <c r="AH28" i="18"/>
  <c r="AB20" i="18"/>
  <c r="J12" i="18"/>
  <c r="J20" i="18"/>
  <c r="V66" i="1"/>
  <c r="P44" i="18"/>
  <c r="AB44" i="18"/>
  <c r="V28" i="18"/>
  <c r="V36" i="18"/>
  <c r="J28" i="18"/>
  <c r="AH36" i="18"/>
  <c r="J44" i="18"/>
  <c r="P12" i="18"/>
  <c r="AB12" i="18"/>
  <c r="V44" i="18"/>
  <c r="AH44" i="18"/>
  <c r="V20" i="18"/>
  <c r="P20" i="18"/>
  <c r="J36" i="18"/>
  <c r="AB28" i="18"/>
  <c r="T38" i="18"/>
  <c r="AF22" i="18"/>
  <c r="N38" i="18"/>
  <c r="AF30" i="18"/>
  <c r="AL6" i="18"/>
  <c r="Z6" i="18"/>
  <c r="V22" i="1"/>
  <c r="T14" i="18"/>
  <c r="T22" i="18"/>
  <c r="N6" i="18"/>
  <c r="AL30" i="18"/>
  <c r="Z22" i="18"/>
  <c r="Z14" i="18"/>
  <c r="U22" i="1"/>
  <c r="AM22" i="1" s="1"/>
  <c r="AM23" i="1" s="1"/>
  <c r="AM24" i="1" s="1"/>
  <c r="Z30" i="18"/>
  <c r="AL38" i="18"/>
  <c r="AL14" i="18"/>
  <c r="AF6" i="18"/>
  <c r="AL22" i="18"/>
  <c r="T30" i="18"/>
  <c r="Z38" i="18"/>
  <c r="AF14" i="18"/>
  <c r="N30" i="18"/>
  <c r="N14" i="18"/>
  <c r="N22" i="18"/>
  <c r="AF38" i="18"/>
  <c r="T6" i="18"/>
  <c r="U34" i="1"/>
  <c r="AM34" i="1" s="1"/>
  <c r="AM35" i="1" s="1"/>
  <c r="AM36" i="1" s="1"/>
  <c r="AM37" i="1" s="1"/>
  <c r="X32" i="18"/>
  <c r="AD32" i="18"/>
  <c r="AJ8" i="18"/>
  <c r="L16" i="18"/>
  <c r="R32" i="18"/>
  <c r="AJ32" i="18"/>
  <c r="V34" i="1"/>
  <c r="R40" i="18"/>
  <c r="AJ40" i="18"/>
  <c r="AD24" i="18"/>
  <c r="AJ24" i="18"/>
  <c r="R24" i="18"/>
  <c r="AJ16" i="18"/>
  <c r="AD8" i="18"/>
  <c r="L32" i="18"/>
  <c r="L40" i="18"/>
  <c r="R16" i="18"/>
  <c r="L24" i="18"/>
  <c r="AD16" i="18"/>
  <c r="L8" i="18"/>
  <c r="R8" i="18"/>
  <c r="X40" i="18"/>
  <c r="X8" i="18"/>
  <c r="X16" i="18"/>
  <c r="X24" i="18"/>
  <c r="U28" i="1"/>
  <c r="AM28" i="1" s="1"/>
  <c r="AM29" i="1" s="1"/>
  <c r="J40" i="18"/>
  <c r="J16" i="18"/>
  <c r="P16" i="18"/>
  <c r="V8" i="18"/>
  <c r="J8" i="18"/>
  <c r="J24" i="18"/>
  <c r="AH16" i="18"/>
  <c r="AB16" i="18"/>
  <c r="AB40" i="18"/>
  <c r="P32" i="18"/>
  <c r="P40" i="18"/>
  <c r="AH24" i="18"/>
  <c r="AB32" i="18"/>
  <c r="J32" i="18"/>
  <c r="V16" i="18"/>
  <c r="V40" i="18"/>
  <c r="AH32" i="18"/>
  <c r="V24" i="18"/>
  <c r="V32" i="18"/>
  <c r="AH8" i="18"/>
  <c r="AB8" i="18"/>
  <c r="P8" i="18"/>
  <c r="V28" i="1"/>
  <c r="AH40" i="18"/>
  <c r="AB24" i="18"/>
  <c r="P24" i="18"/>
  <c r="AD38" i="18"/>
  <c r="L30" i="18"/>
  <c r="AD30" i="18"/>
  <c r="AJ6" i="18"/>
  <c r="L14" i="18"/>
  <c r="L22" i="18"/>
  <c r="X6" i="18"/>
  <c r="L6" i="18"/>
  <c r="V16" i="1"/>
  <c r="R38" i="18"/>
  <c r="AJ38" i="18"/>
  <c r="L38" i="18"/>
  <c r="AD6" i="18"/>
  <c r="R6" i="18"/>
  <c r="AJ30" i="18"/>
  <c r="R30" i="18"/>
  <c r="AD22" i="18"/>
  <c r="AJ14" i="18"/>
  <c r="AJ22" i="18"/>
  <c r="AD14" i="18"/>
  <c r="X38" i="18"/>
  <c r="X14" i="18"/>
  <c r="R22" i="18"/>
  <c r="X22" i="18"/>
  <c r="U16" i="1"/>
  <c r="AM16" i="1" s="1"/>
  <c r="AM17" i="1" s="1"/>
  <c r="AM18" i="1" s="1"/>
  <c r="R14" i="18"/>
  <c r="X30" i="18"/>
  <c r="J6" i="18"/>
  <c r="AB38" i="18"/>
  <c r="AH30" i="18"/>
  <c r="P14" i="18"/>
  <c r="AH14" i="18"/>
  <c r="AB22" i="18"/>
  <c r="J30" i="18"/>
  <c r="J38" i="18"/>
  <c r="P30" i="18"/>
  <c r="P22" i="18"/>
  <c r="J22" i="18"/>
  <c r="V22" i="18"/>
  <c r="AH38" i="18"/>
  <c r="V30" i="18"/>
  <c r="P38" i="18"/>
  <c r="AH6" i="18"/>
  <c r="AH22" i="18"/>
  <c r="AB30" i="18"/>
  <c r="V38" i="18"/>
  <c r="V14" i="18"/>
  <c r="J14" i="18"/>
  <c r="AB14" i="18"/>
  <c r="AB6" i="18"/>
  <c r="V6" i="18"/>
  <c r="P6" i="18"/>
  <c r="U46" i="1"/>
  <c r="AM46" i="1" s="1"/>
  <c r="AH34" i="18"/>
  <c r="AH42" i="18"/>
  <c r="AH18" i="18"/>
  <c r="AB10" i="18"/>
  <c r="J26" i="18"/>
  <c r="V18" i="18"/>
  <c r="V42" i="18"/>
  <c r="J42" i="18"/>
  <c r="P10" i="18"/>
  <c r="AB26" i="18"/>
  <c r="J34" i="18"/>
  <c r="J18" i="18"/>
  <c r="AH10" i="18"/>
  <c r="AB34" i="18"/>
  <c r="P26" i="18"/>
  <c r="P34" i="18"/>
  <c r="V34" i="18"/>
  <c r="AH26" i="18"/>
  <c r="J10" i="18"/>
  <c r="V46" i="1"/>
  <c r="P18" i="18"/>
  <c r="AB42" i="18"/>
  <c r="V10" i="18"/>
  <c r="AB18" i="18"/>
  <c r="P42" i="18"/>
  <c r="V26" i="18"/>
  <c r="Z32" i="18"/>
  <c r="N24" i="18"/>
  <c r="AL32" i="18"/>
  <c r="AL40" i="18"/>
  <c r="N8" i="18"/>
  <c r="AF24" i="18"/>
  <c r="Z40" i="18"/>
  <c r="Z16" i="18"/>
  <c r="N32" i="18"/>
  <c r="T32" i="18"/>
  <c r="N40" i="18"/>
  <c r="T8" i="18"/>
  <c r="U40" i="1"/>
  <c r="AM40" i="1" s="1"/>
  <c r="AM41" i="1" s="1"/>
  <c r="AF32" i="18"/>
  <c r="AL8" i="18"/>
  <c r="T24" i="18"/>
  <c r="N16" i="18"/>
  <c r="T16" i="18"/>
  <c r="Z24" i="18"/>
  <c r="AF16" i="18"/>
  <c r="V40" i="1"/>
  <c r="T40" i="18"/>
  <c r="AF8" i="18"/>
  <c r="AL24" i="18"/>
  <c r="Z8" i="18"/>
  <c r="AF40" i="18"/>
  <c r="AL16" i="18"/>
  <c r="AL58" i="1" l="1"/>
  <c r="AN58" i="1" s="1"/>
  <c r="AM59" i="1"/>
  <c r="AL28" i="1"/>
  <c r="AL66" i="1"/>
  <c r="AL40" i="1"/>
  <c r="AL52" i="1"/>
  <c r="AL16" i="1"/>
  <c r="AL22" i="1"/>
  <c r="AL46" i="1"/>
  <c r="AL34" i="1"/>
  <c r="AL59" i="1" l="1"/>
  <c r="AN59" i="1" s="1"/>
  <c r="AM60" i="1"/>
  <c r="AL47" i="1"/>
  <c r="AL53" i="1"/>
  <c r="AL35" i="1"/>
  <c r="AL41" i="1"/>
  <c r="AL29" i="1"/>
  <c r="AL23" i="1"/>
  <c r="J40" i="19"/>
  <c r="V30" i="19"/>
  <c r="AH20" i="19"/>
  <c r="J30" i="19"/>
  <c r="V20" i="19"/>
  <c r="AH10" i="19"/>
  <c r="P10" i="19"/>
  <c r="AB50" i="19"/>
  <c r="J50" i="19"/>
  <c r="AB40" i="19"/>
  <c r="P30" i="19"/>
  <c r="V50" i="19"/>
  <c r="P50" i="19"/>
  <c r="AB10" i="19"/>
  <c r="AH30" i="19"/>
  <c r="AH40" i="19"/>
  <c r="J10" i="19"/>
  <c r="AB20" i="19"/>
  <c r="AH50" i="19"/>
  <c r="AN34" i="1"/>
  <c r="V10" i="19"/>
  <c r="P20" i="19"/>
  <c r="J20" i="19"/>
  <c r="P40" i="19"/>
  <c r="V40" i="19"/>
  <c r="AB30" i="19"/>
  <c r="J11" i="19"/>
  <c r="V11" i="19"/>
  <c r="AB21" i="19"/>
  <c r="P31" i="19"/>
  <c r="J31" i="19"/>
  <c r="AB41" i="19"/>
  <c r="AN40" i="1"/>
  <c r="AH41" i="19"/>
  <c r="P41" i="19"/>
  <c r="J21" i="19"/>
  <c r="AB31" i="19"/>
  <c r="AB51" i="19"/>
  <c r="P21" i="19"/>
  <c r="V41" i="19"/>
  <c r="V31" i="19"/>
  <c r="AH21" i="19"/>
  <c r="AB11" i="19"/>
  <c r="P51" i="19"/>
  <c r="V21" i="19"/>
  <c r="AH31" i="19"/>
  <c r="V51" i="19"/>
  <c r="J51" i="19"/>
  <c r="AH51" i="19"/>
  <c r="AH11" i="19"/>
  <c r="J41" i="19"/>
  <c r="P11" i="19"/>
  <c r="AB36" i="19"/>
  <c r="AH16" i="19"/>
  <c r="P16" i="19"/>
  <c r="V46" i="19"/>
  <c r="J6" i="19"/>
  <c r="AB16" i="19"/>
  <c r="V26" i="19"/>
  <c r="V16" i="19"/>
  <c r="AB6" i="19"/>
  <c r="J26" i="19"/>
  <c r="P6" i="19"/>
  <c r="AH46" i="19"/>
  <c r="P46" i="19"/>
  <c r="AH26" i="19"/>
  <c r="AH36" i="19"/>
  <c r="V36" i="19"/>
  <c r="P36" i="19"/>
  <c r="V6" i="19"/>
  <c r="AH6" i="19"/>
  <c r="AB46" i="19"/>
  <c r="AB26" i="19"/>
  <c r="J16" i="19"/>
  <c r="P26" i="19"/>
  <c r="J36" i="19"/>
  <c r="J46" i="19"/>
  <c r="V25" i="19"/>
  <c r="AH25" i="19"/>
  <c r="P45" i="19"/>
  <c r="AH45" i="19"/>
  <c r="AH15" i="19"/>
  <c r="AB55" i="19"/>
  <c r="J45" i="19"/>
  <c r="AH35" i="19"/>
  <c r="V45" i="19"/>
  <c r="AH55" i="19"/>
  <c r="V15" i="19"/>
  <c r="J25" i="19"/>
  <c r="V35" i="19"/>
  <c r="AN66" i="1"/>
  <c r="P25" i="19"/>
  <c r="V55" i="19"/>
  <c r="J15" i="19"/>
  <c r="AB15" i="19"/>
  <c r="J35" i="19"/>
  <c r="AB35" i="19"/>
  <c r="J55" i="19"/>
  <c r="AB25" i="19"/>
  <c r="P35" i="19"/>
  <c r="P55" i="19"/>
  <c r="AB45" i="19"/>
  <c r="P15" i="19"/>
  <c r="J47" i="19"/>
  <c r="V27" i="19"/>
  <c r="AH7" i="19"/>
  <c r="P47" i="19"/>
  <c r="AB27" i="19"/>
  <c r="J17" i="19"/>
  <c r="V47" i="19"/>
  <c r="J37" i="19"/>
  <c r="AN16" i="1"/>
  <c r="AB37" i="19"/>
  <c r="J27" i="19"/>
  <c r="V7" i="19"/>
  <c r="AH37" i="19"/>
  <c r="P27" i="19"/>
  <c r="AB7" i="19"/>
  <c r="P17" i="19"/>
  <c r="V17" i="19"/>
  <c r="AH47" i="19"/>
  <c r="P37" i="19"/>
  <c r="AB17" i="19"/>
  <c r="J7" i="19"/>
  <c r="V37" i="19"/>
  <c r="AH17" i="19"/>
  <c r="P7" i="19"/>
  <c r="AH27" i="19"/>
  <c r="AB47" i="19"/>
  <c r="AN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N28" i="1"/>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N22" i="1"/>
  <c r="AH8" i="19"/>
  <c r="P18" i="19"/>
  <c r="AB28" i="19"/>
  <c r="P38" i="19"/>
  <c r="AB48" i="19"/>
  <c r="J28" i="19"/>
  <c r="V38" i="19"/>
  <c r="AH38" i="19"/>
  <c r="V8" i="19"/>
  <c r="J48" i="19"/>
  <c r="AH28" i="19"/>
  <c r="P48" i="19"/>
  <c r="AH48" i="19"/>
  <c r="V28" i="19"/>
  <c r="AB38" i="19"/>
  <c r="AB18" i="19"/>
  <c r="AH18" i="19"/>
  <c r="AB8" i="19"/>
  <c r="V48" i="19"/>
  <c r="J8" i="19"/>
  <c r="V18" i="19"/>
  <c r="P28" i="19"/>
  <c r="P8" i="19"/>
  <c r="J18" i="19"/>
  <c r="J38" i="19"/>
  <c r="AL42" i="1"/>
  <c r="V32" i="19"/>
  <c r="P42" i="19"/>
  <c r="J12" i="19"/>
  <c r="J32" i="19"/>
  <c r="AB52" i="19"/>
  <c r="AN46" i="1"/>
  <c r="J22" i="19"/>
  <c r="V22" i="19"/>
  <c r="J52" i="19"/>
  <c r="AH12" i="19"/>
  <c r="J42" i="19"/>
  <c r="AH42" i="19"/>
  <c r="P32" i="19"/>
  <c r="AB12" i="19"/>
  <c r="AH32" i="19"/>
  <c r="AB32" i="19"/>
  <c r="AB42" i="19"/>
  <c r="V42" i="19"/>
  <c r="V12" i="19"/>
  <c r="V52" i="19"/>
  <c r="AB22" i="19"/>
  <c r="AH52" i="19"/>
  <c r="AH22" i="19"/>
  <c r="P22" i="19"/>
  <c r="P12" i="19"/>
  <c r="P52" i="19"/>
  <c r="AL48" i="1"/>
  <c r="AL17" i="1"/>
  <c r="AL60" i="1" l="1"/>
  <c r="AN60" i="1" s="1"/>
  <c r="AM61" i="1"/>
  <c r="AL67" i="1"/>
  <c r="K45" i="19" s="1"/>
  <c r="AL49" i="1"/>
  <c r="S12" i="19" s="1"/>
  <c r="W37" i="19"/>
  <c r="AI7" i="19"/>
  <c r="W17" i="19"/>
  <c r="W27" i="19"/>
  <c r="Q47" i="19"/>
  <c r="W7" i="19"/>
  <c r="AI17" i="19"/>
  <c r="K47" i="19"/>
  <c r="AI47" i="19"/>
  <c r="Q27" i="19"/>
  <c r="AC27" i="19"/>
  <c r="AC47" i="19"/>
  <c r="AC37" i="19"/>
  <c r="AI37" i="19"/>
  <c r="AN17" i="1"/>
  <c r="AC17" i="19"/>
  <c r="K37" i="19"/>
  <c r="AC7" i="19"/>
  <c r="W47" i="19"/>
  <c r="Q37" i="19"/>
  <c r="AI27" i="19"/>
  <c r="Q7" i="19"/>
  <c r="K27" i="19"/>
  <c r="K17" i="19"/>
  <c r="K7" i="19"/>
  <c r="Q17" i="19"/>
  <c r="AC14" i="19"/>
  <c r="Q14" i="19"/>
  <c r="AI54" i="19"/>
  <c r="Q54" i="19"/>
  <c r="Q24" i="19"/>
  <c r="AI14" i="19"/>
  <c r="W24" i="19"/>
  <c r="AC44" i="19"/>
  <c r="K54" i="19"/>
  <c r="AI34" i="19"/>
  <c r="W14" i="19"/>
  <c r="K24" i="19"/>
  <c r="AC24" i="19"/>
  <c r="AI44" i="19"/>
  <c r="AI24" i="19"/>
  <c r="W44" i="19"/>
  <c r="Q44" i="19"/>
  <c r="AC54" i="19"/>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N41" i="1"/>
  <c r="P54" i="19"/>
  <c r="AH14" i="19"/>
  <c r="AB14" i="19"/>
  <c r="AH34" i="19"/>
  <c r="AB54" i="19"/>
  <c r="AH54" i="19"/>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N48" i="1"/>
  <c r="AD12" i="19"/>
  <c r="AD32" i="19"/>
  <c r="AD22" i="19"/>
  <c r="X52" i="19"/>
  <c r="AD52" i="19"/>
  <c r="L42" i="19"/>
  <c r="R42" i="19"/>
  <c r="AJ21" i="19"/>
  <c r="AD31" i="19"/>
  <c r="R21" i="19"/>
  <c r="AD41" i="19"/>
  <c r="AJ11" i="19"/>
  <c r="AJ51" i="19"/>
  <c r="AN42" i="1"/>
  <c r="L41" i="19"/>
  <c r="AD11" i="19"/>
  <c r="L21" i="19"/>
  <c r="L11" i="19"/>
  <c r="X51" i="19"/>
  <c r="X21" i="19"/>
  <c r="R11" i="19"/>
  <c r="R31" i="19"/>
  <c r="AJ41" i="19"/>
  <c r="L31" i="19"/>
  <c r="R51" i="19"/>
  <c r="X31" i="19"/>
  <c r="X11" i="19"/>
  <c r="X41" i="19"/>
  <c r="AJ31" i="19"/>
  <c r="AD51" i="19"/>
  <c r="R41" i="19"/>
  <c r="AD21" i="19"/>
  <c r="L51" i="19"/>
  <c r="AL18" i="1"/>
  <c r="AL30" i="1"/>
  <c r="AL54" i="1"/>
  <c r="K42" i="19"/>
  <c r="AC32" i="19"/>
  <c r="W42" i="19"/>
  <c r="AI52" i="19"/>
  <c r="K22" i="19"/>
  <c r="Q32" i="19"/>
  <c r="AI12" i="19"/>
  <c r="AC52" i="19"/>
  <c r="Q42" i="19"/>
  <c r="AC42" i="19"/>
  <c r="K12" i="19"/>
  <c r="Q22" i="19"/>
  <c r="W52" i="19"/>
  <c r="AI42" i="19"/>
  <c r="W32" i="19"/>
  <c r="AI22" i="19"/>
  <c r="W12" i="19"/>
  <c r="AI32" i="19"/>
  <c r="AC12" i="19"/>
  <c r="Q12" i="19"/>
  <c r="Q52" i="19"/>
  <c r="AN47" i="1"/>
  <c r="K32" i="19"/>
  <c r="W22" i="19"/>
  <c r="K52" i="19"/>
  <c r="AC22" i="19"/>
  <c r="AC40" i="19"/>
  <c r="W10" i="19"/>
  <c r="AC50" i="19"/>
  <c r="Q10" i="19"/>
  <c r="Q30" i="19"/>
  <c r="W50" i="19"/>
  <c r="K40" i="19"/>
  <c r="Q50" i="19"/>
  <c r="W20" i="19"/>
  <c r="AN35" i="1"/>
  <c r="K10" i="19"/>
  <c r="Q40" i="19"/>
  <c r="K30" i="19"/>
  <c r="AI50" i="19"/>
  <c r="AI20" i="19"/>
  <c r="K50" i="19"/>
  <c r="AI40" i="19"/>
  <c r="W40" i="19"/>
  <c r="K20" i="19"/>
  <c r="AC10" i="19"/>
  <c r="AI10" i="19"/>
  <c r="AC20" i="19"/>
  <c r="AI30" i="19"/>
  <c r="AC30" i="19"/>
  <c r="W30" i="19"/>
  <c r="Q20" i="19"/>
  <c r="AI6" i="19"/>
  <c r="W26" i="19"/>
  <c r="AI36" i="19"/>
  <c r="W36" i="19"/>
  <c r="K46" i="19"/>
  <c r="Q46" i="19"/>
  <c r="W16" i="19"/>
  <c r="Q6" i="19"/>
  <c r="AI16" i="19"/>
  <c r="K26" i="19"/>
  <c r="AI26" i="19"/>
  <c r="AC36" i="19"/>
  <c r="AI46" i="19"/>
  <c r="AC26" i="19"/>
  <c r="K36" i="19"/>
  <c r="K6" i="19"/>
  <c r="Q36" i="19"/>
  <c r="W46" i="19"/>
  <c r="AC6" i="19"/>
  <c r="K16" i="19"/>
  <c r="AC46" i="19"/>
  <c r="AC16" i="19"/>
  <c r="Q26" i="19"/>
  <c r="Q16" i="19"/>
  <c r="W6" i="19"/>
  <c r="K39" i="19"/>
  <c r="AC39" i="19"/>
  <c r="W29" i="19"/>
  <c r="AI49" i="19"/>
  <c r="W9" i="19"/>
  <c r="AC19" i="19"/>
  <c r="Q49" i="19"/>
  <c r="W49" i="19"/>
  <c r="AC9" i="19"/>
  <c r="AI9" i="19"/>
  <c r="Q29" i="19"/>
  <c r="W39" i="19"/>
  <c r="Q39" i="19"/>
  <c r="AN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N53" i="1"/>
  <c r="Q33" i="19"/>
  <c r="AI23" i="19"/>
  <c r="K53" i="19"/>
  <c r="AC23" i="19"/>
  <c r="AC13" i="19"/>
  <c r="W23" i="19"/>
  <c r="W33" i="19"/>
  <c r="Q13" i="19"/>
  <c r="W13" i="19"/>
  <c r="AI13" i="19"/>
  <c r="Q43" i="19"/>
  <c r="Q23" i="19"/>
  <c r="W53" i="19"/>
  <c r="AL43" i="1"/>
  <c r="AL45" i="1"/>
  <c r="AL44" i="1"/>
  <c r="AL36" i="1"/>
  <c r="AC18" i="19"/>
  <c r="W28" i="19"/>
  <c r="W38" i="19"/>
  <c r="K18" i="19"/>
  <c r="AC8" i="19"/>
  <c r="AI48" i="19"/>
  <c r="AI28" i="19"/>
  <c r="K8" i="19"/>
  <c r="W18" i="19"/>
  <c r="W8" i="19"/>
  <c r="K38" i="19"/>
  <c r="AC28" i="19"/>
  <c r="AI8" i="19"/>
  <c r="Q8" i="19"/>
  <c r="W48" i="19"/>
  <c r="AI18" i="19"/>
  <c r="Q48" i="19"/>
  <c r="K48" i="19"/>
  <c r="Q38" i="19"/>
  <c r="K28" i="19"/>
  <c r="AC38" i="19"/>
  <c r="AC48" i="19"/>
  <c r="AI38" i="19"/>
  <c r="Q18" i="19"/>
  <c r="Q28" i="19"/>
  <c r="AN23" i="1"/>
  <c r="AL61" i="1" l="1"/>
  <c r="AN61" i="1" s="1"/>
  <c r="AM62" i="1"/>
  <c r="M22" i="19"/>
  <c r="S22" i="19"/>
  <c r="Y52" i="19"/>
  <c r="S42" i="19"/>
  <c r="AN49" i="1"/>
  <c r="AE42" i="19"/>
  <c r="AE32" i="19"/>
  <c r="AE22" i="19"/>
  <c r="AK42" i="19"/>
  <c r="AK32" i="19"/>
  <c r="AK52" i="19"/>
  <c r="M12" i="19"/>
  <c r="S52" i="19"/>
  <c r="AK22" i="19"/>
  <c r="AK12" i="19"/>
  <c r="AE52" i="19"/>
  <c r="Y42" i="19"/>
  <c r="Q55" i="19"/>
  <c r="Y22" i="19"/>
  <c r="Y32" i="19"/>
  <c r="AE12" i="19"/>
  <c r="M52" i="19"/>
  <c r="Y12" i="19"/>
  <c r="S32" i="19"/>
  <c r="M32" i="19"/>
  <c r="M42" i="19"/>
  <c r="W45" i="19"/>
  <c r="K25" i="19"/>
  <c r="W55" i="19"/>
  <c r="AI25" i="19"/>
  <c r="AI45" i="19"/>
  <c r="Q25" i="19"/>
  <c r="AN67" i="1"/>
  <c r="AC35" i="19"/>
  <c r="AI15" i="19"/>
  <c r="Q35" i="19"/>
  <c r="W25" i="19"/>
  <c r="AC25" i="19"/>
  <c r="AI55" i="19"/>
  <c r="K15" i="19"/>
  <c r="Q15" i="19"/>
  <c r="K35" i="19"/>
  <c r="W35" i="19"/>
  <c r="W15" i="19"/>
  <c r="AC15" i="19"/>
  <c r="Q45" i="19"/>
  <c r="AC55" i="19"/>
  <c r="K55" i="19"/>
  <c r="AC45" i="19"/>
  <c r="AI35" i="19"/>
  <c r="AL68" i="1"/>
  <c r="AL24" i="1"/>
  <c r="R18" i="19" s="1"/>
  <c r="R40" i="19"/>
  <c r="AD10" i="19"/>
  <c r="X40" i="19"/>
  <c r="AJ10" i="19"/>
  <c r="R50" i="19"/>
  <c r="X10" i="19"/>
  <c r="R30" i="19"/>
  <c r="AN36" i="1"/>
  <c r="L10" i="19"/>
  <c r="L50" i="19"/>
  <c r="AJ20" i="19"/>
  <c r="AJ40" i="19"/>
  <c r="AD30" i="19"/>
  <c r="R20" i="19"/>
  <c r="AD50" i="19"/>
  <c r="AJ30" i="19"/>
  <c r="AJ50" i="19"/>
  <c r="X30" i="19"/>
  <c r="AD20" i="19"/>
  <c r="L40" i="19"/>
  <c r="X50" i="19"/>
  <c r="X20" i="19"/>
  <c r="AD40" i="19"/>
  <c r="R10" i="19"/>
  <c r="L30" i="19"/>
  <c r="L20" i="19"/>
  <c r="AL55" i="1"/>
  <c r="AL71" i="1"/>
  <c r="AD47" i="19"/>
  <c r="AJ27" i="19"/>
  <c r="AD27" i="19"/>
  <c r="AJ7" i="19"/>
  <c r="AJ37" i="19"/>
  <c r="L27" i="19"/>
  <c r="AD17" i="19"/>
  <c r="L37" i="19"/>
  <c r="R17" i="19"/>
  <c r="AJ17" i="19"/>
  <c r="X7" i="19"/>
  <c r="X47" i="19"/>
  <c r="L7" i="19"/>
  <c r="L17" i="19"/>
  <c r="R27" i="19"/>
  <c r="X27" i="19"/>
  <c r="R7" i="19"/>
  <c r="X17" i="19"/>
  <c r="AJ47" i="19"/>
  <c r="L47" i="19"/>
  <c r="R37" i="19"/>
  <c r="AD7" i="19"/>
  <c r="X37" i="19"/>
  <c r="AN18" i="1"/>
  <c r="R47" i="19"/>
  <c r="AD37" i="19"/>
  <c r="AL26" i="1"/>
  <c r="AL25" i="1"/>
  <c r="AL27" i="1"/>
  <c r="AJ43" i="19"/>
  <c r="AD33" i="19"/>
  <c r="X33" i="19"/>
  <c r="X13" i="19"/>
  <c r="AD43" i="19"/>
  <c r="L43" i="19"/>
  <c r="AN54" i="1"/>
  <c r="X23" i="19"/>
  <c r="R33" i="19"/>
  <c r="R43" i="19"/>
  <c r="AD53" i="19"/>
  <c r="AJ13" i="19"/>
  <c r="R23" i="19"/>
  <c r="R13" i="19"/>
  <c r="AJ53" i="19"/>
  <c r="L33" i="19"/>
  <c r="L23" i="19"/>
  <c r="X43" i="19"/>
  <c r="X53" i="19"/>
  <c r="AD13" i="19"/>
  <c r="L53" i="19"/>
  <c r="L13" i="19"/>
  <c r="AD23" i="19"/>
  <c r="AJ33" i="19"/>
  <c r="AJ23" i="19"/>
  <c r="R53" i="19"/>
  <c r="AL19" i="1"/>
  <c r="Z11" i="19"/>
  <c r="AF31" i="19"/>
  <c r="T51" i="19"/>
  <c r="N51" i="19"/>
  <c r="Z41" i="19"/>
  <c r="AF21" i="19"/>
  <c r="AL31" i="19"/>
  <c r="T31" i="19"/>
  <c r="Z31" i="19"/>
  <c r="N21" i="19"/>
  <c r="N31" i="19"/>
  <c r="AL11" i="19"/>
  <c r="T11" i="19"/>
  <c r="AF11" i="19"/>
  <c r="AL41" i="19"/>
  <c r="T21" i="19"/>
  <c r="Z21" i="19"/>
  <c r="AL51" i="19"/>
  <c r="N11" i="19"/>
  <c r="AF51" i="19"/>
  <c r="N41" i="19"/>
  <c r="Z51" i="19"/>
  <c r="AN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O11" i="19"/>
  <c r="O21" i="19"/>
  <c r="O51" i="19"/>
  <c r="AA31" i="19"/>
  <c r="AM31" i="19"/>
  <c r="AG51" i="19"/>
  <c r="AA41" i="19"/>
  <c r="AM11" i="19"/>
  <c r="U21" i="19"/>
  <c r="AG41" i="19"/>
  <c r="AM21" i="19"/>
  <c r="AM51" i="19"/>
  <c r="O41" i="19"/>
  <c r="U11" i="19"/>
  <c r="AG31" i="19"/>
  <c r="U41" i="19"/>
  <c r="AN45" i="1"/>
  <c r="AG11" i="19"/>
  <c r="AM41" i="19"/>
  <c r="AA21" i="19"/>
  <c r="AA51" i="19"/>
  <c r="U51" i="19"/>
  <c r="U31" i="19"/>
  <c r="AA11" i="19"/>
  <c r="AG21" i="19"/>
  <c r="O31" i="19"/>
  <c r="AL31" i="1"/>
  <c r="AL32" i="1"/>
  <c r="AL33" i="1"/>
  <c r="AJ46" i="19"/>
  <c r="AD46" i="19"/>
  <c r="L36" i="19"/>
  <c r="X16" i="19"/>
  <c r="AJ26" i="19"/>
  <c r="L46" i="19"/>
  <c r="X6" i="19"/>
  <c r="R36" i="19"/>
  <c r="X36" i="19"/>
  <c r="R6" i="19"/>
  <c r="AJ6" i="19"/>
  <c r="AD36" i="19"/>
  <c r="R46" i="19"/>
  <c r="AD26" i="19"/>
  <c r="L16" i="19"/>
  <c r="AD16" i="19"/>
  <c r="X46" i="19"/>
  <c r="X26" i="19"/>
  <c r="AJ36" i="19"/>
  <c r="R26" i="19"/>
  <c r="AD6" i="19"/>
  <c r="L6" i="19"/>
  <c r="L26" i="19"/>
  <c r="R16" i="19"/>
  <c r="AJ16" i="19"/>
  <c r="AL37" i="1"/>
  <c r="AE11" i="19"/>
  <c r="Y41" i="19"/>
  <c r="M41" i="19"/>
  <c r="Y21" i="19"/>
  <c r="AK41" i="19"/>
  <c r="S31" i="19"/>
  <c r="M31" i="19"/>
  <c r="M51" i="19"/>
  <c r="Y51" i="19"/>
  <c r="AK21" i="19"/>
  <c r="AK31" i="19"/>
  <c r="Y11" i="19"/>
  <c r="AE41" i="19"/>
  <c r="AE21" i="19"/>
  <c r="S51" i="19"/>
  <c r="AE51" i="19"/>
  <c r="AK51" i="19"/>
  <c r="M21" i="19"/>
  <c r="AE31" i="19"/>
  <c r="AN43" i="1"/>
  <c r="S41" i="19"/>
  <c r="AK11" i="19"/>
  <c r="S11" i="19"/>
  <c r="Y31" i="19"/>
  <c r="S21" i="19"/>
  <c r="M11" i="19"/>
  <c r="L54" i="19"/>
  <c r="AJ14" i="19"/>
  <c r="AD44" i="19"/>
  <c r="X54" i="19"/>
  <c r="R14" i="19"/>
  <c r="AD24" i="19"/>
  <c r="AD34" i="19"/>
  <c r="R54" i="19"/>
  <c r="L34" i="19"/>
  <c r="AJ34" i="19"/>
  <c r="X24" i="19"/>
  <c r="AJ24" i="19"/>
  <c r="X44" i="19"/>
  <c r="R24" i="19"/>
  <c r="X34" i="19"/>
  <c r="L14" i="19"/>
  <c r="AD14" i="19"/>
  <c r="L44" i="19"/>
  <c r="R44" i="19"/>
  <c r="AD54" i="19"/>
  <c r="X14" i="19"/>
  <c r="AJ44" i="19"/>
  <c r="R34" i="19"/>
  <c r="AJ54" i="19"/>
  <c r="L24" i="19"/>
  <c r="AD29" i="19"/>
  <c r="AD19" i="19"/>
  <c r="R39" i="19"/>
  <c r="R9" i="19"/>
  <c r="X49" i="19"/>
  <c r="X9" i="19"/>
  <c r="AD39" i="19"/>
  <c r="R29" i="19"/>
  <c r="L49" i="19"/>
  <c r="X19" i="19"/>
  <c r="X29" i="19"/>
  <c r="X39" i="19"/>
  <c r="L9" i="19"/>
  <c r="AN30" i="1"/>
  <c r="AD9" i="19"/>
  <c r="AJ49" i="19"/>
  <c r="L39" i="19"/>
  <c r="R19" i="19"/>
  <c r="AJ39" i="19"/>
  <c r="AJ29" i="19"/>
  <c r="AJ19" i="19"/>
  <c r="AJ9" i="19"/>
  <c r="AD49" i="19"/>
  <c r="L19" i="19"/>
  <c r="L29" i="19"/>
  <c r="R49" i="19"/>
  <c r="AL62" i="1" l="1"/>
  <c r="AN62" i="1" s="1"/>
  <c r="AM65" i="1"/>
  <c r="AL65" i="1" s="1"/>
  <c r="AN65" i="1" s="1"/>
  <c r="R15" i="19"/>
  <c r="R55" i="19"/>
  <c r="AD25" i="19"/>
  <c r="L55" i="19"/>
  <c r="AJ35" i="19"/>
  <c r="X55" i="19"/>
  <c r="X35" i="19"/>
  <c r="AN68" i="1"/>
  <c r="AD15" i="19"/>
  <c r="X25" i="19"/>
  <c r="X45" i="19"/>
  <c r="L35" i="19"/>
  <c r="R35" i="19"/>
  <c r="AJ15" i="19"/>
  <c r="L15" i="19"/>
  <c r="AJ25" i="19"/>
  <c r="AJ55" i="19"/>
  <c r="L45" i="19"/>
  <c r="AD35" i="19"/>
  <c r="R25" i="19"/>
  <c r="AD45" i="19"/>
  <c r="R45" i="19"/>
  <c r="AD55" i="19"/>
  <c r="X15" i="19"/>
  <c r="L25" i="19"/>
  <c r="AJ45" i="19"/>
  <c r="AL70" i="1"/>
  <c r="Z35" i="19" s="1"/>
  <c r="AL69" i="1"/>
  <c r="AJ48" i="19"/>
  <c r="L18" i="19"/>
  <c r="AD8" i="19"/>
  <c r="AJ8" i="19"/>
  <c r="AJ28" i="19"/>
  <c r="R48" i="19"/>
  <c r="X48" i="19"/>
  <c r="L8" i="19"/>
  <c r="AD28" i="19"/>
  <c r="X38" i="19"/>
  <c r="AN24" i="1"/>
  <c r="X8" i="19"/>
  <c r="L48" i="19"/>
  <c r="AD48" i="19"/>
  <c r="AD38" i="19"/>
  <c r="X18" i="19"/>
  <c r="R38" i="19"/>
  <c r="R8" i="19"/>
  <c r="L38" i="19"/>
  <c r="R28" i="19"/>
  <c r="AJ38" i="19"/>
  <c r="AD18" i="19"/>
  <c r="L28" i="19"/>
  <c r="AJ18" i="19"/>
  <c r="X28" i="19"/>
  <c r="AL38" i="1"/>
  <c r="AL39" i="1"/>
  <c r="AG39" i="19"/>
  <c r="AG29" i="19"/>
  <c r="AM19" i="19"/>
  <c r="O39" i="19"/>
  <c r="AN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E24" i="19"/>
  <c r="S14" i="19"/>
  <c r="AK17" i="19"/>
  <c r="S27" i="19"/>
  <c r="S37" i="19"/>
  <c r="AE27" i="19"/>
  <c r="Y47" i="19"/>
  <c r="S7" i="19"/>
  <c r="M17" i="19"/>
  <c r="AE17" i="19"/>
  <c r="AK27" i="19"/>
  <c r="Y7" i="19"/>
  <c r="Y37" i="19"/>
  <c r="AE37" i="19"/>
  <c r="Y27" i="19"/>
  <c r="M47" i="19"/>
  <c r="AN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N25" i="1"/>
  <c r="AE28" i="19"/>
  <c r="AA55" i="19"/>
  <c r="O45" i="19"/>
  <c r="AA15" i="19"/>
  <c r="AM55" i="19"/>
  <c r="O55" i="19"/>
  <c r="AG35" i="19"/>
  <c r="AM25" i="19"/>
  <c r="AM35" i="19"/>
  <c r="AA25" i="19"/>
  <c r="AM45" i="19"/>
  <c r="AG25" i="19"/>
  <c r="AA35" i="19"/>
  <c r="O25" i="19"/>
  <c r="U25" i="19"/>
  <c r="AG45" i="19"/>
  <c r="U35" i="19"/>
  <c r="AA45" i="19"/>
  <c r="AM15" i="19"/>
  <c r="U45" i="19"/>
  <c r="O35" i="19"/>
  <c r="O15" i="19"/>
  <c r="AN71" i="1"/>
  <c r="AG15" i="19"/>
  <c r="U15" i="19"/>
  <c r="AG55" i="19"/>
  <c r="U55" i="19"/>
  <c r="AE40" i="19"/>
  <c r="Y30" i="19"/>
  <c r="M20" i="19"/>
  <c r="AN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N32" i="1"/>
  <c r="T19" i="19"/>
  <c r="AL49" i="19"/>
  <c r="T29" i="19"/>
  <c r="AF29" i="19"/>
  <c r="T18" i="19"/>
  <c r="N48" i="19"/>
  <c r="N8" i="19"/>
  <c r="T28" i="19"/>
  <c r="AF38" i="19"/>
  <c r="Z28" i="19"/>
  <c r="Z18" i="19"/>
  <c r="AF8" i="19"/>
  <c r="AN26" i="1"/>
  <c r="AL8" i="19"/>
  <c r="Z48" i="19"/>
  <c r="AL48" i="19"/>
  <c r="AL28" i="19"/>
  <c r="N38" i="19"/>
  <c r="AL38" i="19"/>
  <c r="AF28" i="19"/>
  <c r="AF18" i="19"/>
  <c r="AL18" i="19"/>
  <c r="Z8" i="19"/>
  <c r="T48" i="19"/>
  <c r="T8" i="19"/>
  <c r="T38" i="19"/>
  <c r="Z38" i="19"/>
  <c r="AF48" i="19"/>
  <c r="N28" i="19"/>
  <c r="N18" i="19"/>
  <c r="S39" i="19"/>
  <c r="M49" i="19"/>
  <c r="AE19" i="19"/>
  <c r="S49" i="19"/>
  <c r="AK19" i="19"/>
  <c r="Y9" i="19"/>
  <c r="M29" i="19"/>
  <c r="AE49" i="19"/>
  <c r="Y39" i="19"/>
  <c r="AK49" i="19"/>
  <c r="AK29" i="19"/>
  <c r="AK39" i="19"/>
  <c r="S19" i="19"/>
  <c r="M19" i="19"/>
  <c r="AE9" i="19"/>
  <c r="AE39" i="19"/>
  <c r="M39" i="19"/>
  <c r="AK9" i="19"/>
  <c r="Y19" i="19"/>
  <c r="S29" i="19"/>
  <c r="S9" i="19"/>
  <c r="AE29" i="19"/>
  <c r="Y49" i="19"/>
  <c r="AN31" i="1"/>
  <c r="M9" i="19"/>
  <c r="Y29" i="19"/>
  <c r="AL56" i="1"/>
  <c r="AL57" i="1"/>
  <c r="AM46" i="19"/>
  <c r="U36" i="19"/>
  <c r="AG16" i="19"/>
  <c r="O6" i="19"/>
  <c r="AA36" i="19"/>
  <c r="AM16" i="19"/>
  <c r="U6" i="19"/>
  <c r="AG46" i="19"/>
  <c r="AA16" i="19"/>
  <c r="AA6" i="19"/>
  <c r="AG6" i="19"/>
  <c r="AA46" i="19"/>
  <c r="AM26" i="19"/>
  <c r="U16" i="19"/>
  <c r="O36" i="19"/>
  <c r="U26" i="19"/>
  <c r="O46" i="19"/>
  <c r="AA26" i="19"/>
  <c r="AM6" i="19"/>
  <c r="U46" i="19"/>
  <c r="AG26" i="19"/>
  <c r="O16" i="19"/>
  <c r="AG36" i="19"/>
  <c r="O26" i="19"/>
  <c r="AM36" i="19"/>
  <c r="AL21" i="1"/>
  <c r="AL20" i="1"/>
  <c r="O8" i="19"/>
  <c r="AA48" i="19"/>
  <c r="AM38" i="19"/>
  <c r="U48" i="19"/>
  <c r="AA18" i="19"/>
  <c r="AG18" i="19"/>
  <c r="AG48" i="19"/>
  <c r="AM18" i="19"/>
  <c r="AA28" i="19"/>
  <c r="AG28" i="19"/>
  <c r="AA8" i="19"/>
  <c r="U18" i="19"/>
  <c r="AG38" i="19"/>
  <c r="U38" i="19"/>
  <c r="AM8" i="19"/>
  <c r="AA38" i="19"/>
  <c r="AM48" i="19"/>
  <c r="U28" i="19"/>
  <c r="O38" i="19"/>
  <c r="U8" i="19"/>
  <c r="AG8" i="19"/>
  <c r="AN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N55" i="1"/>
  <c r="M33" i="19"/>
  <c r="AF6" i="19"/>
  <c r="N46" i="19"/>
  <c r="Z26" i="19"/>
  <c r="AL6" i="19"/>
  <c r="AL36" i="19"/>
  <c r="AF26" i="19"/>
  <c r="Z6" i="19"/>
  <c r="T26" i="19"/>
  <c r="Z46" i="19"/>
  <c r="AF46" i="19"/>
  <c r="T46" i="19"/>
  <c r="T6" i="19"/>
  <c r="AF36" i="19"/>
  <c r="N26" i="19"/>
  <c r="Z16" i="19"/>
  <c r="AL26" i="19"/>
  <c r="Z36" i="19"/>
  <c r="N36" i="19"/>
  <c r="AL46" i="19"/>
  <c r="T36" i="19"/>
  <c r="AF16" i="19"/>
  <c r="N6" i="19"/>
  <c r="N16" i="19"/>
  <c r="AL16" i="19"/>
  <c r="T16" i="19"/>
  <c r="AL35" i="19" l="1"/>
  <c r="AN70" i="1"/>
  <c r="N25" i="19"/>
  <c r="AF15" i="19"/>
  <c r="AF25" i="19"/>
  <c r="N15" i="19"/>
  <c r="Z25" i="19"/>
  <c r="N45" i="19"/>
  <c r="Z55" i="19"/>
  <c r="N35" i="19"/>
  <c r="AF35" i="19"/>
  <c r="Z45" i="19"/>
  <c r="Z15" i="19"/>
  <c r="AL45" i="19"/>
  <c r="AL25" i="19"/>
  <c r="AL55" i="19"/>
  <c r="AF45" i="19"/>
  <c r="AL15" i="19"/>
  <c r="N55" i="19"/>
  <c r="T55" i="19"/>
  <c r="T45" i="19"/>
  <c r="T25" i="19"/>
  <c r="AF55" i="19"/>
  <c r="T15" i="19"/>
  <c r="T35" i="19"/>
  <c r="Y35" i="19"/>
  <c r="Y45" i="19"/>
  <c r="M25" i="19"/>
  <c r="AE55" i="19"/>
  <c r="AE35" i="19"/>
  <c r="S55" i="19"/>
  <c r="M35" i="19"/>
  <c r="AK25" i="19"/>
  <c r="AE25" i="19"/>
  <c r="S45" i="19"/>
  <c r="M45" i="19"/>
  <c r="Y55" i="19"/>
  <c r="M55" i="19"/>
  <c r="S15" i="19"/>
  <c r="AE45" i="19"/>
  <c r="S35" i="19"/>
  <c r="S25" i="19"/>
  <c r="AK15" i="19"/>
  <c r="M15" i="19"/>
  <c r="AK35" i="19"/>
  <c r="AK55" i="19"/>
  <c r="Y25" i="19"/>
  <c r="AN69" i="1"/>
  <c r="Y15" i="19"/>
  <c r="AE15" i="19"/>
  <c r="AK45" i="19"/>
  <c r="AG24" i="19"/>
  <c r="O44" i="19"/>
  <c r="O24" i="19"/>
  <c r="AM14" i="19"/>
  <c r="AG34" i="19"/>
  <c r="O34" i="19"/>
  <c r="AA44" i="19"/>
  <c r="O14" i="19"/>
  <c r="AA54" i="19"/>
  <c r="U14" i="19"/>
  <c r="AM44" i="19"/>
  <c r="AA34" i="19"/>
  <c r="AM24" i="19"/>
  <c r="AM54" i="19"/>
  <c r="AG14" i="19"/>
  <c r="AM34" i="19"/>
  <c r="U54" i="19"/>
  <c r="AG44" i="19"/>
  <c r="AA24" i="19"/>
  <c r="AG54" i="19"/>
  <c r="U34" i="19"/>
  <c r="U24" i="19"/>
  <c r="AA14" i="19"/>
  <c r="O54" i="19"/>
  <c r="U44" i="19"/>
  <c r="U43" i="19"/>
  <c r="U13" i="19"/>
  <c r="AM53" i="19"/>
  <c r="AA53" i="19"/>
  <c r="AA43" i="19"/>
  <c r="O53" i="19"/>
  <c r="O23" i="19"/>
  <c r="O13" i="19"/>
  <c r="AG43" i="19"/>
  <c r="U33" i="19"/>
  <c r="U23" i="19"/>
  <c r="AM13" i="19"/>
  <c r="AM23" i="19"/>
  <c r="AG13" i="19"/>
  <c r="AA23" i="19"/>
  <c r="AG33" i="19"/>
  <c r="AA33" i="19"/>
  <c r="AM33" i="19"/>
  <c r="AA13" i="19"/>
  <c r="AN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F53" i="19"/>
  <c r="T43" i="19"/>
  <c r="Z53" i="19"/>
  <c r="N43" i="19"/>
  <c r="T23" i="19"/>
  <c r="AF43" i="19"/>
  <c r="Z13" i="19"/>
  <c r="Z43" i="19"/>
  <c r="AF23" i="19"/>
  <c r="AL13" i="19"/>
  <c r="Z23" i="19"/>
  <c r="AL43" i="19"/>
  <c r="AF13" i="19"/>
  <c r="AL23" i="19"/>
  <c r="N13" i="19"/>
  <c r="T33" i="19"/>
  <c r="AL53" i="19"/>
  <c r="N23" i="19"/>
  <c r="N53" i="19"/>
  <c r="AF33" i="19"/>
  <c r="N33" i="19"/>
  <c r="AN56" i="1"/>
  <c r="T53" i="19"/>
  <c r="AL33" i="19"/>
  <c r="T13" i="19"/>
  <c r="Z33" i="19"/>
  <c r="Z47" i="19"/>
  <c r="T7" i="19"/>
  <c r="AL37" i="19"/>
  <c r="T17" i="19"/>
  <c r="Z17" i="19"/>
  <c r="AF7" i="19"/>
  <c r="AF37" i="19"/>
  <c r="N17" i="19"/>
  <c r="AF27" i="19"/>
  <c r="AN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N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N21" i="1"/>
  <c r="AA17" i="19"/>
  <c r="O7" i="19"/>
  <c r="AA37" i="19"/>
  <c r="AA27" i="19"/>
  <c r="AM27" i="19"/>
  <c r="U17" i="19"/>
  <c r="U47" i="19"/>
  <c r="AG17" i="19"/>
  <c r="O47" i="19"/>
  <c r="Z40" i="19"/>
  <c r="AN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Julio Cesar Guapacha Osorio</author>
    <author>ThinkPad</author>
    <author>Cristina Elizabeth Sierra Casallas</author>
    <author>Erika Andrea Munoz Orjuela</author>
    <author>Casa</author>
    <author>ANGELA MORENO</author>
  </authors>
  <commentList>
    <comment ref="Z102" authorId="0" shapeId="0" xr:uid="{3E294D51-9D68-4462-B7E4-46E62DD0EADA}">
      <text>
        <r>
          <rPr>
            <b/>
            <sz val="9"/>
            <color indexed="81"/>
            <rFont val="Tahoma"/>
            <family val="2"/>
          </rPr>
          <t>Julio Cesar Guapacha Osorio:</t>
        </r>
        <r>
          <rPr>
            <sz val="9"/>
            <color indexed="81"/>
            <rFont val="Tahoma"/>
            <family val="2"/>
          </rPr>
          <t xml:space="preserve">
Revisar que controles puede aportar el proceso como evidencia que el proyecto tiene Viabilidad Tecnica, ju´ridica, existe un concepto de la Oficina Jurídica? Y economica del area financiera o de proyectos de Inversión?</t>
        </r>
      </text>
    </comment>
    <comment ref="Z120" authorId="1" shapeId="0" xr:uid="{BCAE65F2-08D0-4D7B-BCFE-63DB22E0CF35}">
      <text>
        <r>
          <rPr>
            <b/>
            <sz val="9"/>
            <color indexed="81"/>
            <rFont val="Tahoma"/>
            <family val="2"/>
          </rPr>
          <t>ThinkPad:</t>
        </r>
        <r>
          <rPr>
            <sz val="9"/>
            <color indexed="81"/>
            <rFont val="Tahoma"/>
            <family val="2"/>
          </rPr>
          <t xml:space="preserve">
Mejorar la redacción. Habla que se verificará si las sentencias generan obligación de pago, mas adelante dice que el encargado realizara la solicitud de pago (si hay lugar a ello) </t>
        </r>
      </text>
    </comment>
    <comment ref="E192" authorId="2" shapeId="0" xr:uid="{48011601-072A-4CAA-AE34-D85F5113356F}">
      <text>
        <r>
          <rPr>
            <b/>
            <sz val="9"/>
            <color indexed="81"/>
            <rFont val="Tahoma"/>
            <family val="2"/>
          </rPr>
          <t>Cristina Elizabeth Sierra Casallas:</t>
        </r>
        <r>
          <rPr>
            <sz val="9"/>
            <color indexed="81"/>
            <rFont val="Tahoma"/>
            <family val="2"/>
          </rPr>
          <t xml:space="preserve">
Mejorar la redaccion de la causa raiz, que sea mas corta y concreta</t>
        </r>
      </text>
    </comment>
    <comment ref="G192" authorId="1" shapeId="0" xr:uid="{F28C1B63-F16D-42B4-B942-92AB4318AF0E}">
      <text>
        <r>
          <rPr>
            <b/>
            <sz val="9"/>
            <color indexed="81"/>
            <rFont val="Tahoma"/>
            <family val="2"/>
          </rPr>
          <t>ThinkPad  La descripcion del riesgo no es clara, se requiere mejorar la redaccíon de la Causa Raiz</t>
        </r>
      </text>
    </comment>
    <comment ref="J192" authorId="1" shapeId="0" xr:uid="{D3C25460-206B-4CAE-8F4D-87A5AC4AB4FF}">
      <text>
        <r>
          <rPr>
            <b/>
            <sz val="9"/>
            <color indexed="81"/>
            <rFont val="Tahoma"/>
            <family val="2"/>
          </rPr>
          <t>ThinkPad:</t>
        </r>
        <r>
          <rPr>
            <sz val="9"/>
            <color indexed="81"/>
            <rFont val="Tahoma"/>
            <family val="2"/>
          </rPr>
          <t xml:space="preserve">
No es clara la descripción, se sugiere mejorar la redacción y hacerla mas concreta</t>
        </r>
      </text>
    </comment>
    <comment ref="G204" authorId="3" shapeId="0" xr:uid="{AB4A55DA-F9D2-4F5A-892A-CEDEC13A2794}">
      <text>
        <r>
          <rPr>
            <b/>
            <sz val="9"/>
            <color indexed="81"/>
            <rFont val="Tahoma"/>
            <family val="2"/>
          </rPr>
          <t>Erika Andrea Munoz Orjuela:</t>
        </r>
        <r>
          <rPr>
            <sz val="9"/>
            <color indexed="81"/>
            <rFont val="Tahoma"/>
            <family val="2"/>
          </rPr>
          <t xml:space="preserve">
la inconformidad también puede ser de los trabajadores oficialies
</t>
        </r>
      </text>
    </comment>
    <comment ref="G210" authorId="3" shapeId="0" xr:uid="{829D8FDE-01DB-40D9-B98B-3BE89714F305}">
      <text>
        <r>
          <rPr>
            <b/>
            <sz val="9"/>
            <color indexed="81"/>
            <rFont val="Tahoma"/>
            <family val="2"/>
          </rPr>
          <t>Erika Andrea Munoz Orjuela:</t>
        </r>
        <r>
          <rPr>
            <sz val="9"/>
            <color indexed="81"/>
            <rFont val="Tahoma"/>
            <family val="2"/>
          </rPr>
          <t xml:space="preserve">
Cuáles son las partes interesadas? Especificar si son servidores públicos y T.O</t>
        </r>
      </text>
    </comment>
    <comment ref="AA210" authorId="4" shapeId="0" xr:uid="{46D97DBB-8417-4359-ACA7-126D3F4DC70C}">
      <text>
        <r>
          <rPr>
            <b/>
            <sz val="9"/>
            <color indexed="81"/>
            <rFont val="Tahoma"/>
            <family val="2"/>
          </rPr>
          <t>Casa:</t>
        </r>
        <r>
          <rPr>
            <sz val="9"/>
            <color indexed="81"/>
            <rFont val="Tahoma"/>
            <family val="2"/>
          </rPr>
          <t xml:space="preserve">
Actulizar solo con Grencia admisnutrativa</t>
        </r>
      </text>
    </comment>
    <comment ref="G216" authorId="3" shapeId="0" xr:uid="{773280EA-DCB8-4662-9829-4288CDC86B77}">
      <text>
        <r>
          <rPr>
            <b/>
            <sz val="9"/>
            <color indexed="81"/>
            <rFont val="Tahoma"/>
            <family val="2"/>
          </rPr>
          <t>Erika Andrea Munoz Orjuela:</t>
        </r>
        <r>
          <rPr>
            <sz val="9"/>
            <color indexed="81"/>
            <rFont val="Tahoma"/>
            <family val="2"/>
          </rPr>
          <t xml:space="preserve">
Cuáles son las partes interesadas? Especificar si son servidores públicos y T.O</t>
        </r>
      </text>
    </comment>
    <comment ref="G222" authorId="3" shapeId="0" xr:uid="{F1BB0000-B76B-4A30-A52B-12B61B26824F}">
      <text>
        <r>
          <rPr>
            <b/>
            <sz val="9"/>
            <color indexed="81"/>
            <rFont val="Tahoma"/>
            <family val="2"/>
          </rPr>
          <t>Erika Andrea Munoz Orjuela:</t>
        </r>
        <r>
          <rPr>
            <sz val="9"/>
            <color indexed="81"/>
            <rFont val="Tahoma"/>
            <family val="2"/>
          </rPr>
          <t xml:space="preserve">
Cuáles son las partes interesadas? Especificar si son servidores públicos y T.O</t>
        </r>
      </text>
    </comment>
    <comment ref="AR252" authorId="5" shapeId="0" xr:uid="{2570B14C-6700-4BF4-AD74-6564CBF48912}">
      <text>
        <r>
          <rPr>
            <b/>
            <sz val="9"/>
            <color indexed="81"/>
            <rFont val="Tahoma"/>
            <family val="2"/>
          </rPr>
          <t>ANGELA MORENO:</t>
        </r>
        <r>
          <rPr>
            <sz val="9"/>
            <color indexed="81"/>
            <rFont val="Tahoma"/>
            <family val="2"/>
          </rPr>
          <t xml:space="preserve">
*</t>
        </r>
        <r>
          <rPr>
            <sz val="12"/>
            <color indexed="81"/>
            <rFont val="Tahoma"/>
            <family val="2"/>
          </rPr>
          <t>mesa PAA y presupuesto
*Reporte de metas con OAP - Cinthya - Roland
*Ajuste de metas - esporadicas (OAP- SANDRA - CARLOS - JARRI)
*</t>
        </r>
        <r>
          <rPr>
            <sz val="9"/>
            <color indexed="81"/>
            <rFont val="Tahoma"/>
            <family val="2"/>
          </rPr>
          <t xml:space="preserve">
</t>
        </r>
      </text>
    </comment>
    <comment ref="AR270" authorId="5" shapeId="0" xr:uid="{0FB2D38B-CFCD-4BAC-BABB-1974CC9E4428}">
      <text>
        <r>
          <rPr>
            <b/>
            <sz val="9"/>
            <color indexed="81"/>
            <rFont val="Tahoma"/>
            <family val="2"/>
          </rPr>
          <t>ANGELA MORENO:</t>
        </r>
        <r>
          <rPr>
            <sz val="9"/>
            <color indexed="81"/>
            <rFont val="Tahoma"/>
            <family val="2"/>
          </rPr>
          <t xml:space="preserve">
*</t>
        </r>
        <r>
          <rPr>
            <sz val="12"/>
            <color indexed="81"/>
            <rFont val="Tahoma"/>
            <family val="2"/>
          </rPr>
          <t>mesa PAA y presupuesto
*Reporte de metas con OAP - Cinthya - Roland
*Ajuste de metas - esporadicas (OAP- SANDRA - CARLOS - JARRI)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11" authorId="0" shapeId="0" xr:uid="{C760E6CC-5073-45C0-86F0-D5479718EA09}">
      <text>
        <r>
          <rPr>
            <sz val="11"/>
            <color rgb="FF000000"/>
            <rFont val="Calibri"/>
            <family val="2"/>
            <charset val="1"/>
          </rPr>
          <t>¿CÓMO? 
Causa Inmediata
(Ver tabla de Clasificación de riesgos)</t>
        </r>
      </text>
    </comment>
    <comment ref="D11" authorId="0" shapeId="0" xr:uid="{B8D95065-3EF1-4AB6-B519-6F404C8E2860}">
      <text>
        <r>
          <rPr>
            <sz val="11"/>
            <color rgb="FF000000"/>
            <rFont val="Calibri"/>
            <family val="2"/>
            <charset val="1"/>
          </rPr>
          <t>¿</t>
        </r>
        <r>
          <rPr>
            <sz val="13"/>
            <color rgb="FF000000"/>
            <rFont val="Calibri"/>
            <family val="2"/>
            <charset val="1"/>
          </rPr>
          <t xml:space="preserve">PORQUÉ?Vulnerabilidad </t>
        </r>
        <r>
          <rPr>
            <sz val="12"/>
            <rFont val="Arial"/>
            <family val="2"/>
            <charset val="1"/>
          </rPr>
          <t>del activo evaluado en crítico</t>
        </r>
      </text>
    </comment>
    <comment ref="E11" authorId="0" shapeId="0" xr:uid="{FEE1237D-227F-49B0-BCB8-99B83954A0CA}">
      <text>
        <r>
          <rPr>
            <sz val="11"/>
            <color rgb="FF000000"/>
            <rFont val="Calibri"/>
            <family val="2"/>
            <charset val="1"/>
          </rPr>
          <t>Actividad clave del proceso o procedimiento o fase del proyecto</t>
        </r>
      </text>
    </comment>
    <comment ref="K11" authorId="0" shapeId="0" xr:uid="{6B371FBD-9543-4ED0-8063-52EF1B699BEF}">
      <text>
        <r>
          <rPr>
            <sz val="11"/>
            <color rgb="FF000000"/>
            <rFont val="Calibri"/>
            <family val="2"/>
            <charset val="1"/>
          </rPr>
          <t>Activo evaluado en crítico</t>
        </r>
      </text>
    </comment>
    <comment ref="L11" authorId="0" shapeId="0" xr:uid="{F787D807-9381-4EAA-9CE8-CC2082D3EFBA}">
      <text>
        <r>
          <rPr>
            <sz val="11"/>
            <color rgb="FF000000"/>
            <rFont val="Calibri"/>
            <family val="2"/>
            <charset val="1"/>
          </rPr>
          <t>Ver Tabla Amenazas</t>
        </r>
      </text>
    </comment>
    <comment ref="M11" authorId="0" shapeId="0" xr:uid="{10EAA666-A272-45E5-B7EB-E8B7C31482EC}">
      <text>
        <r>
          <rPr>
            <sz val="11"/>
            <color rgb="FF000000"/>
            <rFont val="Calibri"/>
            <family val="2"/>
            <charset val="1"/>
          </rPr>
          <t>La p´robaiulidad y el impacto se determinan con base a la amenaza, no en las vulnerabilidades.</t>
        </r>
      </text>
    </comment>
    <comment ref="N11" authorId="0" shapeId="0" xr:uid="{E3D22F7D-FFC8-4BA3-9EC4-F452EDD0E4A7}">
      <text>
        <r>
          <rPr>
            <sz val="11"/>
            <color rgb="FF000000"/>
            <rFont val="Calibri"/>
            <family val="2"/>
            <charset val="1"/>
          </rPr>
          <t>No. veces que realiza la actividad al año (Ver Tabla de probabilidad)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Julio Cesar Guapacha Osorio</author>
  </authors>
  <commentList>
    <comment ref="O87" authorId="0" shapeId="0" xr:uid="{45F819CE-DBCF-4BC5-B25A-69BB393123CC}">
      <text>
        <r>
          <rPr>
            <b/>
            <sz val="9"/>
            <color indexed="81"/>
            <rFont val="Tahoma"/>
            <family val="2"/>
          </rPr>
          <t>Julio Cesar Guapacha Osorio:</t>
        </r>
        <r>
          <rPr>
            <sz val="9"/>
            <color indexed="81"/>
            <rFont val="Tahoma"/>
            <family val="2"/>
          </rPr>
          <t xml:space="preserve">
Veridicar </t>
        </r>
      </text>
    </comment>
  </commentList>
</comments>
</file>

<file path=xl/sharedStrings.xml><?xml version="1.0" encoding="utf-8"?>
<sst xmlns="http://schemas.openxmlformats.org/spreadsheetml/2006/main" count="3430" uniqueCount="1470">
  <si>
    <t>Impacto</t>
  </si>
  <si>
    <t>Clasificación del Riesgo</t>
  </si>
  <si>
    <t>Descripción del Control</t>
  </si>
  <si>
    <t>Afectación</t>
  </si>
  <si>
    <t>Tratamiento</t>
  </si>
  <si>
    <t>CONTEXTO  DE PROCESO</t>
  </si>
  <si>
    <t>Riesgo asociado</t>
  </si>
  <si>
    <t>FACTORES INTERNOS</t>
  </si>
  <si>
    <t>ORIGEN</t>
  </si>
  <si>
    <t>FORTALEZAS Y/O OPORTUNIDADES</t>
  </si>
  <si>
    <t>DEBILIDADES Y/O AMENAZAS</t>
  </si>
  <si>
    <t>DISEÑO DEL PROCESO:</t>
  </si>
  <si>
    <t>El proceso tiene un alcance con un objetivo claro que abarca el direccionamiento estratégico y el apoyo en la gestión para todos los procesos de la entidad.</t>
  </si>
  <si>
    <r>
      <rPr>
        <sz val="21"/>
        <color rgb="FF7030A0"/>
        <rFont val="Arial"/>
        <family val="2"/>
      </rPr>
      <t>El componente de</t>
    </r>
    <r>
      <rPr>
        <b/>
        <sz val="21"/>
        <color rgb="FF7030A0"/>
        <rFont val="Arial"/>
        <family val="2"/>
      </rPr>
      <t xml:space="preserve"> innovación y gestión del conocimiento</t>
    </r>
    <r>
      <rPr>
        <sz val="21"/>
        <color rgb="FF7030A0"/>
        <rFont val="Arial"/>
        <family val="2"/>
      </rPr>
      <t xml:space="preserve"> está por desarrollar dentro del proceso. La operatividad del banco de proyectos depende de la aplicación y la comprensión de la metodología de iniciativas de proyectos por parte de los procesos de la entidad.</t>
    </r>
    <r>
      <rPr>
        <sz val="21"/>
        <rFont val="Arial"/>
        <family val="2"/>
      </rPr>
      <t xml:space="preserve">
El proceso DESI al ser el que coordina la implementación del Sistema de Gestión de Calidad depende del compromiso y trabajo de los demás procesos para generar resultados y subsanar las no conformidades producto de las actividades internas.</t>
    </r>
  </si>
  <si>
    <t>R4</t>
  </si>
  <si>
    <t>INTERACCIONES CON OTROS PROCESOS:</t>
  </si>
  <si>
    <r>
      <t>El proceso DESI  interactúa de manera eficaz con el resto de procesos de la entidad a través de los colaboradores designados por los directivos de la entidad como enlaces</t>
    </r>
    <r>
      <rPr>
        <sz val="21"/>
        <color rgb="FFFF0000"/>
        <rFont val="Arial"/>
        <family val="2"/>
      </rPr>
      <t>,</t>
    </r>
    <r>
      <rPr>
        <sz val="21"/>
        <rFont val="Arial"/>
        <family val="2"/>
      </rPr>
      <t xml:space="preserve"> pues da lineamientos y asesora la formulación programación actualización y seguimiento integral a proyectos de inversión,  la implementación del Modelo Integrado de Planeación y Gestión en todos los procesos y procedimientos de la entidad.
El proceso DESI se apoya en el proceso de Atención a Partes Interesadas y Comunicaciones para mantener una comunicación permanente con el resto de procesos, y con la línea estratégica de la entidad (el consejo directivo de la entidad).</t>
    </r>
  </si>
  <si>
    <r>
      <t>El proceso DESI, al ser el que consolida y analiza la información de gestión, seguimiento e indicadores de todos los procesos de la entidad puede llegar a fallar en la oportunidad de entrega de la información al C</t>
    </r>
    <r>
      <rPr>
        <b/>
        <sz val="21"/>
        <rFont val="Arial"/>
        <family val="2"/>
      </rPr>
      <t>omité Institucional de Gestión y Desempeño,</t>
    </r>
    <r>
      <rPr>
        <sz val="21"/>
        <rFont val="Arial"/>
        <family val="2"/>
      </rPr>
      <t xml:space="preserve"> pues depende de los colaboradores que sirven de enlaces con los procesos (en particular depende de sus compromisos de: efectividad, constancia y rigurosidad en la información).</t>
    </r>
  </si>
  <si>
    <t>R1</t>
  </si>
  <si>
    <t>TRANSVERSALIDAD</t>
  </si>
  <si>
    <t xml:space="preserve">El proceso DESI es transversal a todos los procesos de la entidad, la línea estratégica desplegada a través del comité directivo y la Oficina Asesora de Planeación  genera políticas, lineamientos y directrices que abarcan a todos los procesos y se articulan dentro del sistema integrado de gestión de la entidad.
El proceso DESI también se encarga de la administración del sistema de gestión de la calidad en la entidad, que involucra a todos los procesos y que bajo su liderazgo permite el aseguramiento de estándares de calidad en todos los procedimientos. </t>
  </si>
  <si>
    <t>Con el fin de cumplir  oportunamente en la entrega de los productos para la toma de decisiones de los directivos de la entidad se puede incurrir en la extralimitación de labores de la Oficina Asesora de Planeación y sus colaboradores. 
Pues por cumplir con los plazos se pueden empezar a adelantar labores que están incluidas en las herramientas de gestión de los procesos que deben ser realizadas y planificadas por ellos mismos.</t>
  </si>
  <si>
    <t>PROCEDIMIENTOS ASOCIADOS:</t>
  </si>
  <si>
    <t xml:space="preserve">RESPONSABLES DEL PROCESO: </t>
  </si>
  <si>
    <t>Los responsables del proceso DESI son: el director general,  el jefe de la oficina asesora de planeación y los subdirectores. Este sistema de responsabilidades permite un alto grado de  autoridad y autonomía para la toma de decisiones y desagregación de actividades.</t>
  </si>
  <si>
    <t xml:space="preserve">No se cuenta con los suficientes servidores públicos para realizar la gestión necesaria en el marco del cumplimiento de los objetivos institucionales relacionados con su campo de acción. 
En consecuencia, el proceso debe recurrir a la vinculación de contratistas </t>
  </si>
  <si>
    <t>COMUNICACIÓN ENTRE LOS PROCESOS:</t>
  </si>
  <si>
    <t xml:space="preserve">Cuando el Comité directivo y el proceso DESI generan directrices, recomendaciones y solicitudes al resto de procesos de la entidad sus observaciones son tenidas en cuenta y se integran al accionar de los procesos. </t>
  </si>
  <si>
    <t xml:space="preserve">La comunicación puede ser dispendiosa si no se cuenta con la disposición y el compromiso de los responsables directivos.
</t>
  </si>
  <si>
    <t>ACTIVOS DE SEGURIDAD DIGITAL DEL PROCESO:</t>
  </si>
  <si>
    <t xml:space="preserve">El proceso cuenta con un repositorio de información documentada vigente en la intranet de la entidad llamado: SISGESTIÓN en la que se cuelgan los formatos y documentos del sistema integrado de gestión de la entidad. En este repositorio los colaboradores tienen facilidad para consultar la información actualizada.
Se cuenta con el aplicativo SAFIRO que sirve para hacer el seguimiento a las metas y proyectos de inversión de la entidad. </t>
  </si>
  <si>
    <t>El proceso está diseñado para funcionar apoyándose en sistemas de información, bases de datos y aplicativos, por lo que fallas en estos sistemas pueden afectar el normal flujo del proceso.
Los aplicativos informáticos del proceso están expuestos a una manipulación indebida de la información por parte de los administradores de las bases de datos.
Hace falta el desarrollo de una PMO (Project Management Office) una oficina o un software que permita el seguimiento a iniciativas de proyectos de innovación y de gestión del conocimiento.</t>
  </si>
  <si>
    <t>Posibilidad de recibir o solicitar cualquier dádiva o beneficio</t>
  </si>
  <si>
    <t>Posibilidad de omitir</t>
  </si>
  <si>
    <t>Proyecto de inversión</t>
  </si>
  <si>
    <t>Aceptar</t>
  </si>
  <si>
    <t>Posibilidad de afectación económica</t>
  </si>
  <si>
    <t>Verifica</t>
  </si>
  <si>
    <t>8055 Conservación de la red de infraestructura peatonal en Bogotá D.C.</t>
  </si>
  <si>
    <t>Evitar</t>
  </si>
  <si>
    <t>Posibilidad de afectación reputacional</t>
  </si>
  <si>
    <t>Valida</t>
  </si>
  <si>
    <t>8081 Conservación de la red vial y red de cicloinfraestructura de Bogotá D.C.</t>
  </si>
  <si>
    <t>Reducir (mitigar)</t>
  </si>
  <si>
    <t>Posibilidad de afectación Económica y Reputacional</t>
  </si>
  <si>
    <t>Coteja</t>
  </si>
  <si>
    <t>8095 Fortalecimiento de la gestión institucional de la UAERMV de Bogotá D.C.</t>
  </si>
  <si>
    <t>Reducir (compartir)</t>
  </si>
  <si>
    <t>Posibilidad de efecto dañosos sobre bienes</t>
  </si>
  <si>
    <t>Compara</t>
  </si>
  <si>
    <t>8089 Fortalecimiento de los Componentes tecnológicos para garantizar la demanda</t>
  </si>
  <si>
    <t>Posibilidad de efecto dañosos sobre recursos</t>
  </si>
  <si>
    <t>Revisa</t>
  </si>
  <si>
    <t>8208 Fortalecimiento de la atención y participación ciudadana con enfoques</t>
  </si>
  <si>
    <t>Posibilidad de efecto dañosos sobre interes a patrimonio</t>
  </si>
  <si>
    <t>NA</t>
  </si>
  <si>
    <t xml:space="preserve">Riesgo estrategico </t>
  </si>
  <si>
    <t>Objetivo Intitucional asociado</t>
  </si>
  <si>
    <t>Plan de accion (solo para la opción reducir)</t>
  </si>
  <si>
    <t>Si</t>
  </si>
  <si>
    <t>1. PDD Ejecutar las obras de conservación correspondientes a la red de infraestructura peatonal, con las que se espera contribuir a la generación de un espacio público seguro e inclusivo.</t>
  </si>
  <si>
    <t>Finalizado</t>
  </si>
  <si>
    <t>No</t>
  </si>
  <si>
    <t>2. PDD Intervenir puntos críticos y ejecutar obras de conservación de la red vial, vial rural y cicloinfraestructura, para el logro de una movilidad sostenible.</t>
  </si>
  <si>
    <t>En curso</t>
  </si>
  <si>
    <t xml:space="preserve">3. PDD Desarrollar estrategias de mejora y sostenibilidad del Modelo Integrado De Planeación y Gestión – MIPG y el Fortalecimiento de los Componentes tecnológicos para garantizar la demanda en la operación de la UMV </t>
  </si>
  <si>
    <t>Ejecucion y Administracion de procesos</t>
  </si>
  <si>
    <t>4. PDD Fortalecer los mecanismos de participación y diálogo con la ciudadanía, generando un ambiente de confianza institucional a través de la adopción de buenas prácticas de gobierno abierto.</t>
  </si>
  <si>
    <t xml:space="preserve">Gestión </t>
  </si>
  <si>
    <r>
      <t>Ejecución y administración de procesos</t>
    </r>
    <r>
      <rPr>
        <sz val="9"/>
        <color rgb="FF548DD4"/>
        <rFont val="Arial"/>
        <family val="2"/>
      </rPr>
      <t> </t>
    </r>
  </si>
  <si>
    <t>Relaciones Laborales</t>
  </si>
  <si>
    <t>1. Contar con un centro de monitoreo y control que permita la planeación, alistamiento y ejecución de las obras con el fin de tomar decisiones informadas en tiempo real, que facilite la coordinación interinstitucional e interoperabilidad.</t>
  </si>
  <si>
    <r>
      <t>Fallas tecnológicas</t>
    </r>
    <r>
      <rPr>
        <sz val="9"/>
        <color rgb="FF548DD4"/>
        <rFont val="Arial"/>
        <family val="2"/>
      </rPr>
      <t> </t>
    </r>
  </si>
  <si>
    <t>2. Fortalecer la capacidad operativa, logística y productiva a través la adquisición y renovación de la maquinaria, vehículos y equipos, disminuyendo la emisión de gases efecto invernadero y costos de operación.</t>
  </si>
  <si>
    <r>
      <t>Relaciones laborales</t>
    </r>
    <r>
      <rPr>
        <sz val="9"/>
        <color rgb="FF548DD4"/>
        <rFont val="Arial"/>
        <family val="2"/>
      </rPr>
      <t> </t>
    </r>
  </si>
  <si>
    <t>3. Fortalecer técnica y organizacionalmente a la Unidad a partir del impulso a la investigación, el desarrollo de productos y servicios, la modernización tecnológica y la innovación en materiales y métodos, su laboratorio para el control de calidad y su capacidad para ejecutar obras.</t>
  </si>
  <si>
    <r>
      <t>Usuarios, productos y prácticas</t>
    </r>
    <r>
      <rPr>
        <sz val="9"/>
        <color rgb="FF548DD4"/>
        <rFont val="Arial"/>
        <family val="2"/>
      </rPr>
      <t> </t>
    </r>
  </si>
  <si>
    <t>4. Incrementar la credibilidad, la reputación, la confianza, la legitimidad y el buen nombre de la Unidad a través de mecanismos de cumplimiento regulatorio de gestión de la integridad y la mitigación de los riesgos.</t>
  </si>
  <si>
    <r>
      <t>Daños a activos fijos/ eventos externos</t>
    </r>
    <r>
      <rPr>
        <sz val="9"/>
        <color rgb="FF548DD4"/>
        <rFont val="Arial"/>
        <family val="2"/>
      </rPr>
      <t> </t>
    </r>
  </si>
  <si>
    <t>5. Adecuar la infraestructura que facilite la conectividad multimodal en el espacio público de manera articulada con otras entidades.</t>
  </si>
  <si>
    <r>
      <t>Fiscal</t>
    </r>
    <r>
      <rPr>
        <sz val="9"/>
        <rFont val="Arial"/>
        <family val="2"/>
      </rPr>
      <t> </t>
    </r>
  </si>
  <si>
    <t>6. Generar una propuesta de política pública en el Distrito para la conservación de la infraestructura para la movilidad.</t>
  </si>
  <si>
    <t>Corrupción</t>
  </si>
  <si>
    <t>Fraude Externo</t>
  </si>
  <si>
    <t>Fraude Interno</t>
  </si>
  <si>
    <t>Soborno</t>
  </si>
  <si>
    <t>seguridad</t>
  </si>
  <si>
    <t xml:space="preserve">Por Pérdida de la integridad </t>
  </si>
  <si>
    <t xml:space="preserve">Por Pérdida de la confidencialidad </t>
  </si>
  <si>
    <t xml:space="preserve">Por Pérdida de la disponibilidad </t>
  </si>
  <si>
    <t>LA/FT</t>
  </si>
  <si>
    <t>Riesgo reputacional</t>
  </si>
  <si>
    <t>Riesgo legal</t>
  </si>
  <si>
    <t>Riesgo operativo</t>
  </si>
  <si>
    <t>Riesgo de contagio</t>
  </si>
  <si>
    <t>Acciones no autorizadas </t>
  </si>
  <si>
    <t>Compromiso de la información </t>
  </si>
  <si>
    <t>Compromiso de las funciones </t>
  </si>
  <si>
    <t>Daño físico </t>
  </si>
  <si>
    <t>TIPO</t>
  </si>
  <si>
    <t>AMENAZA</t>
  </si>
  <si>
    <t>Fallas técnicas </t>
  </si>
  <si>
    <t>Fuego</t>
  </si>
  <si>
    <t>Perdida de los servicios esenciales </t>
  </si>
  <si>
    <t>Agua</t>
  </si>
  <si>
    <t>Perturbación debida a la radiación </t>
  </si>
  <si>
    <t>Contaminación</t>
  </si>
  <si>
    <t>Eventos naturales </t>
  </si>
  <si>
    <t>Accidente Importante</t>
  </si>
  <si>
    <t>Destrucción del equipo o medios </t>
  </si>
  <si>
    <t>Polvo, corrosión, congelamiento </t>
  </si>
  <si>
    <t>Fenómenos climáticos </t>
  </si>
  <si>
    <t>Fenómenos sísmicos </t>
  </si>
  <si>
    <t>Fenómenos volcánicos </t>
  </si>
  <si>
    <t>Fenómenos meteorológicos </t>
  </si>
  <si>
    <t>Inundación </t>
  </si>
  <si>
    <t>Fallas en el sistema de suministro de agua o aire acondicionado </t>
  </si>
  <si>
    <t>Perdida de suministro de energía </t>
  </si>
  <si>
    <t>Falla en equipo de telecomunicaciones </t>
  </si>
  <si>
    <t>Radiación electromagnética </t>
  </si>
  <si>
    <t>Radiación térmica </t>
  </si>
  <si>
    <t>Impulsos electromagnéticos </t>
  </si>
  <si>
    <t>Interceptación de señales de interferencia comprometida </t>
  </si>
  <si>
    <t>Espionaje remoto </t>
  </si>
  <si>
    <t>Escucha encubierta </t>
  </si>
  <si>
    <t>Hurto de medios o documentos </t>
  </si>
  <si>
    <t>Hurto de equipo </t>
  </si>
  <si>
    <t>Recuperación de medios reciclados o desechados </t>
  </si>
  <si>
    <t>Divulgación </t>
  </si>
  <si>
    <t>Datos provenientes de fuentes no confiables </t>
  </si>
  <si>
    <t>Manipulación con hardware </t>
  </si>
  <si>
    <t>Manipulación con software </t>
  </si>
  <si>
    <t>Detección de la posición </t>
  </si>
  <si>
    <t>Fallas del equipo </t>
  </si>
  <si>
    <t>Mal funcionamiento del equipo </t>
  </si>
  <si>
    <t>Saturación del sistema de información </t>
  </si>
  <si>
    <t>Mal funcionamiento del software </t>
  </si>
  <si>
    <t>Incumplimiento en el mantenimiento del sistema de información. </t>
  </si>
  <si>
    <t>Uso no autorizado del equipo </t>
  </si>
  <si>
    <t>Copia fraudulenta del software </t>
  </si>
  <si>
    <t>Uso de software falso o copiado </t>
  </si>
  <si>
    <t>Corrupción de los datos </t>
  </si>
  <si>
    <t>Procesamiento ilegal de datos </t>
  </si>
  <si>
    <t>Error en el uso </t>
  </si>
  <si>
    <t>Abuso de derechos </t>
  </si>
  <si>
    <t>Falsificación de derechos </t>
  </si>
  <si>
    <t>Negación de acciones </t>
  </si>
  <si>
    <t>Numeral ISO/IEC 27002:2022</t>
  </si>
  <si>
    <t>Incumplimiento en la disponibilidad del personal </t>
  </si>
  <si>
    <t>Sin definir</t>
  </si>
  <si>
    <t>5.1</t>
  </si>
  <si>
    <t>Políticas para la seguridad de la información.</t>
  </si>
  <si>
    <t>5.2</t>
  </si>
  <si>
    <t>Roles y responsabilidades en la seguridad de la información.</t>
  </si>
  <si>
    <t>5.3</t>
  </si>
  <si>
    <t xml:space="preserve">Segregación de deberes. </t>
  </si>
  <si>
    <t>5.4</t>
  </si>
  <si>
    <t xml:space="preserve">Responsabilidades de la dirección. </t>
  </si>
  <si>
    <t>5.5</t>
  </si>
  <si>
    <t>Contacto con las autoridades.</t>
  </si>
  <si>
    <t>5.6</t>
  </si>
  <si>
    <t xml:space="preserve">Contacto con grupos de interés especial. </t>
  </si>
  <si>
    <t>5.7</t>
  </si>
  <si>
    <t>Inteligencia de amenazas.</t>
  </si>
  <si>
    <t>5.8</t>
  </si>
  <si>
    <t>Seguridad de la información en la gestión de proyectos.</t>
  </si>
  <si>
    <t>5.9</t>
  </si>
  <si>
    <t>Inventario de información y otros activos asociados.</t>
  </si>
  <si>
    <t>5.10</t>
  </si>
  <si>
    <t>Uso aceptable de la información y otros activos asociados.</t>
  </si>
  <si>
    <t>5.11</t>
  </si>
  <si>
    <t>Devolución de activos.</t>
  </si>
  <si>
    <t>5.12</t>
  </si>
  <si>
    <t>Clasificación de la información.</t>
  </si>
  <si>
    <t>5.13</t>
  </si>
  <si>
    <t>Etiquetado de la información.</t>
  </si>
  <si>
    <t>5.14</t>
  </si>
  <si>
    <t>Transferencia de la información.</t>
  </si>
  <si>
    <t>5.15</t>
  </si>
  <si>
    <t>Control de acceso.</t>
  </si>
  <si>
    <t>5.16</t>
  </si>
  <si>
    <t>Gestión de identidades.</t>
  </si>
  <si>
    <t>5.17</t>
  </si>
  <si>
    <t>Información de autenticación.</t>
  </si>
  <si>
    <t>5.18</t>
  </si>
  <si>
    <t>Derechos de acceso.</t>
  </si>
  <si>
    <t>5.19</t>
  </si>
  <si>
    <t>Seguridad de la información en la relación con los proveedores.</t>
  </si>
  <si>
    <t>5.20</t>
  </si>
  <si>
    <t>Abordar la seguridad a la información dentro de los acuerdos con proveedores.</t>
  </si>
  <si>
    <t>5.21</t>
  </si>
  <si>
    <t>Gestión de seguridad de la información en la cadena de suministro de las tecnologías de la información y las comunicaciones (TIC).</t>
  </si>
  <si>
    <t>5.22</t>
  </si>
  <si>
    <t>Seguimiento, revisión y gestión del cambio de los servicios de los proveedores .</t>
  </si>
  <si>
    <t>5.23</t>
  </si>
  <si>
    <t>Seguridad de la información para el uso de servicios en la nube.</t>
  </si>
  <si>
    <t>5.24</t>
  </si>
  <si>
    <t>Planificación y preparación de la gestión de incidentes de seguridad de la información.</t>
  </si>
  <si>
    <t>5.25</t>
  </si>
  <si>
    <t>Evaluación y decisión sobre eventos de seguridad de la información.</t>
  </si>
  <si>
    <t>5.26</t>
  </si>
  <si>
    <t>Respuesta a incidentes de seguridad de información.</t>
  </si>
  <si>
    <t>5.27</t>
  </si>
  <si>
    <t>Aprender de los incidentes de seguridad de la información.</t>
  </si>
  <si>
    <t>5.28</t>
  </si>
  <si>
    <t xml:space="preserve">Recopilación de evidencias. </t>
  </si>
  <si>
    <t>5.29</t>
  </si>
  <si>
    <t xml:space="preserve">Seguridad de la información durante una interrupción. </t>
  </si>
  <si>
    <t>5.30</t>
  </si>
  <si>
    <t>Preparación de las TIC para continuidad de negocio.</t>
  </si>
  <si>
    <t>5.31</t>
  </si>
  <si>
    <t>Requisitos legales, reglamentarios y contractuales.</t>
  </si>
  <si>
    <t>5.32</t>
  </si>
  <si>
    <t>Derechos de propiedad intelectual.</t>
  </si>
  <si>
    <t>5.33</t>
  </si>
  <si>
    <t>Protección de registros.</t>
  </si>
  <si>
    <t>5.34</t>
  </si>
  <si>
    <t>Privacidad y protección de la información de identificación personal (PII, por sus siglas en inglés).</t>
  </si>
  <si>
    <t>5.35</t>
  </si>
  <si>
    <t>Revisión independiente de la seguridad de la información.</t>
  </si>
  <si>
    <t>5.36</t>
  </si>
  <si>
    <t>Cumplimiento de políticas, reglas y estándares de seguridad de la información.</t>
  </si>
  <si>
    <t>5.37</t>
  </si>
  <si>
    <t>Procedimientos operativos documentados.</t>
  </si>
  <si>
    <t>6.1</t>
  </si>
  <si>
    <t xml:space="preserve">Selección. </t>
  </si>
  <si>
    <t>6.2</t>
  </si>
  <si>
    <t xml:space="preserve">Términos y condiciones de empleo. </t>
  </si>
  <si>
    <t>6.3</t>
  </si>
  <si>
    <t xml:space="preserve">Conciencia de seguridad de información, educación y formación. </t>
  </si>
  <si>
    <t>6.4</t>
  </si>
  <si>
    <t xml:space="preserve">Proceso disciplinario. </t>
  </si>
  <si>
    <t>6.5</t>
  </si>
  <si>
    <t xml:space="preserve">Responsabilidades después de la terminación o cambio de empleo. </t>
  </si>
  <si>
    <t>6.6</t>
  </si>
  <si>
    <t xml:space="preserve">Acuerdos de confidencialidad y no divulgación. </t>
  </si>
  <si>
    <t>6.7</t>
  </si>
  <si>
    <t xml:space="preserve">Trabajo remoto. </t>
  </si>
  <si>
    <t>6.8</t>
  </si>
  <si>
    <t>Informes de eventos de seguridad de la información.</t>
  </si>
  <si>
    <t>7.1</t>
  </si>
  <si>
    <t>Perímetro de seguridad física.</t>
  </si>
  <si>
    <t>7.2</t>
  </si>
  <si>
    <t xml:space="preserve">Entrada física </t>
  </si>
  <si>
    <t>7.3</t>
  </si>
  <si>
    <t xml:space="preserve">Asegurar oficinas, habitaciones e instalaciones </t>
  </si>
  <si>
    <t>7.4</t>
  </si>
  <si>
    <t xml:space="preserve">Monitoreo de la seguridad física. </t>
  </si>
  <si>
    <t>7.5</t>
  </si>
  <si>
    <t>Protección contra amenazas físicas y ambientales.</t>
  </si>
  <si>
    <t>7.6</t>
  </si>
  <si>
    <t>Trabajar en áreas seguras.</t>
  </si>
  <si>
    <t>7.7</t>
  </si>
  <si>
    <t>Escritorio y pantalla limpios.</t>
  </si>
  <si>
    <t>7.8</t>
  </si>
  <si>
    <t>Emplazamiento y protección de equipos.</t>
  </si>
  <si>
    <t>7.9</t>
  </si>
  <si>
    <t>Seguridad de los activos fuera de las instalaciones.</t>
  </si>
  <si>
    <t>7.10</t>
  </si>
  <si>
    <t>Medios de almacenamiento.</t>
  </si>
  <si>
    <t>7.11</t>
  </si>
  <si>
    <t>Servicios públicos de apoyo.</t>
  </si>
  <si>
    <t>7.12</t>
  </si>
  <si>
    <t>Seguridad y cableado.</t>
  </si>
  <si>
    <t>7.13</t>
  </si>
  <si>
    <t>Mantenimiento de equipos.</t>
  </si>
  <si>
    <t>7.14</t>
  </si>
  <si>
    <t>Disposición o reutilización segura de los equipos.</t>
  </si>
  <si>
    <t>8.1</t>
  </si>
  <si>
    <t>Dispositivos de punto final de usuario.</t>
  </si>
  <si>
    <t>8.2</t>
  </si>
  <si>
    <t xml:space="preserve">Derechos de acceso privilegiado. </t>
  </si>
  <si>
    <t>8.3</t>
  </si>
  <si>
    <t xml:space="preserve">Restricción de acceso a la información. </t>
  </si>
  <si>
    <t>8.4</t>
  </si>
  <si>
    <t>Acceso al código fuente.</t>
  </si>
  <si>
    <t>8.5</t>
  </si>
  <si>
    <t>Autenticación segura.</t>
  </si>
  <si>
    <t>8.6</t>
  </si>
  <si>
    <t>Gestión de la capacidad.</t>
  </si>
  <si>
    <t>8.7</t>
  </si>
  <si>
    <t>Protección contra malware.</t>
  </si>
  <si>
    <t>8.8</t>
  </si>
  <si>
    <t>Gestión de vulnerabilidades técnicas.</t>
  </si>
  <si>
    <t>8.9</t>
  </si>
  <si>
    <t>Gestión de la configuración.</t>
  </si>
  <si>
    <t>8.10</t>
  </si>
  <si>
    <t>Eliminación de información.</t>
  </si>
  <si>
    <t>8.11</t>
  </si>
  <si>
    <t>Enmascaramiento de datos.</t>
  </si>
  <si>
    <t>8.12</t>
  </si>
  <si>
    <t>Prevención de fuga de datos.</t>
  </si>
  <si>
    <t>8.13</t>
  </si>
  <si>
    <t>Copia de seguridad de la información.</t>
  </si>
  <si>
    <t>8.14</t>
  </si>
  <si>
    <t>Redundancia de las instalaciones de procesamiento de información.</t>
  </si>
  <si>
    <t>8.15</t>
  </si>
  <si>
    <t>Registro.</t>
  </si>
  <si>
    <t>8.16</t>
  </si>
  <si>
    <t>Actividades de seguimiento.</t>
  </si>
  <si>
    <t>8.17</t>
  </si>
  <si>
    <t>Sincronización de reloj.</t>
  </si>
  <si>
    <t>8.18</t>
  </si>
  <si>
    <t>Uso de programas de utilidad privilegiados.</t>
  </si>
  <si>
    <t>8.19</t>
  </si>
  <si>
    <t>Instalación de software en sistemas operativos.</t>
  </si>
  <si>
    <t>8.20</t>
  </si>
  <si>
    <t>Seguridad de redes.</t>
  </si>
  <si>
    <t>8.21</t>
  </si>
  <si>
    <t>Seguridad de los servicios de red.</t>
  </si>
  <si>
    <t>8.22</t>
  </si>
  <si>
    <t>Segregación de redes.</t>
  </si>
  <si>
    <t>8.23</t>
  </si>
  <si>
    <t>Filtrado web.</t>
  </si>
  <si>
    <t>8.24</t>
  </si>
  <si>
    <t>Uso de la criptografía.</t>
  </si>
  <si>
    <t>8.25</t>
  </si>
  <si>
    <t>Ciclo de vida de desarrollo seguro.</t>
  </si>
  <si>
    <t>8.26</t>
  </si>
  <si>
    <t>Requisitos de seguridad a las aplicaciones.</t>
  </si>
  <si>
    <t>8.27</t>
  </si>
  <si>
    <t>Arquitectura de sistemas seguros y principios de ingeniería.</t>
  </si>
  <si>
    <t>8.28</t>
  </si>
  <si>
    <t>Codificación segura.</t>
  </si>
  <si>
    <t>8.29</t>
  </si>
  <si>
    <t>Pruebas de seguridad en el desarrollo de aceptación.</t>
  </si>
  <si>
    <t>8.30</t>
  </si>
  <si>
    <t>Desarrollo externalizado.</t>
  </si>
  <si>
    <t>8.31</t>
  </si>
  <si>
    <t>Separación de entornos de desarrollo, evidencia y producción.</t>
  </si>
  <si>
    <t>8.32</t>
  </si>
  <si>
    <t>Gestión del cambio.</t>
  </si>
  <si>
    <t>8.33</t>
  </si>
  <si>
    <t>Información de las pruebas.</t>
  </si>
  <si>
    <t>8.34</t>
  </si>
  <si>
    <t>Protección de los sistemas de información durante las pruebas de auditoría.</t>
  </si>
  <si>
    <t>N.A.</t>
  </si>
  <si>
    <t>No aplica (Agregar a la declaración de aplicabilidad EGTI-FM-035)</t>
  </si>
  <si>
    <t>FORMATO MAPA RIESGOS DE PROCESO Y/O PROYECTO</t>
  </si>
  <si>
    <t>CÓDIGO: DES-FM-018</t>
  </si>
  <si>
    <t>VERSIÓN: 2</t>
  </si>
  <si>
    <t>FECHA DE APLICACIÓN: DICIEMBRE 2024</t>
  </si>
  <si>
    <t>Proceso y/o proyecto</t>
  </si>
  <si>
    <t>Objetivo:</t>
  </si>
  <si>
    <t>Alcance:</t>
  </si>
  <si>
    <t>Identificación del riesgo</t>
  </si>
  <si>
    <t>Contexto</t>
  </si>
  <si>
    <t>Instrumentos posiblemente afectados</t>
  </si>
  <si>
    <t>Análisis del riesgo inherente</t>
  </si>
  <si>
    <t>Evaluación del riesgo - Valoración de los controles</t>
  </si>
  <si>
    <t>Evaluación del riesgo - Nivel del riesgo residual</t>
  </si>
  <si>
    <t xml:space="preserve">Tratamiento del riesgo -Plan de acción </t>
  </si>
  <si>
    <t xml:space="preserve">Acción de Contigencia </t>
  </si>
  <si>
    <t xml:space="preserve">Referencia </t>
  </si>
  <si>
    <t>¿QUÉ?
Impacto</t>
  </si>
  <si>
    <r>
      <t>¿CÓMO? 
Causa Inmediata
(</t>
    </r>
    <r>
      <rPr>
        <sz val="12"/>
        <rFont val="Arial"/>
        <family val="2"/>
      </rPr>
      <t>Iniciar con la palabra por</t>
    </r>
    <r>
      <rPr>
        <b/>
        <sz val="12"/>
        <rFont val="Arial"/>
        <family val="2"/>
      </rPr>
      <t>)</t>
    </r>
  </si>
  <si>
    <r>
      <t>¿PORQUÉ? 
Causa Raíz
(</t>
    </r>
    <r>
      <rPr>
        <sz val="12"/>
        <rFont val="Arial"/>
        <family val="2"/>
      </rPr>
      <t>Iniciar con la debido a</t>
    </r>
    <r>
      <rPr>
        <b/>
        <sz val="12"/>
        <rFont val="Arial"/>
        <family val="2"/>
      </rPr>
      <t>)</t>
    </r>
  </si>
  <si>
    <t>Punto de riesgo
Actividad clave o fase del proyecto</t>
  </si>
  <si>
    <r>
      <t xml:space="preserve">Descripción del Riesgo
</t>
    </r>
    <r>
      <rPr>
        <sz val="12"/>
        <rFont val="Arial"/>
        <family val="2"/>
      </rPr>
      <t>Esta columna se diligencia sola</t>
    </r>
  </si>
  <si>
    <t>Internas</t>
  </si>
  <si>
    <t>Externas</t>
  </si>
  <si>
    <t>Efectos (Consecuencias)</t>
  </si>
  <si>
    <t>No. veces que realiza la actividad al año</t>
  </si>
  <si>
    <t>Probabilidad Inherente</t>
  </si>
  <si>
    <t>%</t>
  </si>
  <si>
    <t>Criterios de impacto</t>
  </si>
  <si>
    <t>Observación de criterio</t>
  </si>
  <si>
    <t>Impacto 
Inherente</t>
  </si>
  <si>
    <t>Severidad (Nivel de riesgo)</t>
  </si>
  <si>
    <t>No. Control</t>
  </si>
  <si>
    <t>Atributos</t>
  </si>
  <si>
    <t>Probabilidad Residual</t>
  </si>
  <si>
    <t>Probabilidad Residual Final</t>
  </si>
  <si>
    <t>Impacto Residual Final</t>
  </si>
  <si>
    <t>Zona de Riesgo Final</t>
  </si>
  <si>
    <t>Descripción de la acción basado en el analisis de causas</t>
  </si>
  <si>
    <t>Responsable
(Cargo o Rol)</t>
  </si>
  <si>
    <t>Producto - Evidencia</t>
  </si>
  <si>
    <t xml:space="preserve">Periocidad o fecha de finalización </t>
  </si>
  <si>
    <t>Acción</t>
  </si>
  <si>
    <t>Producto</t>
  </si>
  <si>
    <t>Objetivo Institucional  asociado</t>
  </si>
  <si>
    <t xml:space="preserve">Proyecto de Inversión asociado </t>
  </si>
  <si>
    <t>Responsable</t>
  </si>
  <si>
    <t>Complemento:  (periodicidad, cómo se realiza, evidencia y desviación)</t>
  </si>
  <si>
    <t>Tipo</t>
  </si>
  <si>
    <t>Implementación</t>
  </si>
  <si>
    <t>Calificación</t>
  </si>
  <si>
    <t>Documentación</t>
  </si>
  <si>
    <t>Frecuencia</t>
  </si>
  <si>
    <t>Evidencia</t>
  </si>
  <si>
    <t>Ejecución y administración de procesos </t>
  </si>
  <si>
    <t xml:space="preserve">     El riesgo afecta la imagen de alguna área de la organización</t>
  </si>
  <si>
    <t>Detectivo</t>
  </si>
  <si>
    <t>Manual</t>
  </si>
  <si>
    <t>Documentado</t>
  </si>
  <si>
    <t>Continua</t>
  </si>
  <si>
    <t>Con Registro</t>
  </si>
  <si>
    <t>Preventivo</t>
  </si>
  <si>
    <t>Matriz de Calor Inherente RIESGOS GESTIÓN</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</si>
  <si>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</si>
  <si>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</si>
  <si>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</si>
  <si>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</si>
  <si>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</si>
  <si>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</si>
  <si>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</si>
  <si>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</si>
  <si>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</si>
  <si>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</si>
  <si>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</si>
  <si>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</si>
  <si>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</si>
  <si>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</si>
  <si>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</si>
  <si>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 RIESGOS GESTIÓN</t>
  </si>
  <si>
    <r>
      <t>¿CÓMO? 
circunstancia Inmediata
(</t>
    </r>
    <r>
      <rPr>
        <sz val="12"/>
        <rFont val="Arial"/>
        <family val="2"/>
      </rPr>
      <t>Iniciar con la palabra por</t>
    </r>
    <r>
      <rPr>
        <b/>
        <sz val="12"/>
        <rFont val="Arial"/>
        <family val="2"/>
      </rPr>
      <t>)</t>
    </r>
  </si>
  <si>
    <r>
      <t>¿PORQUÉ? 
Causa Raíz
(</t>
    </r>
    <r>
      <rPr>
        <sz val="12"/>
        <rFont val="Arial"/>
        <family val="2"/>
      </rPr>
      <t>Iniciar con la debido a o a causa</t>
    </r>
    <r>
      <rPr>
        <b/>
        <sz val="12"/>
        <rFont val="Arial"/>
        <family val="2"/>
      </rPr>
      <t>)</t>
    </r>
  </si>
  <si>
    <t xml:space="preserve">     Entre 650 y 1300 SMLMV </t>
  </si>
  <si>
    <t>Correctivo</t>
  </si>
  <si>
    <t>Automático</t>
  </si>
  <si>
    <t>Sin Documentar</t>
  </si>
  <si>
    <t>Sin Registro</t>
  </si>
  <si>
    <t>BENEFICIO PRIVADO.</t>
  </si>
  <si>
    <t>ACCIÓN U OMISIÓN + USO DEL PODER + DESVIACIÓN DE LA GESTIÓN DE LO PÚBLICO + EL BENEFICIO PRIVADO.</t>
  </si>
  <si>
    <t xml:space="preserve">
Causa Raíz</t>
  </si>
  <si>
    <t>Criterios de impacto según las respuestas dadas</t>
  </si>
  <si>
    <t xml:space="preserve">     El riesgo afecta la imagen de de la entidad con efecto publicitario sostenido a nivel de sector administrativo, nivel departamental o municipal</t>
  </si>
  <si>
    <t xml:space="preserve">     El riesgo afecta la imagen de la entidad con algunos usuarios de relevancia frente al logro de los objetivos</t>
  </si>
  <si>
    <t xml:space="preserve">     El riesgo afecta la imagen de la entidad a nivel nacional, con efecto publicitarios sostenible a nivel país</t>
  </si>
  <si>
    <t>8055 Conservación de la red de infraestructura peatonal en Bogotá D.C</t>
  </si>
  <si>
    <r>
      <rPr>
        <b/>
        <sz val="12"/>
        <rFont val="Arial"/>
        <family val="2"/>
        <charset val="1"/>
      </rPr>
      <t xml:space="preserve">¿QUÉ?
Impacto
</t>
    </r>
    <r>
      <rPr>
        <sz val="12"/>
        <rFont val="Arial"/>
        <family val="2"/>
        <charset val="1"/>
      </rPr>
      <t>(Lista)</t>
    </r>
  </si>
  <si>
    <r>
      <rPr>
        <b/>
        <sz val="12"/>
        <rFont val="Arial"/>
        <family val="2"/>
        <charset val="1"/>
      </rPr>
      <t xml:space="preserve">Tipo de riesgo
</t>
    </r>
    <r>
      <rPr>
        <sz val="12"/>
        <rFont val="Arial"/>
        <family val="2"/>
        <charset val="1"/>
      </rPr>
      <t>(Seleccionar en lista: por perdida integridad-disponibilidad-confiencialidad</t>
    </r>
    <r>
      <rPr>
        <b/>
        <sz val="12"/>
        <rFont val="Arial"/>
        <family val="2"/>
        <charset val="1"/>
      </rPr>
      <t>)</t>
    </r>
  </si>
  <si>
    <r>
      <rPr>
        <b/>
        <sz val="12"/>
        <rFont val="Arial"/>
        <family val="2"/>
        <charset val="1"/>
      </rPr>
      <t xml:space="preserve">Vulnerabilidades
</t>
    </r>
    <r>
      <rPr>
        <sz val="12"/>
        <rFont val="Arial"/>
        <family val="2"/>
        <charset val="1"/>
      </rPr>
      <t xml:space="preserve">(Causa Raíz)
</t>
    </r>
  </si>
  <si>
    <r>
      <rPr>
        <b/>
        <sz val="12"/>
        <rFont val="Arial"/>
        <family val="2"/>
        <charset val="1"/>
      </rPr>
      <t xml:space="preserve">Punto de riesgo
</t>
    </r>
    <r>
      <rPr>
        <sz val="12"/>
        <rFont val="Arial"/>
        <family val="2"/>
        <charset val="1"/>
      </rPr>
      <t>(En el proceso o fase del proyecto)</t>
    </r>
  </si>
  <si>
    <r>
      <rPr>
        <b/>
        <sz val="12"/>
        <rFont val="Arial"/>
        <family val="2"/>
        <charset val="1"/>
      </rPr>
      <t xml:space="preserve">Descripción del Riesgo
</t>
    </r>
    <r>
      <rPr>
        <sz val="12"/>
        <rFont val="Arial"/>
        <family val="2"/>
        <charset val="1"/>
      </rPr>
      <t>(Esta columna se diligencia sola)</t>
    </r>
  </si>
  <si>
    <r>
      <rPr>
        <b/>
        <sz val="12"/>
        <rFont val="Arial"/>
        <family val="2"/>
        <charset val="1"/>
      </rPr>
      <t xml:space="preserve">Tipo de activo de apoyo
</t>
    </r>
    <r>
      <rPr>
        <sz val="12"/>
        <rFont val="Arial"/>
        <family val="2"/>
        <charset val="1"/>
      </rPr>
      <t>(Lista)</t>
    </r>
  </si>
  <si>
    <t>Activo de apoyo</t>
  </si>
  <si>
    <t>Código activo de apoyo</t>
  </si>
  <si>
    <t>Código activo de información</t>
  </si>
  <si>
    <t>Activo de información</t>
  </si>
  <si>
    <r>
      <rPr>
        <b/>
        <sz val="12"/>
        <rFont val="Arial"/>
        <family val="2"/>
        <charset val="1"/>
      </rPr>
      <t xml:space="preserve">Tipo de 
Amenaza
</t>
    </r>
    <r>
      <rPr>
        <sz val="12"/>
        <rFont val="Arial"/>
        <family val="2"/>
        <charset val="1"/>
      </rPr>
      <t>(Lista)</t>
    </r>
  </si>
  <si>
    <t>Amenazas 
(Causa Inmediata)</t>
  </si>
  <si>
    <r>
      <rPr>
        <b/>
        <sz val="12"/>
        <rFont val="Arial"/>
        <family val="2"/>
        <charset val="1"/>
      </rPr>
      <t xml:space="preserve">Probabilidad Inherente
</t>
    </r>
    <r>
      <rPr>
        <sz val="12"/>
        <rFont val="Arial"/>
        <family val="2"/>
        <charset val="1"/>
      </rPr>
      <t>(Se genera con el valor de la frecuencia)</t>
    </r>
  </si>
  <si>
    <t>Impacto Afectación Económica (o presupuestal)</t>
  </si>
  <si>
    <t>Impacto Afectación Reputacional</t>
  </si>
  <si>
    <t>Mayor impacto</t>
  </si>
  <si>
    <t xml:space="preserve"> ISO/IEC 27002:2022</t>
  </si>
  <si>
    <t>Numeral</t>
  </si>
  <si>
    <t>Control</t>
  </si>
  <si>
    <t xml:space="preserve">Por pérdida de la integridad </t>
  </si>
  <si>
    <t>Autenticación débil</t>
  </si>
  <si>
    <t>Actividad 5 procedimiento de gestión de nomina</t>
  </si>
  <si>
    <t>SOFTWARE</t>
  </si>
  <si>
    <t>Software de gestión de nomina</t>
  </si>
  <si>
    <t>GEF-AP-001</t>
  </si>
  <si>
    <t>GEF-001</t>
  </si>
  <si>
    <t>Nomina</t>
  </si>
  <si>
    <t>Falsificación de derechos</t>
  </si>
  <si>
    <t>Mayor a 6500 SMLMV</t>
  </si>
  <si>
    <t>El riesgo afecta la imagen de la entidad con algunos usuarios de relevancia frente al logro de los objetivos</t>
  </si>
  <si>
    <t>Tipologia de Riesgo</t>
  </si>
  <si>
    <t>Afecta levemente las operaciones de una dependencia o grupo de la entidad</t>
  </si>
  <si>
    <t xml:space="preserve">Cumplimiento parcial de normas internas establecidas (Resoluciones, Circulares y otras directrices)    </t>
  </si>
  <si>
    <t xml:space="preserve">Impacto </t>
  </si>
  <si>
    <t>Reputacional</t>
  </si>
  <si>
    <t>Legal</t>
  </si>
  <si>
    <t>Operativo</t>
  </si>
  <si>
    <t>Contagio</t>
  </si>
  <si>
    <t>Leve 20%</t>
  </si>
  <si>
    <t>EL riesgo afecta la imagen de alguna dependencia de la entidad</t>
  </si>
  <si>
    <t>Cumplimiento parcial de procesos, procedimientos y políticas operacionales</t>
  </si>
  <si>
    <t>Causado por un tercero interesado en un contrato con la entidad</t>
  </si>
  <si>
    <t xml:space="preserve">Menor 40% </t>
  </si>
  <si>
    <t>EL riesgo afecta la imagen de   la entidad internamente, de conocimiento general nivel interno, de junta directiva y/o proveedores</t>
  </si>
  <si>
    <t>Sustancialmente afecta la operaciones de una dependencia o grupo de la entidad</t>
  </si>
  <si>
    <t>Causado por un usuario de la entidad</t>
  </si>
  <si>
    <t>Moderado 60%</t>
  </si>
  <si>
    <t>EL riesgo afecta la imagen de   la entidad con algunos usuarios de relevancia frente al logro de los objetivos</t>
  </si>
  <si>
    <t>Cumplimiento parcial de legislación vigente aplicable a la Entidad</t>
  </si>
  <si>
    <t>Afecta durante un día la prestación de servicio ofrecido por la entidad</t>
  </si>
  <si>
    <t>Causado por un proveedor, contratista o funcionario de la entidad</t>
  </si>
  <si>
    <t>Mayor 80%</t>
  </si>
  <si>
    <t>EL riesgo afecta la imagen de   la entidad con efecto publicitario sostenido a nivel sector</t>
  </si>
  <si>
    <t>Incumplimiento de legislación vigente aplicable a la Entidad</t>
  </si>
  <si>
    <t>Afecta la continuidad de las operaciones de una dependencia o un grupo de la entidad durante 15 días</t>
  </si>
  <si>
    <t>Causado por un Director, Subdirector o funcionario de libre nombramiento y remoción de la entidad</t>
  </si>
  <si>
    <t>Catastrófico 100%</t>
  </si>
  <si>
    <t>EL riesgo afecta la imagen de   la entidad a nivel nacional, con efecto publicitario sostenido a nivel País</t>
  </si>
  <si>
    <t>Incumplimiento de acuerdos u obligaciones nacionales o internacionales</t>
  </si>
  <si>
    <t>Afecta la continuidad de las operaciones de una dependencia o un grupo de la entidad por un mes</t>
  </si>
  <si>
    <t>Causado por un Gerente publico o Adminitración del Distrito Capital de la entidad</t>
  </si>
  <si>
    <t>Tabla Criterios para definir el nivel de impacto</t>
  </si>
  <si>
    <t>Afectación Económica (o presupuestal)</t>
  </si>
  <si>
    <t>Pérdida Reputacional</t>
  </si>
  <si>
    <t xml:space="preserve">Equivalente </t>
  </si>
  <si>
    <t>Insignificante</t>
  </si>
  <si>
    <t xml:space="preserve">Afectación menor a 130 SMLMV </t>
  </si>
  <si>
    <t>El riesgo afecta la imagen de alguna área de la organización</t>
  </si>
  <si>
    <t>Menor</t>
  </si>
  <si>
    <t xml:space="preserve">Entre 130 y 650 SMLMV </t>
  </si>
  <si>
    <t>El riesgo afecta la imagen de la entidad internamente, de conocimiento general, nivel interno, de junta dircetiva y accionistas y/o de provedores</t>
  </si>
  <si>
    <t xml:space="preserve">Entre 650 y 1300 SMLMV </t>
  </si>
  <si>
    <t>Mayor</t>
  </si>
  <si>
    <t xml:space="preserve">Entre 1300 y 6500 SMLMV </t>
  </si>
  <si>
    <r>
      <t>El riesgo afecta la imagen de</t>
    </r>
    <r>
      <rPr>
        <sz val="26"/>
        <color theme="9" tint="-0.249977111117893"/>
        <rFont val="Arial Narrow"/>
        <family val="2"/>
      </rPr>
      <t xml:space="preserve">  la entidad </t>
    </r>
    <r>
      <rPr>
        <sz val="26"/>
        <color rgb="FF000000"/>
        <rFont val="Arial Narrow"/>
        <family val="2"/>
      </rPr>
      <t>con efecto publicitario sostenido a nivel de sector administrativo, nivel departamental o municipal</t>
    </r>
  </si>
  <si>
    <t>Catastrófico</t>
  </si>
  <si>
    <t xml:space="preserve">Mayor a 6500 SMLMV </t>
  </si>
  <si>
    <t>El riesgo afecta la imagen de la entidad a nivel nacional, con efecto publicitarios sostenible a nivel país</t>
  </si>
  <si>
    <t>Afectación_Económica_o_presupuestal</t>
  </si>
  <si>
    <t xml:space="preserve">     Afectación menor a 130 SMLMV .</t>
  </si>
  <si>
    <t>Pérdida_Reputacional</t>
  </si>
  <si>
    <t xml:space="preserve">     Entre 130 y 650 SMLMV </t>
  </si>
  <si>
    <t xml:space="preserve">     El riesgo afecta la imagen de la entidad internamente, de conocimiento general, nivel interno, de junta dircetiva y accionistas y/o de provedores</t>
  </si>
  <si>
    <t xml:space="preserve">     Entre 1300 y 6500 SMLMV </t>
  </si>
  <si>
    <t xml:space="preserve">     Mayor a 6500 SMLMV </t>
  </si>
  <si>
    <t>Criterios</t>
  </si>
  <si>
    <t>Subcriterios</t>
  </si>
  <si>
    <t>Catastrofico</t>
  </si>
  <si>
    <t>Afectación Económica o presupuestal</t>
  </si>
  <si>
    <t>Afectación menor a 130 SMLMV .</t>
  </si>
  <si>
    <t>Afectación menor a 130 SMLMV</t>
  </si>
  <si>
    <t>Entre 130 y 650 SMLMV</t>
  </si>
  <si>
    <t>Entre 650 y 1300 SMLMV</t>
  </si>
  <si>
    <t>Entre 1300 y 6500 SMLMV</t>
  </si>
  <si>
    <t>El riesgo afecta la imagen de de la entidad con efecto publicitario sostenido a nivel de sector administrativo, nivel departamental o municipal</t>
  </si>
  <si>
    <t>❌</t>
  </si>
  <si>
    <t>✔</t>
  </si>
  <si>
    <t>Leve</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</si>
  <si>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</si>
  <si>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</si>
  <si>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</si>
  <si>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</si>
  <si>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</si>
  <si>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</si>
  <si>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</si>
  <si>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</si>
  <si>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</si>
  <si>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</si>
  <si>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</si>
  <si>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</si>
  <si>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Aleatoria</t>
  </si>
  <si>
    <t>Registro Sustancial</t>
  </si>
  <si>
    <t>Registro Material</t>
  </si>
  <si>
    <t>Sin registro</t>
  </si>
  <si>
    <t>Reducir</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</si>
  <si>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</si>
  <si>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</si>
  <si>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</si>
  <si>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</si>
  <si>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</si>
  <si>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</si>
  <si>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</si>
  <si>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Logistica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</si>
  <si>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</si>
  <si>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</si>
  <si>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</si>
  <si>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</si>
  <si>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</si>
  <si>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</si>
  <si>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</si>
  <si>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</si>
  <si>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</si>
  <si>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</si>
  <si>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</si>
  <si>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</si>
  <si>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por incumplimiento en la ejecución de las actividades y metas asociadas a los proyectos de inversión de la entidad</t>
  </si>
  <si>
    <t>Debido a la falta o inoportunidad de seguimientos a la gestión Institucional</t>
  </si>
  <si>
    <t>por incumplimiento en la ejecución de las actividades asociadas a las herramientas de planeación estrategica  en el marco de la implementación del modelo de gestión</t>
  </si>
  <si>
    <t>debido a la  inoportunidad en la aplicación de seguimientos de la primera y segunda línea de defensa</t>
  </si>
  <si>
    <t>por posibles requerimientos de entes de control y de los procesos internos de la entidad</t>
  </si>
  <si>
    <t>debido a la gestión del control documental del sistema de gestión fuera de los requisitos establecidos en el instructivo Control de Información Documentada</t>
  </si>
  <si>
    <t>Realizar el seguimiento a las políticas, planes y proyectos, a través de la asesoría,análisis, seguimiento y retroalimentación de los resultados de la gestión</t>
  </si>
  <si>
    <t>Definir lineamientos e instrumentos para la formulación y seguimiento delas herramientas de planeación y gestión</t>
  </si>
  <si>
    <t>Recepción de las solicitudes de actualización documental</t>
  </si>
  <si>
    <t>CÓDIGO: DES-FM-017</t>
  </si>
  <si>
    <t>FECHA DE APLICACIÓN: ENERO 2025</t>
  </si>
  <si>
    <t>El insumo para formular y actualizar los instrumentos de planeación o los informes del seguimiento no son: suficientes,oportunos, claros, completos o de calidad 
Deficiencias en la revisión de la información reportada. 
Falta de claridad en algunas  dependencias del  responsable para la entrega de reportes oficiales a la Alta Dirección</t>
  </si>
  <si>
    <t>Actualización permanente de los lineamientos distritales o nacionales.
Cambios en la priorización de la entidad de acuerdo al POT y PDD</t>
  </si>
  <si>
    <t>Reprocesos y reformulación de los proyectos de inversión.
Incumplimientos en los
compromisos
institucionales</t>
  </si>
  <si>
    <t xml:space="preserve">El insumo para formular y actualizar los instrumentos de planeación o los informes del seguimiento no son: sufucientes,oportunos, claros, completos o de calidad
Deficiencias en la revisión de la información reportada ante el comité de gestión y desempeño
Poca particiápción de los equipos de trabajo en la fromulación y actualizacion de las herramientas de planeacipoin y gestión </t>
  </si>
  <si>
    <t>Actualización permanete de los linemianetos distritales o nacionales.
Cambios en la priorización de la entidad de acuerdo al POT y PDD</t>
  </si>
  <si>
    <t>Incumplimiento del 1-Plan de Accion Institucional Anual, Plan de adecuación y sosteniblidad , Plan Anticorrupción y de Atención al Ciudadano y mapa de riesgos instititucional
Bajo desempeño
Institucional.</t>
  </si>
  <si>
    <t>Actualización permanete de los linemianetos distratales o nacionales.
Cambios en la priorización de la entidad de acuerdo al POT y PDD</t>
  </si>
  <si>
    <t>Sanciones por entes de control
Perdida de confianza por información no confiable
Demoras en la divulgación de los instrumentos de planeación</t>
  </si>
  <si>
    <t>El designado por el jefe de la OAP</t>
  </si>
  <si>
    <t>mensualmente el reporte presentado por las dependencias  relacionado con el cumplimiento del avance  de las metas físicas de los proyectos de inversión. Como soporte quedan los reportes en las herramientas oficiales, correo de retroalimentación y/o soporte de mesa de trabajo
En caso de encontrar inconsistencias  en el reporte se realizá mesa de revisión con los responsables de los proyectos de inversión</t>
  </si>
  <si>
    <t xml:space="preserve"> el corte presupuestal y consolida mensualmente el informe de ejecución de los proyectos de inversión mediante el cual se presentan observaciones, alertas y/o recomendaciones frente a su avance
Como soporte queda el informe ejecutivo de seguimiento a proyectos, En caso de tener observaciones, alertas,  se realizá mesa de revisión con los responsables de los proyectos de inversión</t>
  </si>
  <si>
    <t xml:space="preserve"> trimestralmente la coherencia en el  reporte de los planes de acción  versus a las acciones programadas. como soporte queda el correo de retroalimentación y/o acta reunión, en caso de encontrar diferencias en el reporte se solicitara justificación o corrección del mismo y el alcance de los soportes</t>
  </si>
  <si>
    <t xml:space="preserve"> la ejecución vs la programación de las actividades  del plan de adecuación trimestralmente, como soporte queda el correo de retroalimentación al líder de la política, 
En el caso de encontrar incumplimiento se solicita respuesta o justificación del líder de la política.</t>
  </si>
  <si>
    <t>cuatrimestralmente el diseño y ejecución de los controles y actividades del monitoreo realizado por la primera línea de defensa (los procesos de la unidad),  quedando como evidencia el correo con el monitoreo realizado por la 2da linea de defensa.
en caso de que el monitoreo no cumpla se deja la alerta</t>
  </si>
  <si>
    <t>verifica</t>
  </si>
  <si>
    <t xml:space="preserve">por proceso la pertinencia y justificación de la novedad documental  cada vez que llega una solicitud de aprobación, dejando como evidencia la revisión por sistema  ORFEO. En caso que la novedad documental no sea pertinente y viable se deja observación  en el documento o en ORFEO para su ajuste </t>
  </si>
  <si>
    <t xml:space="preserve">semanalmente se remita por correo para conocimiento de los colaboradores, como evidencia quedan los correos con las actualizaciones documentales en caso que no se hayan remitido, se debe enviar el respectivo correo </t>
  </si>
  <si>
    <t>revisa</t>
  </si>
  <si>
    <t>semanalmente la consolidación de las actualizaciones documentales (Creación, actualización y/o  eliminación) en el Listado Maestro de Documentos y lo publica en la SIGESTION  de la entidad.En caso de no actualizarse oportunamente, se debe actualizar inmediatamente</t>
  </si>
  <si>
    <t>Sensibilización a la gerencia de los proyectos de inversión y/o sus delegados, en la formulación y seguimiento de los proyectos de inversión</t>
  </si>
  <si>
    <t>Jefe OAP</t>
  </si>
  <si>
    <t xml:space="preserve">Acta de reunión, presentación y grabación </t>
  </si>
  <si>
    <t>Semestral</t>
  </si>
  <si>
    <t>Presentar los resultados del seguimineto a la ejecución presupuestal en el marco del Comité Institucional de Gestión y Desempeño</t>
  </si>
  <si>
    <t>Trimestral</t>
  </si>
  <si>
    <t xml:space="preserve">Realizar  dos mesas con los enlaces de proceso para recordar los lineamientos de los intrumentos de planeación </t>
  </si>
  <si>
    <t>Presentación, listado de asistencia y grabación</t>
  </si>
  <si>
    <t xml:space="preserve">Realizar dos encuestas anualmente  a los enlaces de procesos  sobre conocimiento de instrumentos de planeación. </t>
  </si>
  <si>
    <t>Resultados de las encuestas</t>
  </si>
  <si>
    <t xml:space="preserve">Realizar una sensibilización  a los enlaces de proceso sobre la gestión de riesgos y su respectivo seguimiento </t>
  </si>
  <si>
    <t>Abril</t>
  </si>
  <si>
    <t xml:space="preserve">Mesa de trabajo con el equipo directivo </t>
  </si>
  <si>
    <t>Revisión de programaciones herramientas de gestión     y la evaluación de resultados</t>
  </si>
  <si>
    <t xml:space="preserve">Elaborar plan de mejoramiento Interno </t>
  </si>
  <si>
    <t>Acta de compromisos</t>
  </si>
  <si>
    <t xml:space="preserve">Correo, acta o grabación de la revisión </t>
  </si>
  <si>
    <t xml:space="preserve">Equipo directivo </t>
  </si>
  <si>
    <t>Jefe Oficina Asesora de Planeación</t>
  </si>
  <si>
    <t>Plan de Mejoramiento</t>
  </si>
  <si>
    <t xml:space="preserve">Por requerimientos de entes de control y de los procesos internos de la entidad </t>
  </si>
  <si>
    <t>Publicación de información relevante para mantener informados a los colaboradores y a la ciudadanía</t>
  </si>
  <si>
    <t>Desconocimiento de los canales de comunicación interna y la forma de acceder a ellos</t>
  </si>
  <si>
    <t>Noticias negativas en medios de comunicación</t>
  </si>
  <si>
    <t>Insatisfacción de los procesos y desconocimiento de la información generada por la entidad</t>
  </si>
  <si>
    <t>2. Diseñar e implementar una estrategia de innovación que permita hacer más eficiente la gestión de la Unidad.</t>
  </si>
  <si>
    <t xml:space="preserve">7859 Fortalecimiento Institucional </t>
  </si>
  <si>
    <t>Profesional Equipo de Comunicaciones y la jefe de Comunicaciones</t>
  </si>
  <si>
    <t xml:space="preserve">Bimestralmente dentro del consejo de redacción, que se estén  llevando a cabo las actividades asociadas a la divulgación del manejo del Aplicativo de Comunicaciones. Como evidencia quedarán las actas de reunión del consejo de redacción. 
En caso de evidenciar que las actividades presenten demoras en su ejecución, se generará la alerta de tal forma que se pueda reprogramar, sin superar 15 dias calendario siguiente a la reunión. </t>
  </si>
  <si>
    <t xml:space="preserve">Trimestralmente dentro del consejo de redacción, la Publicación de piezas de invitación para la utilización de los canales de comunicación existentes en la entidad. Como evidencia quedarán las actas de reunión del consejo de redacción. 
En caso de evidenciar que las actividades presenten demoras en su ejecución, se realizará la publicación de las piezas, sin superar los 8 dias calendario siguientes a la finalización del trimestre. Como soporte quedarán capturas de pantalla, piezas gráficas o fotografías. </t>
  </si>
  <si>
    <t>Citar a Consejo de Redacción extraordinario donde se tomen las acciones necesarias.</t>
  </si>
  <si>
    <t>Acta de reunión del consejo de redacción extraordinario</t>
  </si>
  <si>
    <t>Jefe de Comunicaciones</t>
  </si>
  <si>
    <t>El insumo para formular y actualizar los instrumentos de planeación o los informes del seguimiento no son: sufucientes,oportunos, claros, completos o de calidad
Deficiencias en la revisión de la información reportada ante el comité de gestión y desempeño por multiplicidad de temas a tratar de las 19 políticas del MIPG</t>
  </si>
  <si>
    <t xml:space="preserve">Debido a deficiencias en la publicación de información, ya sea desactualizada o incorrecta, lo que genera comunicación inexacta hacia los colaboradores y ciudadanía.
Baja capacidad de las dependencias para interrelacionar las necesidades de divulgación y comunicación.
Desconocimiento de los canales de comunicación interna y la forma de acceder a ellos, asi como el apoyo que  prestar el equipo de comunicaciones </t>
  </si>
  <si>
    <t>por inconformidad y baja credibilidad frente al servicio brindado por la Entidad</t>
  </si>
  <si>
    <t>por sanciones e incumplimientos normativos</t>
  </si>
  <si>
    <t>debido a deficiencia en el envío de la totalidad de las peticiones que ingresen por los canales de atención al ciudadano para su radicación y gestion,   o aquellas que no se les realice un adecuado analisis que le permita obtener la respuesta de una petición</t>
  </si>
  <si>
    <t>gestionar el trámite para dar respuesta a las peticiones recibidas por la entidad (Procedimiento Gestión de Requerimientos PQRSFD)</t>
  </si>
  <si>
    <t>Ejecución plan de participación ciudadana</t>
  </si>
  <si>
    <t xml:space="preserve">Desconocimiento del aplicativo ORFEO
Desconocimiento de las tipologias de derecho de petición (Ley 1755)
Fallas tecnicas en herramienta web services del aplicativo ORFEO
Fallas en el registro de las peticiones de de Base de Datos ACI
Fallas en la lectura de las peticiones y su reasignación a la dependencia responsable.
</t>
  </si>
  <si>
    <t>Desconocimiento de normatividad aplicable</t>
  </si>
  <si>
    <t xml:space="preserve">Ventana de mantenimiento Bogotá te Escucha.
Caida o fallas en la plataforma Bogotá te escucha.
Desconocimiento del funcionamiento de bogotá te escucha por parte de los ciudadanos
Demoras en la devolución de información en las solicitudes de ampliación o aclaración por parte de los ciudadanos.
</t>
  </si>
  <si>
    <t xml:space="preserve">Retrasos en las asignaciones de las peticiones a las áreas responsables de dar respuestas
Retrasos en la respuesta a la petición
Mala reputación en la gestión de la UMV por ausencia de respuesta a solicitudes ciudadanas o de manera tardía. 
</t>
  </si>
  <si>
    <t>Ajustes en la politica publica de participación ciudadana incidente
Ajustaes en la normatividad distrital y nacional</t>
  </si>
  <si>
    <t>Incumplimientos normativos
incremento de la insatisfacción de grupos  de los grupos valor</t>
  </si>
  <si>
    <t>El colaborador de la Oficina de Servicio a la Ciudadania y Sostenibilidad asignado a Servicio al Ciudadano, operador de Orfeo y Bogotá te Escuch</t>
  </si>
  <si>
    <t xml:space="preserve"> y guarda aleatoriamente registro de la retipificación de las peticiones recibidas en los aplicativos, para clasificar adecuadamente las peticiones y evitar los reprocesos al momento de reasignar los requerimientos. Como evidencia queda un registro aleatorio mensual de peticiones del aplicativo Orfeo y Bogotá te Escucha de la tipificación inicial y la tipificación final.
En caso de no realizarse  este control, se corregirá inmediatamente y se retroalimentará al colaborador responsable para que se tomen a las acciones de mejora correspondientes.</t>
  </si>
  <si>
    <t>El colaborador de la Oficina de Servicio a la Ciudadania y Sostenibilidad asignado a Servicio al Ciudadano,</t>
  </si>
  <si>
    <t xml:space="preserve">diariamente la base de datos  de seguimiento y control a las respuestas PQRSFD y remite los correos de  alertas que correspondan a las dependecias encargadas de dar respuesta, de acuerdo con  lo establecido en los controles del procedimiento Gestión de Requerimientos PQRSFD, de tal manera que se pueda hacer el seguimiento a la oportunidad de las respuestas.  La evidencia corresponde a un aleatorio de correos remitidos a las dependencias responsables y la base de  datos ACI 2022 que contiene la información sobre las alertas realizadas.
En caso de identificar peticiones por fuera de los términos legales establecidos, se procede a requerir  al colaborador responsable con el fin de  que  realice la respuesta de manera  inmediata y revisar las razones de fondo para dicho incumplimiento. </t>
  </si>
  <si>
    <t>El colaborador de la Oficina de Servicio a la Ciudadania y Sostenibilidad asignado a Servicio al Ciudadano</t>
  </si>
  <si>
    <t>semanalmente  que la totalidad de requerimientos allegados a la Entidad hayan sido reasignados a Atención al Ciudadano, mediante la generación de un reporte del sistema de gestión documental Orfeo,  el cual es cruzado contra  la bandeja de entrada del correo electrónico de Atención al Ciudadano, verificando que las asignaciones sean equivalentes, Como evidencia se genera el archivo RADICADOS ORFEO y RADICADOS MES.
En caso de evidenciar requerimientos de entrada faltantes, se remite como soporte, un correo al proceso de Gestión Documental informando la situación y se verifica en el nuevo envío que dichos radicados hayan sido reasignados. Lo anterior se realiza con el fin de garantizar la centralización de la totalidad de las peticiones en el proceso para su adecuado reparto. La evidencia es el archivo Excel RADICADOS ORFEO, el cual debe ser almacenado en la carpeta  compartida en One Drive por el proceso.</t>
  </si>
  <si>
    <t xml:space="preserve">diariamente el envío de todos los requerimientos ciudadanos recibidos en Bogotá te Escucha a través del correo electrónico de atención al ciudadano para su correspondiente radicación.  Como evidencia se remite registro aleatorio de los correos electrónicos de atención al ciudadano y  la matriz de control y seguimiento de envío de peticiones.
En caso de no radicar alguna petición recibida a través de Bogotá te Escucha, se debe notificar a correspondencia para realizar la radicación de manera inmediata y establecer comunicación con la dependencia responsable de generar respuesta con el fin de que se priorice el trámite. </t>
  </si>
  <si>
    <t xml:space="preserve">El Jefe de la Oficina de Servicio a la Ciudadanía y Sostenibilidad </t>
  </si>
  <si>
    <t xml:space="preserve">Cuatrimestralmente el Informe ejecutivo  de las sensibilizaciones sobre los lineamientos y el plan de participación ciudadana de la entidad, que lleva consigo la aplicación de encuestas para conocer la aprehensión de los temas tratados en las sensibilizaciones y socializaciones. Como evidencia de esta actividad queda la presentación de la sensibilización, el listado de asistencia, material fotográfico y el informe ejecutivo revisado por jefe de la oficina. 
En caso de evidenciar que no se han adelantado las sensibilizaciones y socializaciones de participación ciudadana, se procede a generar mesa de trabajo para tomar las medidas pertinentes de manera inmediata. </t>
  </si>
  <si>
    <t xml:space="preserve">de manera trimestral la aplicación de requisitos legales  establecidos en el marco de la participación ciudadana, de tal manera que se estén llevando a cabo y que la información consignada en el normograma y los diferetes documentos asociados sea veraz.  Como evidencia queda el acta de reunión de la revisión efectuada. 
En caso que se identifiquen anomalías en el cumplimiento del normograma, se informa al jefe de la oficina, y se procede inmediatamente a la aplicación de la normatividad y el ajuste del normograma y documentos. </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</si>
  <si>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</si>
  <si>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</si>
  <si>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</si>
  <si>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</si>
  <si>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</si>
  <si>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</si>
  <si>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</si>
  <si>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</si>
  <si>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</si>
  <si>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</si>
  <si>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</si>
  <si>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</si>
  <si>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</si>
  <si>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</si>
  <si>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</si>
  <si>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</si>
  <si>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</si>
  <si>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</si>
  <si>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</si>
  <si>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Elaborar informe  trimestral de gestión y seguimiento a los requerimientos recibidos en la entidad, identificando recomendaciones o mejoras a las dependencias.</t>
  </si>
  <si>
    <t>Oficina de Servicio a la Ciudadania y Sostenibilidad</t>
  </si>
  <si>
    <t>Informes de PQRSFD trimestral</t>
  </si>
  <si>
    <t xml:space="preserve">Realizar una sensibilización al personal de las dependencias responsables de administrar y generar la respuesta a los requerimientos, sobre el tramite y tratamiento de los derechos de petición. </t>
  </si>
  <si>
    <t>Listados de asistencia, material de apoyo</t>
  </si>
  <si>
    <t>Realizar mesas de seguimiento bimensuales de la politica de  participación ciudadana de la entidad</t>
  </si>
  <si>
    <t>Actas de mesa de seguimiento</t>
  </si>
  <si>
    <t xml:space="preserve">Realizar mesa de seguimiento normativo a la participación ciudadana. 
</t>
  </si>
  <si>
    <t>Un Acta de reunión de mesa de seguimiento normativo</t>
  </si>
  <si>
    <t xml:space="preserve">El colaborador designado del proceso SRPI asignado a participación ciudadana </t>
  </si>
  <si>
    <t>Enviar mensualmente informe  de Gestión de PQRSFD a los responsables   Directivos y Lideres de proceso,  para la toma de acciones de mejora en la respuesta oportuna de los requerimientos</t>
  </si>
  <si>
    <t xml:space="preserve">Memorando remisorio con Informe mensual PQRSFD </t>
  </si>
  <si>
    <t>Oficina de Servicio a la Ciudadania y Sostenibilidad - Proceso SRPI</t>
  </si>
  <si>
    <t xml:space="preserve">Revisar los criterios y requerimientos de la política de participación y articular con los procedimientos internos, haciendo los ajustes correspondientes de manera inmediata. </t>
  </si>
  <si>
    <t>Procedimientos ajustados</t>
  </si>
  <si>
    <t>Por manipular, alterar, entregar documentación y/o información, que ingresa a la entidad a partir de la recepción de las peticiones, Quejas, Reclamos, Felicitaciones o Denuncias para uso personal o favorecer a un tercero</t>
  </si>
  <si>
    <t>para obtener dadivas o beneficio particular</t>
  </si>
  <si>
    <t>Gestion de PQRSFD</t>
  </si>
  <si>
    <t>Favorecimiento a terceros por dadivas o beneficio en particular, desconocimiento de la politicas de seguridad de la información.</t>
  </si>
  <si>
    <t>Presiones indebidas por parte de terceros</t>
  </si>
  <si>
    <t xml:space="preserve">Sanciones legales </t>
  </si>
  <si>
    <t>El contratista designado por el Jefe de la Oficina de Servicio a la Ciudadanía y Sostenibilidad</t>
  </si>
  <si>
    <t xml:space="preserve"> Cuatrimestralmente, que todos los contratistas, servidores publicos, director general, jefes o encargados de servicio a la ciudadanía y de correspondencia, así como los funcionarios y colaboradores que hacen parte del ciclo de gestión de las denuncias y peticiones en general, hayan suscrito el compromiso de confidencialidad, reserva y no divulgación de la información, el cual debe ser archivado en sus hojas de vida o carpeta contractual, según corresponda. Estos acuerdos son firmados una unica vez cuando ingresan a la entidad, y no es necesarios firmarse de manera periodica a menos que haya un cambio de formato o de directriz por parte de la Secretaria General de la Alcaldía Mayor de Bogotá. Como evidencia de esta acción se cuenta con formatos de confidencialidad firmados una unica vez, así como memorandos enviados a Talento Humano y Gerencia Administrativa y Financiera con la solicitud de inclusión de estos acuerdos en las hojas de vida y expedientes contractuales. Del mismo modo, acta de reunión firmada por los delegados del jefe de la OSCS, donde se verifique el buen diligenciamiento  y que todos los involucrados cuenten con estos formatos de confidencialidad firmados.
En caso de evidenciar que los formatos de confidencialidad y los memorandos no se han firmado y remitido a talento humano, se procederá de inmediato a surtir dicha acción</t>
  </si>
  <si>
    <t>El jefe de Oficina de Servicio a la Ciudadanía y Sostenibilidad designa al enlace del proceso SRPI para que</t>
  </si>
  <si>
    <t>que trimestralmente se realice la apropiación de la Política antisoborno y antifraude de la UAERMV, dirigidas al proceso SRPI, a través de la realización de una jornada de sensibilización, el cual se mide con una evaluación a todos los participantes de la sesión. 
La evidencia será el análisis de la encuesta, que demuestre más del 75% de aprobación en total de todos los participantes, así como, la presentación o material de apoyo de la sesión y el listado de asistencia de esta.
En caso de no alcanzar el porcentaje de aprobación, se repetirá de manera personalizada la sesión y la medición.</t>
  </si>
  <si>
    <t>Efectuar reunión de componente (Servicio al Ciudadano), donde se reitere la importancia de NO manipular, alterar, entregar documentación y/o información, que ingresa a la entidad a partir de la recepción de las peticiones, Quejas, Reclamos, Felicitaciones o Denuncias para uso personal o favorecer a un tercero</t>
  </si>
  <si>
    <t>Acta de reunión mensual</t>
  </si>
  <si>
    <t>de enero de 2025 a diciembre de 2024</t>
  </si>
  <si>
    <t>1 Plan de Mejoramiento formulado e implementado</t>
  </si>
  <si>
    <t>Elaborar Plan de Mejoramiento formulado e implementado</t>
  </si>
  <si>
    <t>Jefe Oficina de Servicio a la Ciudadania y Sostenibilidad</t>
  </si>
  <si>
    <t>Seguimiento al portafolio de proyectos del Plan Estratégico de Tecnologías de Información</t>
  </si>
  <si>
    <t>Genera desviaciones al presupuesto de TI y a los proyectos en curso</t>
  </si>
  <si>
    <t>El jefe de la Oficina de Tecnologías de la Información (OTI)</t>
  </si>
  <si>
    <r>
      <t xml:space="preserve">El estado de ejecución del portafolio de proyectos para identificar avances, detectar riesgos y proponer acciones correctivas que permitan garantizar el alcance, tiempo y costos de los proyectos.
</t>
    </r>
    <r>
      <rPr>
        <b/>
        <sz val="12"/>
        <rFont val="Arial"/>
        <family val="2"/>
      </rPr>
      <t xml:space="preserve">Cómo se realiza: </t>
    </r>
    <r>
      <rPr>
        <sz val="12"/>
        <rFont val="Arial"/>
        <family val="2"/>
      </rPr>
      <t xml:space="preserve">A través de reuniones de seguimiento semanales con los responsables de cada proyecto, utilizando herramientas de gestión como cronogramas, logros alcanzados, tareas realizadas, puntos de atención y tableros de control. 
</t>
    </r>
    <r>
      <rPr>
        <b/>
        <sz val="12"/>
        <rFont val="Arial"/>
        <family val="2"/>
      </rPr>
      <t xml:space="preserve">
Evidencia: </t>
    </r>
    <r>
      <rPr>
        <sz val="12"/>
        <rFont val="Arial"/>
        <family val="2"/>
      </rPr>
      <t xml:space="preserve">Reportes semanal del estado y actas de reuniones de seguimiento.
</t>
    </r>
    <r>
      <rPr>
        <b/>
        <sz val="12"/>
        <rFont val="Arial"/>
        <family val="2"/>
      </rPr>
      <t xml:space="preserve">
Desviación: </t>
    </r>
    <r>
      <rPr>
        <sz val="12"/>
        <rFont val="Arial"/>
        <family val="2"/>
      </rPr>
      <t>Cualquier desviación detectada será registrada con responsables y tiempos definidos, para mitigar el impacto y asegurar la alineación con los objetivos del proyecto.</t>
    </r>
  </si>
  <si>
    <t>Trimestralmente, el reporte del estado actual del portafolio de proyectos programados para la presente vigencia, mediante el diligenciamiento del formato EGTI-FM-008: Seguimiento al Plan Estratégico de Tecnologías de Información (PETI).
En caso de que se incorporen nuevos lineamientos institucionales que impliquen la adición o eliminación de uno o varios proyectos planificados, se realizará un control de cambios a la hoja de ruta del PETI, el cual será presentado a la mesa de arquitectura empresarial para su correspondiente aprobación.</t>
  </si>
  <si>
    <t>Ajustar la priorización del portafolio de proyectos de la estrategia de TI para vigencias futuras en la actualización del Plan Estratégico de Tecnologías de Información</t>
  </si>
  <si>
    <t>Jefe de la Oficina de Tecnologías de la Información (OTI)</t>
  </si>
  <si>
    <t>Hoja de ruta del portafolio de proyectos de TI.</t>
  </si>
  <si>
    <t>Anualmente</t>
  </si>
  <si>
    <t>Redistribuir personal, tiempo o presupuesto hacia proyectos con mayor necesidad o que estén causando cuellos de botella</t>
  </si>
  <si>
    <t>Control de cambios al proyecto</t>
  </si>
  <si>
    <t>Dada la carencia de lineamientos que prevengan o mitiguen situaciones de conflicto de interés entre los funcionarios y los proveedores.</t>
  </si>
  <si>
    <t>Pérdida de la Transparencia e Integridad Institucional</t>
  </si>
  <si>
    <t>El supervisor del contrato</t>
  </si>
  <si>
    <t>Desarrollo de actividades de control sobre los productos o servicios entregados conforme a lo establecido en los pliegos del contrato y en las fichas técnicas</t>
  </si>
  <si>
    <t>Actas de recibo parcial y final</t>
  </si>
  <si>
    <t>Mensualmente</t>
  </si>
  <si>
    <t>por incumplimiento en la ejecución de las metas físicas planteadas por la Entidad para la vigencia 2025</t>
  </si>
  <si>
    <t xml:space="preserve">debido al aumento en las metas misionales que demande una mayor cantidad de diseños a los previstos inicialmente, lo que ocasiona que no se entregue a tiempo la priorización de elementos viales con sus soportes a la  Subdirección de Intervención de la Infraestructura (SII). </t>
  </si>
  <si>
    <t>Elaborar la evaluación y diseño estructural de pavimento y de espacio público en caso de que se requiera.</t>
  </si>
  <si>
    <t>Un posible incumplimiento en el El proceso de Planificación de la Conservación de la Infraestructura, puede afectar negativamente la ejecución de las actividades planeadas por otros procesos.
Decisiones de la alta Dirección de la Entidad que generen cambios frecuentes en el equipo responsable del Proceso de Planificación de la Conservación de la Infraestructura.</t>
  </si>
  <si>
    <t>Aumento en las metas de la Entidad</t>
  </si>
  <si>
    <t>Retrasos en la entrega del listado de priorización a la Subdirección de Intervención de la
 Infraestructura (SII) generando 
 incumplimiento en la ejecución de las metas físicas planteadas por la entidad para la vigencia.</t>
  </si>
  <si>
    <t>El colaborador designado por el (la) Subdirector(a) de Planificación y de Conservación</t>
  </si>
  <si>
    <r>
      <t xml:space="preserve">Trimestralmente, el avance en las metas de priorización plasmadas en los indicadores de la SPC: PCI-IND-001 y PCI-IN-004, con el fin de verificar que las metas no hayan aumentado o se hayan incumplido, </t>
    </r>
    <r>
      <rPr>
        <sz val="12"/>
        <rFont val="Arial"/>
        <family val="2"/>
      </rPr>
      <t xml:space="preserve">dejando registro en un archivo de excel.
En caso de que la meta aumente o se esté incumpliendo las metas de priorización, se informará a través de un correo electrónico a el (la) Subdirector(a) de Planificación y de Conservación, para que redistribuya las tareas al equipo de la SPC para dar prioridad a las actividades de diseño. El registro del control son los correos eléctronicos mencionados cuando aplique y link de reunión de seguimiento trimestral a los resultados de los inicadores. </t>
    </r>
  </si>
  <si>
    <t>Mensualmente, el cumplimiento por parte del Laboratorio de la realización de los ensayos solicitados por la SPC como insumo para la elaboración de los diseños, dejando registro en un archivo de excel.
En caso de que se esté incumpliendo con los resultados de los ensayos por parte del Laboratorio, se informará a través de un correo electrónico a el (la) Subdirector(a) de Planificación y de Conservación.</t>
  </si>
  <si>
    <t>Reunión liderada por el (la) Subdirector(a) en la que redistribuya las tareas al equipo de la SPC para dar prioridad a las actividades de diseño.</t>
  </si>
  <si>
    <t>El (la) Subdirector(a) de Planificación y de Conservación y/o el colaborador designado por la SPC.</t>
  </si>
  <si>
    <t xml:space="preserve">Acta de reunión </t>
  </si>
  <si>
    <t xml:space="preserve">Reunión liderada por el (la) Subdirector(a) con el Laboratorio para establecer una estratégia que permita dar cumplimiento a los ensayos de laboratorio faltantes. </t>
  </si>
  <si>
    <t>Convocar al Comité de Planeación, Producción e Intervención para socializar la materialización del riesgo y definir las acciones correctivas a implementar.</t>
  </si>
  <si>
    <t>El (la) Subdirector(a) de Planificación y de Conservación.</t>
  </si>
  <si>
    <t>Por que los resultados de los ensayos realizados en el laboratorio sean errados</t>
  </si>
  <si>
    <t>Debido a:
1. Desviaciones en la manipulación, preparación de los ítems de ensayo y/o el procedimiento de la norma de ensayo aplicable.
2. Fallas en el equipamiento y/o uso del equipamiento que no cumple las especificaciones requeridas en la norma de ensayo.
3. Incumplimiento con las instalaciones y/o las condiciones ambientales especificadas en la norma de ensayo.
4. Falta de competencia del personal para realizar las actividades en las que esta autorizado.
5. Errores en el registro de datos primarios, en la digitación y/o en la emisión del informe.</t>
  </si>
  <si>
    <t>Prestación de los servicios del laboratorio</t>
  </si>
  <si>
    <t>Falta de claridad en el proceso responsable del mantenimiento de la infraestructura física del laboratorio.
* Incumplimiento a los procedimientos y/o los instructivos internos del proceso.</t>
  </si>
  <si>
    <t>* Actualización de las normas de ensayo.
* Incumplimiento del contratista de mantenimiento del equipamiento.</t>
  </si>
  <si>
    <t>Reprocesos de actividades, trabajos no conformes, no conformidades y aumento de carga operativa, quejas de los clientes, perdida de credibilidad de los resultados y afectación de la imagen del laboratorio ante los clientes.</t>
  </si>
  <si>
    <t>El coordinador técnico,</t>
  </si>
  <si>
    <r>
      <t xml:space="preserve">Mensualmente el cumplimiento de la precisión de los métodos de ensayo del alcance de acreditación, realizando una comparación entre la diferencia de los resultados de una misma muestra y la precisión del método. Dicha verificación se registra en el formato  análisis para el aseguramiento de la validez de los resultados </t>
    </r>
    <r>
      <rPr>
        <b/>
        <sz val="12"/>
        <rFont val="Arial"/>
        <family val="2"/>
      </rPr>
      <t>GLAB-FM-148</t>
    </r>
    <r>
      <rPr>
        <sz val="12"/>
        <rFont val="Arial"/>
        <family val="2"/>
      </rPr>
      <t>. Si los ensayos realizados no cumplen con la precisión del método, se realiza una retroalimentación a las personas que realizaron los ensayos y  se les solicita repetirlos con la contra muestra. Si al realizar nuevamente los ensayos aun no cumple con la precisión este laboratorista queda desautorizado para realizar dicho ensayo.</t>
    </r>
  </si>
  <si>
    <t>El técnico operativo,</t>
  </si>
  <si>
    <r>
      <t xml:space="preserve">Semestralmente se verifican las competencias de los laboratoristas en la ejecución de los ensayos, a través de una lista de chequeo que se  registra en el  formato de  supervisión </t>
    </r>
    <r>
      <rPr>
        <b/>
        <sz val="12"/>
        <rFont val="Arial"/>
        <family val="2"/>
      </rPr>
      <t>GLAB-FM-125</t>
    </r>
    <r>
      <rPr>
        <sz val="12"/>
        <rFont val="Arial"/>
        <family val="2"/>
      </rPr>
      <t>, que indica los criterios para la correcta ejecución del ensayo establecidos en la norma aplicable. En caso de encontrar desviaciones en la ejecución del ensayo, se desautoriza al laboratorista para la ejecución de dicho ensayo y se programa una nueva fecha para repetir la supervisión hasta que el laboratorista demuestre la competencia para ejecutar el ensayo de acuerdo a la norma.</t>
    </r>
  </si>
  <si>
    <t>Cada  vez que se va a emitir un informe de ensayo, que  la información de los registros de toma de datos sean coherentes y que correspondan a la información digitada, dejando como evidencia de la aprobación  su  firma en el  informe de ensayo. Si encuentra alguna diferencia en la información se solicita la corrección en el registro de toma de datos al laboratorista y/o la corrección del informe según corresponda.</t>
  </si>
  <si>
    <t>El  coordinador técnico,</t>
  </si>
  <si>
    <r>
      <t xml:space="preserve">Cada vez que se crea o se hace alguna modificación en los  formatos de informe de ensayo, que  influyan el  calculo de resultados, de las formulas, por medio de una verificación manual que se  registra en el formato verificación manual hojas de cálculo </t>
    </r>
    <r>
      <rPr>
        <b/>
        <sz val="12"/>
        <rFont val="Arial"/>
        <family val="2"/>
      </rPr>
      <t>GLAB-FM-104</t>
    </r>
    <r>
      <rPr>
        <sz val="12"/>
        <rFont val="Arial"/>
        <family val="2"/>
      </rPr>
      <t>, con el fin, de evitar errores de cálculos en los informes de ensayo. En caso de encontrar alguna desviación, el coordinador  técnico realizara las correcciones necesarias en el formato de informe de ensayo y la validación de las formulas nuevamente.</t>
    </r>
  </si>
  <si>
    <t>El coordinador de equipamiento</t>
  </si>
  <si>
    <r>
      <t xml:space="preserve">Cada vez que va a ser instalado o reinstalado un equipamiento en el laboratorio, que  cumpla con los requisitos especificados en la norma de ensayo revisando los resultados de verificaciones, comprobaciones intermedias  y/o calibración según aplique, por medio del formato liberación de los informes de verificaciones, comprobaciones intermedias y certificados de calibración </t>
    </r>
    <r>
      <rPr>
        <b/>
        <sz val="12"/>
        <rFont val="Arial"/>
        <family val="2"/>
      </rPr>
      <t>GLAB-FM-111</t>
    </r>
    <r>
      <rPr>
        <sz val="12"/>
        <rFont val="Arial"/>
        <family val="2"/>
      </rPr>
      <t>. Si el equipamiento no cumple con los requisitos especificados, queda fuera de servicio, se solicita su mantenimiento (correctivo o ajuste según aplique) y se vuelve a verificar, si cumple las especificaciones técnicas se pone en servicio, de lo contario se reintegra al almacén general para su disposición final.</t>
    </r>
  </si>
  <si>
    <r>
      <t xml:space="preserve">Cada vez que se realiza una actividad (mantenimiento correctivo, preventivo, inspecciones, verificación, comprobación intermedia y calibración) al equipamiento, su correcto funcionamiento y lo registra en el formato inspección equipos del laboratorio UAERMV </t>
    </r>
    <r>
      <rPr>
        <b/>
        <sz val="12"/>
        <rFont val="Arial"/>
        <family val="2"/>
      </rPr>
      <t>GLAB-FM-112</t>
    </r>
    <r>
      <rPr>
        <sz val="12"/>
        <rFont val="Arial"/>
        <family val="2"/>
      </rPr>
      <t>. Si al realizar la verificación,  el equipamiento presenta fallas se pone fuera de servicio hasta que este se encuentre en buen estado.</t>
    </r>
  </si>
  <si>
    <t xml:space="preserve">El auxiliar de acreditación </t>
  </si>
  <si>
    <r>
      <t xml:space="preserve">Cada vez que se solicita un equipamiento menor (tamices, diales, termómetros, pie de rey entre otros) para su uso, que este en buen estado cuando lo entrega y  recibe, lo registra en el formato control y seguimiento de equipos </t>
    </r>
    <r>
      <rPr>
        <b/>
        <sz val="12"/>
        <rFont val="Arial"/>
        <family val="2"/>
      </rPr>
      <t>GLAB-FM-115</t>
    </r>
    <r>
      <rPr>
        <sz val="12"/>
        <rFont val="Arial"/>
        <family val="2"/>
      </rPr>
      <t>. En caso de encontrar que el equipamiento esta en mal estado se pone fuera de servicio hasta  que se verifique el correcto funcionamiento de este.</t>
    </r>
  </si>
  <si>
    <r>
      <t xml:space="preserve">Cada vez que ingresa una persona nueva, que la persona cumpla con la competencia exigida para el rol a desempeñar, en el formato verificación de las competencias del personal del laboratorio UAERMV </t>
    </r>
    <r>
      <rPr>
        <b/>
        <sz val="12"/>
        <rFont val="Arial"/>
        <family val="2"/>
      </rPr>
      <t>GLAB-FM-137</t>
    </r>
    <r>
      <rPr>
        <sz val="12"/>
        <rFont val="Arial"/>
        <family val="2"/>
      </rPr>
      <t xml:space="preserve">, con el fin de garantizar que el personal tenga la competencia requerida para el rol a desempeñar. Si el personal no cumple con la competencia requerida se establece un plan de acción para dar cumplimiento a la o las competencia que no cumple. </t>
    </r>
  </si>
  <si>
    <t>Por incumplimiento en la fecha de entrega de los informes</t>
  </si>
  <si>
    <t>* Falta de comunicación para la prestación de servicios de transporte para actividades de campo del laboratorio en situaciones imprevistas.
* Insuficiencia de vehículos para el desarrollo de las actividades del laboratorio.
* Demora en la entrega de información de resultados de laboratorio, que se requieren para tomar planes inmediatas de contingencia y/o análisis de resultados por parte de los clientes internos</t>
  </si>
  <si>
    <t xml:space="preserve">
* Alteraciones de orden publico.
*Cambios climáticos que dificulten atrasen la ejecución de los ensayos.
* Interrupciones del servicio de internet.</t>
  </si>
  <si>
    <t>Quejas de los clientes, trabajos no conformes, aumento de carga operativa y retraso en la prestación de los servicios del laboratorio.</t>
  </si>
  <si>
    <t>El líder operativo,</t>
  </si>
  <si>
    <r>
      <t xml:space="preserve">Mensualmente en la programación del personal </t>
    </r>
    <r>
      <rPr>
        <b/>
        <sz val="12"/>
        <rFont val="Arial"/>
        <family val="2"/>
      </rPr>
      <t>GLAB-FM-134</t>
    </r>
    <r>
      <rPr>
        <sz val="12"/>
        <rFont val="Arial"/>
        <family val="2"/>
      </rPr>
      <t xml:space="preserve"> que cada rol tenga un responsable principal y un relevo, con el fin de garantizar que todos los roles tengan un responsable sin ser afectado por el ausentismo, de no ser así se solicita al coordinador técnico que realice la programación del relevo.</t>
    </r>
  </si>
  <si>
    <r>
      <t xml:space="preserve">Mensualmente hace seguimiento al cronograma de aseguramiento de equipos del laboratorio UAERMV en el formato </t>
    </r>
    <r>
      <rPr>
        <b/>
        <sz val="12"/>
        <rFont val="Arial"/>
        <family val="2"/>
      </rPr>
      <t>GLAB-FM-146</t>
    </r>
    <r>
      <rPr>
        <sz val="12"/>
        <rFont val="Arial"/>
        <family val="2"/>
      </rPr>
      <t>, verificando que  las actividades ejecutadas corresponda con las programadas. En caso de encontrar que alguna actividad programada no fue ejecutada, se hace una inspección al funcionamiento del equipo, si no presenta ninguna desviación se reprograma la actividad para el siguiente mes, de lo contrario se pone el equipo en estado fuera de uso, hasta garantizar su correcto funcionamiento.</t>
    </r>
  </si>
  <si>
    <t>El auxiliar administrativo</t>
  </si>
  <si>
    <t>Cada vez que se genera una solicitud de servicio, que exista un documento (acuerdo de servicio, orden de trabajo, acta o correo) entre las partes (cliente interno y laboratorio) en donde se establezcan los tiempos de entrega de resultados. Si  hay solicitudes de servicios en donde no se especifique los tiempos de entrega, el servicio no se prestara hasta que el documento cuente con el requisito anteriormente mencionado.</t>
  </si>
  <si>
    <r>
      <t xml:space="preserve">Cada vez que se emite un informe, que la solicitud de servicio se halla cumplido de acuerdo a lo solicitado por el cliente teniendo en cuenta el informe de resultados, este seguimiento se registra en el formato matriz de trazabilidad de ensayos </t>
    </r>
    <r>
      <rPr>
        <b/>
        <sz val="12"/>
        <rFont val="Arial"/>
        <family val="2"/>
      </rPr>
      <t>GLAB-FM-103</t>
    </r>
    <r>
      <rPr>
        <sz val="12"/>
        <rFont val="Arial"/>
        <family val="2"/>
      </rPr>
      <t>. Si hace falta algún ensayo o no se cumple con la solicitud el auxiliar administrativo reporta el trabajo no conforme.</t>
    </r>
  </si>
  <si>
    <t>Por Modificar los resultados y/o los tiempos de entrega de informes de ensayos a cambio de beneficio a nombre propio o de terceros, con el fin agilizar, retrasar la entrega de informes o hacer que los materiales cumplan especificaciones técnicas.</t>
  </si>
  <si>
    <t>Debido a:
1. Insuficiente personal por ausentismo laboral por enfermedad, licencias, renuncias, falta de presupuesto y/o demoras en la contratación del personal.
2. Aumento en la demanda de los servicios.
3. Fallas en equipamiento.
4. Falta de claridad de las fechas de entrega de los informes.
5. Falta de la solicitud del servicio de manera explicita ( acta de reunión, correo electrónico, orden de trabajo y /o el acuerdo de servicio).</t>
  </si>
  <si>
    <t xml:space="preserve">dado el desconocimiento de los lineamientos y metodologías existentes asociadas a la politica de participación ciudadana en la entidad
Desconocimiento de los espacios de participación ciudadana que tiene la entidad y de las metodologías existentes para desarrollar dichos espacios </t>
  </si>
  <si>
    <t>Permitir presiones indebidas por falta de propiedad, gobernanza  o indebida gestión de personal, recursos compartidos, contratos o intereses particulares para cambiar o modificar resultados en los informes de ensayo con beneficio a  terceros o propio.</t>
  </si>
  <si>
    <t>Retrasos en la prestación de servicio a los clientes internos, e incumplimiento del objetivo del laboratorio (por ejemplo, que el ensayo se realice con desviaciones al método de ensayo, reducciones de tiempos de ejecución del ensayo).</t>
  </si>
  <si>
    <t>Falta de autonomía al  actúar bajo las normas nacionales y distritales para las entidades públicas.</t>
  </si>
  <si>
    <t>Presencia de gobernanza, gestión de personal, recursos compartidos, contratos o intereses particulares por parte de los clientes internos.</t>
  </si>
  <si>
    <t xml:space="preserve"> El auxiliar administrativo</t>
  </si>
  <si>
    <t>cada vez que se genera una solicitud de servicio, que exista un documento (acuerdo de servicio, acta o correo) entre las partes (cliente interno y laboratorio), en donde se establezcan los requisitos mínimos para la solitud (El material a ensayar, el o los ensayos a realizar, fecha de recepción de la muestra, fecha en la que se requiere el informe de ensayo, medio de envió de los resultados.).
Si  hay solicitudes de servicios en donde no se especifique algún requisito, el servicio no se prestara hasta que el documento cuente con el o los requisitos faltantes.</t>
  </si>
  <si>
    <r>
      <t xml:space="preserve">cada vez que se emite un informe de ensayo, por  medio  del formato  de matriz de trazabilidad  </t>
    </r>
    <r>
      <rPr>
        <b/>
        <sz val="12"/>
        <rFont val="Arial"/>
        <family val="2"/>
      </rPr>
      <t>GLAB-FM-103</t>
    </r>
    <r>
      <rPr>
        <sz val="12"/>
        <rFont val="Arial"/>
        <family val="2"/>
      </rPr>
      <t>, que  los tiempos  establecidos en la  solicitud de servicio se cumpla, 
de encontrarse desviaciones en los  tiempos se le comunica al cliente justificando las razones de dicho cambio.</t>
    </r>
  </si>
  <si>
    <r>
      <t>cada vez que ingresa una persona al laboratorio, que firme el compromiso de confidencialidad e imparcialidad en el formato compromiso de confidencialidad e imparcialidad</t>
    </r>
    <r>
      <rPr>
        <b/>
        <sz val="12"/>
        <rFont val="Arial"/>
        <family val="2"/>
      </rPr>
      <t xml:space="preserve"> GLAB-FM-126</t>
    </r>
    <r>
      <rPr>
        <sz val="12"/>
        <rFont val="Arial"/>
        <family val="2"/>
      </rPr>
      <t>, con el fin de garantizar la imparcialidad en la ejecución de las actividades del laboratorio. Si no se ha firmado el compromiso no se da inicio para desarrollar las actividades en el laboratorio.</t>
    </r>
  </si>
  <si>
    <r>
      <t xml:space="preserve">Mensualmente, los productos o servicios entregados conforme a lo establecido en la minuta del contrato, asegurando el cumplimiento de las especificaciones pactadas y los estándares de calidad requeridos.
</t>
    </r>
    <r>
      <rPr>
        <b/>
        <sz val="12"/>
        <rFont val="Arial"/>
        <family val="2"/>
      </rPr>
      <t>Cómo se realiza:</t>
    </r>
    <r>
      <rPr>
        <sz val="12"/>
        <rFont val="Arial"/>
        <family val="2"/>
      </rPr>
      <t xml:space="preserve"> La verificación será llevada a cabo por el área técnica o el responsable designado, mediante la comparación de los productos o servicios entregados con las condiciones establecidas en el contrato y sus anexos, incluyendo características, cantidades, plazos y especificaciones técnicas.
</t>
    </r>
    <r>
      <rPr>
        <b/>
        <sz val="12"/>
        <rFont val="Arial"/>
        <family val="2"/>
      </rPr>
      <t>Evidencia:</t>
    </r>
    <r>
      <rPr>
        <sz val="12"/>
        <rFont val="Arial"/>
        <family val="2"/>
      </rPr>
      <t xml:space="preserve"> Actas de recepción firmadas por ambas partes, informes de conformidad técnica, y registros fotográficos o documentales de los productos o servicios entregados si lo requiere.
</t>
    </r>
    <r>
      <rPr>
        <b/>
        <sz val="12"/>
        <rFont val="Arial"/>
        <family val="2"/>
      </rPr>
      <t>Desviación:</t>
    </r>
    <r>
      <rPr>
        <sz val="12"/>
        <rFont val="Arial"/>
        <family val="2"/>
      </rPr>
      <t xml:space="preserve"> Se notificará al proveedor o contratista para realizar las correcciones necesarias en un plazo acordado, dejando constancia en las actas correspondientes.</t>
    </r>
  </si>
  <si>
    <t>Por modificación de la estrategia de TI que pueden generar desviaciones en el plan  presupuestal y a los proyectos de TI</t>
  </si>
  <si>
    <t>Debido a cambios en la definción de lineamientos institucionales durante la ejecución del portafolio de proyectos planificados en la hoja de ruta del Plan Estratégico de Tecnologías de Información</t>
  </si>
  <si>
    <t>Por retrasos en la atención de las solicitudes de pago</t>
  </si>
  <si>
    <t>Debido a desactualización normativa en la aplicación de los criterios de decisión del liquidador en la generación de la Orden de pago, por manualidad en la operación del sistema de información financiera</t>
  </si>
  <si>
    <t>Programar los plazos para la recepción, trámite y ordenación del pago de las solicitudes de pago de proveedores y contratistas, los términos para la remisión de la información a Contabilidad, las fechas de presentación de los estados financieros, de las actividades de cierre presupuestal y de vigencia.</t>
  </si>
  <si>
    <t>Falta en la completitud de presentación de los requisitos para realizar los pagos.</t>
  </si>
  <si>
    <t>Cambios o actualizaciones normativas no informadas
Falta de interoperabilidad entre los sistemas de SDH, regalías y UMV</t>
  </si>
  <si>
    <t>Retrasos, devoluciones y reprocesos internos.</t>
  </si>
  <si>
    <t>El Funcionario o Colaborador designado</t>
  </si>
  <si>
    <t>Mensualmente, si se ha expedido nueva normatividad que afecte las actividades del proceso, en el portal informativo  de normatividad o en los correos informativos recibidos relacionados con nueva reglamentación, revisando la fecha de aplicación y sus implicaciones para evitar su no aplicación, remitiendo un correo informativo relacionando la nueva norma y las recomendaciones de aplicación para el conocimiento del grupo de colaboradores del proceso. En caso de evidenciar que en un período no se expidió normatividad, se debe remitir correo informativo referenciando esta novedad. Al detectar la no aplicación de una norma previamente expedida, se realiza una reunión con los responsables de los subprocesos y en caso de aplicar, se efectuarán los reprocesos o el ajuste de los documentos del proceso correspondientes. Los correos informativos, las normas analizadas, las actas o las notas de la reunión si aplican, las actualizaciones de los documentos relacionados o soporte de la aplicación de las normas, en caso de proceder, se conservarán como evidencia de la aplicación del control.</t>
  </si>
  <si>
    <t>Realizar las modificaciones a nivel de sistema o documentación por los cambios normativos</t>
  </si>
  <si>
    <t>Profesional Especializado de Financiera</t>
  </si>
  <si>
    <t>Solicitudes a mesa de ayuda y/o nuevo(s) documento(s) o versiones actualizadas</t>
  </si>
  <si>
    <t>De acuerdo al requerimiento normativo</t>
  </si>
  <si>
    <t>Elaborar directriz o lineamiento para la atención del caso definiendo la aplicación correcta del criterio de decisión en la liquidación correcta de la solicitud de pago</t>
  </si>
  <si>
    <t>Instrucción por memorando o correo al grupo financiero informando la novedad a tener en cuenta para la atención de los casos similares</t>
  </si>
  <si>
    <t>Gerente Administrativo y Financiero</t>
  </si>
  <si>
    <t>El Técnico Operativo o Colaborador designado</t>
  </si>
  <si>
    <t xml:space="preserve">cada vez que Contabilidad recibe una orden de pago para su causación, su completitud  para efectuar su registro contable en el sistema financiero. En caso de encontrar inconsistencias en la orden de pago, se deshabilita en el sistema y se devuelve al liquidador para efectuar los ajustes requeridos para continuar con su contabilización. La evidencia del registro contable se observa en el registro de la contabilización en el sistema de información financiero y en el listado Consolidado Ordenes de pago en las columnas ID LIMAY CAUSACION y USUARIO CONTABILIZO. </t>
  </si>
  <si>
    <t>Por aplicación de sanciones y llamados de atención (hallazgos) de entes de control y entidades guía del tema contable por presentación de información no confiable y  no oportuna</t>
  </si>
  <si>
    <t>Debido a Inoportunidad y/o imprecisión en la entrega de la información por parte de las áreas que intervienen en el proceso contable</t>
  </si>
  <si>
    <t>Registrar, consolidar, analizar y presentar los estados financieros, tributarios y de entes de control.</t>
  </si>
  <si>
    <t>Ajustes en la información y en los estados financieros y tributarios</t>
  </si>
  <si>
    <t>Falta de entrega de información de los hechos económicos por los FDL y Otras entidades que afectan la preparación de la información para la consolidación de los estados</t>
  </si>
  <si>
    <t>Estados financieros que no presentan información confiable.</t>
  </si>
  <si>
    <t xml:space="preserve">     Entre 130 y 650 SMLMV</t>
  </si>
  <si>
    <t>El Colaborador designado previamente por el líder del área contable</t>
  </si>
  <si>
    <t>mensualmente, las cuentas contables y conceptos utilizados en cada uno de los documentos remitidos para su contabilización, de la información reportada por las dependencias, de acuerdo con lo establecido en la circular "Procedimiento para la presentación de la información contable", con el propósito de evidenciar posibles inconsistencias. En caso de presentarse estas, se informa a la dependencia para que realicen los ajustes o correcciones pertinentes. La evidencia de la verificación se observa en el seguimiento de la entrega de la información y en los correos y/o radicados de correspondencia con que se recibe o se solicita el ajuste de la información.</t>
  </si>
  <si>
    <t xml:space="preserve">Registrar la información no reportada en el siguiente mes </t>
  </si>
  <si>
    <t>Profesional Especializado Contabilidad</t>
  </si>
  <si>
    <t>Estados Financieros</t>
  </si>
  <si>
    <t xml:space="preserve">Cuando se presente </t>
  </si>
  <si>
    <t>Realizar la corrección de la información contable reportada y cargarla nuevamente en los aplicativos de la Contaduría General de la Nación y Bogotá Consolida</t>
  </si>
  <si>
    <t>Información corregida cargada en los aplicativos</t>
  </si>
  <si>
    <t>El Profesional Especializado o Colaborador designado</t>
  </si>
  <si>
    <t xml:space="preserve">trimestralmente, la entrega de la información por las dependencias, según lo establecido en la circular "Procedimiento para la presentación de la información contable". En caso de no haber recibido la información en la fecha establecida, por medio de correo electrónico se reitera el cumplimiento de las fechas de reporte establecidas en la circular para la presentación de la información contable. La información presentada tardíamente se registrará en el siguiente mes. Como evidencia se conservan los correos y la circular anual de presentación de la información contable. </t>
  </si>
  <si>
    <t xml:space="preserve">por sanciones o no conformidades de los entes de control o la OCI  por el desabastecimiento de mezcla o insumos para el cumplimiento de la misionalidad </t>
  </si>
  <si>
    <t xml:space="preserve">debido a deficiencias en la programación del material o control de los insumos para cumplir con las solicitudes concertadas. </t>
  </si>
  <si>
    <t>Producir mezclas y entregar o despachar materias primas e insumos solicitados.</t>
  </si>
  <si>
    <t>falta de coordinacion entre el Gerente y los supervisores de los contratos de aprovisionamiento</t>
  </si>
  <si>
    <t>incumplimiento de los proveedores</t>
  </si>
  <si>
    <t>se detuvo la operación afectando la programación de las intervenciones</t>
  </si>
  <si>
    <t>El Gerente de Produccion</t>
  </si>
  <si>
    <t>mensualmente los informes de supervisión de la ejecución de los contratos a cargo de la Gerencia de producción, su ejecución y avance en el tablero de control de la mesa de seguimiento contractual y presupuestal Proyectos Misionales de la Subdirección de producción y apoyo logístico, con el objetivo de gestionar las modificaciones contractuales para la continuidad del suministro de mezclas, los cuales se documentan en el acta de la mesa de trabajo.
En caso de presentarse o identificar novedades que afecten significativamente el despacho, se escala al Comité de planificación, producción e intervención incluyéndolo en el orden del día para tomar las acciones relacionadas con la capacidad y programación ofertada de manera consensuada en la cadena de valor misional.</t>
  </si>
  <si>
    <t>Alimentar el archivo de gestion de contratos de la Gerencia de produccion</t>
  </si>
  <si>
    <t>Lider de seguimiento contratos GP</t>
  </si>
  <si>
    <t>Archivo actualizado para cargar a tablero de control</t>
  </si>
  <si>
    <t>Mensual</t>
  </si>
  <si>
    <t>Escalar estado de la cadena de abastecimiento al comité de planeacion, produccion e intervencion</t>
  </si>
  <si>
    <t>Acta de reunion del comité de planeacion con los ajustes realizados</t>
  </si>
  <si>
    <t>Lider de seguimiento contractual GP</t>
  </si>
  <si>
    <t>Mensualmente el reporte de avance mensual y variaciones de metas institucionales de la gerencia de intervención con el plan anual de adquisiciones a su cargo e informar al equipo de trabajo de la Gerencia de producción las variaciones en la demanda de recursos para la toma de decisiones relacionadas con la gestión contractual y ajustar la capacidad de acuerdo con esas necesidades registradas en el acta mesa de seguimiento contractual y presupuestal Proyectos Misionales de la Subdirección de producción y apoyo logístico, 
En caso de presentarse o identificar novedades que afecten significativamente el volumen se escala al Comité de planificación, producción e intervención incluyéndolo en el orden del día para tomar las acciones relacionadas con la capacidad y programación ofertada de manera consensuada en la cadena de valor misional</t>
  </si>
  <si>
    <t>Actualizar el tablero de control de la gerencia de produccion</t>
  </si>
  <si>
    <t xml:space="preserve">tablero de control con informacion oportuna </t>
  </si>
  <si>
    <t>por baja disponibilidad operativa de vehículos, maquinaria, equipos y plantas industriales, afectando el cumplimiento de las metas establecidas en la UAERMV</t>
  </si>
  <si>
    <t>debido a la falta de seguimiento a los mantenimientos realizados y al aumento de la demanda operativa</t>
  </si>
  <si>
    <t>Seguimiento a la programación y ejecución de los mantenimientos, así como al estado operativo de los vehículos, maquinaria, equipos y plantas industriales</t>
  </si>
  <si>
    <t>Falta de seguimiento por parte de los delegados por la Gerencia de Maquinaria y Equipos.
Deficiencia en la información reportada</t>
  </si>
  <si>
    <t>Incremento en los tiempos de mantenimiento.
Demora en la emision de cotizaciones.</t>
  </si>
  <si>
    <t>Incumplimientos en los
compromisos
institucionales de la UAERMV</t>
  </si>
  <si>
    <t>El designado por la Gerencia de Maquinaria y equipos</t>
  </si>
  <si>
    <t>Mensualmente, en la mesa de trabajo, se verifica el correcto diligenciamiento de los formatos (Consolidado de Maquinaria, Vehículos y Equipos) y (Base de Datos de Control de Mantenimiento Preventivo por horas, kilómetros o m³ producidos). Como evidencia, se deja el acta de seguimiento correspondiente. en caso de encontrar desviaciones se registran en el acta y se deja evidencia de las  acciones correctivas adoptadas.</t>
  </si>
  <si>
    <t xml:space="preserve">verificar el inventario y estado operativo de vehículos, maquinaria, equipos y plantas industriales, asegurando que estén en condiciones óptimas para el inicio de las operaciones correspondientes a la vigencia 2025
</t>
  </si>
  <si>
    <t>Gerente de Maquinaria y Equipos</t>
  </si>
  <si>
    <t xml:space="preserve">Acta de seguimiento al parque automotor 
</t>
  </si>
  <si>
    <t>Informar, validar y gestionar las novedades presentadas durante las reuniones de seguimiento del parque automotor,</t>
  </si>
  <si>
    <t xml:space="preserve">Acta de reunion </t>
  </si>
  <si>
    <t>Personal asignado del proceso logística y manejo de maquinaria y equipo.</t>
  </si>
  <si>
    <t>Mensualmente se gestiona la información registrada en el documento interno (Base de Datos de Órdenes de Mantenimiento) y en el (Formato de Reporte de Necesidades de Mantenimiento). Como evidencia, se elabora un acta de reunión en la que se documentan las acciones realizadas, las necesidades identificadas y las desviaciones detectadas</t>
  </si>
  <si>
    <t>Actualizar periódicamente el documento (Base de Datos de Órdenes de Mantenimiento) y el (Formato de Reporte de Necesidades de Mantenimiento) para garantizar la precisión y completitud de la información, facilitando la toma de decisiones informadas y oportunas</t>
  </si>
  <si>
    <t>Designados por la gerencia de maquinaria y equipo.</t>
  </si>
  <si>
    <t>Informe</t>
  </si>
  <si>
    <t>Cuatrimestral</t>
  </si>
  <si>
    <t>Por Incumplimiento  de la normativa, procedimientos y manuales ambiental, social y SST;</t>
  </si>
  <si>
    <t>Debido al Desconocimiento en los lineamientos y procedimientos  por parte de los colaboradores.
Deficiencia en el seguimiento y control de la aplicación de los procedimientos en las intervenciones de la Entidad. 
Deficiencia en el seguimiento y control de la aplicación de los procedimientos en las intervenciones de la Entidad.</t>
  </si>
  <si>
    <t>Desarrollar las actividades conforme a lo establecido en los documentos que respalden la gestión ambiental y de seguridad y salud en el trabajo.
Verificar el cumplimiento de las actividades programadas en la Gestión Social, Ambiental y de Seguridad y Salud en el Trabajo</t>
  </si>
  <si>
    <t>Falta de conocimientos de la normatividad, manuales y los procedimientos  del proceso, por parte de algunos colaborador</t>
  </si>
  <si>
    <t xml:space="preserve">Cambios en la normatividad que la entidad desconozca </t>
  </si>
  <si>
    <t>Sanciones economicas o perdida de legitimidad institucional.
Reprocesos</t>
  </si>
  <si>
    <t xml:space="preserve">Los profesionales designados por el jefe de Servicio a la Ciudadanía y Sostenibilidad (Coordinadores (as)  Ambiental, Social y SST) </t>
  </si>
  <si>
    <r>
      <t xml:space="preserve">bimestralmente la apropiación de  las sensibilizaciones en las tematicas de los tres componentes (Ambiental; Social y SST) con una evaluación de seis (6) jornadas de sensibilización; lo anterior se realizará mediante un documento  de evaluación y </t>
    </r>
    <r>
      <rPr>
        <b/>
        <sz val="12"/>
        <rFont val="Arial"/>
        <family val="2"/>
      </rPr>
      <t xml:space="preserve">la evidencia </t>
    </r>
    <r>
      <rPr>
        <sz val="12"/>
        <rFont val="Arial"/>
        <family val="2"/>
      </rPr>
      <t xml:space="preserve">será el analisis, como producto de los resultados de las evaluaciones aplicadas. 
En caso de que los resultados de la evaluación no superen el 85% se brindará apoyo personalizado. </t>
    </r>
  </si>
  <si>
    <t>Realizar evaluacion semestral a los residentes ambientales, sociales y SST; de los procedimientos y manuales  de cada uno de los tres componestes</t>
  </si>
  <si>
    <t xml:space="preserve">2 listados de asistencia y evaluaciones  </t>
  </si>
  <si>
    <t>junio de 2025 - diciembre de 2025</t>
  </si>
  <si>
    <t>Elaborar plan de mejoramiento</t>
  </si>
  <si>
    <t>plan de mejoramiento ejecutado</t>
  </si>
  <si>
    <t>Jefe de Servicio a la Ciudadania y Sostenibilidad</t>
  </si>
  <si>
    <t>Los profesionales designados por el Jefe de Servicio a la Ciudadania y Sostenibilidad (Coordinadores (as)  Ambientales, Sociales y SST)</t>
  </si>
  <si>
    <r>
      <t xml:space="preserve">trimestralmente la normatividad aplicable vigente; </t>
    </r>
    <r>
      <rPr>
        <b/>
        <sz val="12"/>
        <rFont val="Arial"/>
        <family val="2"/>
      </rPr>
      <t>las evidencias serán las actas de reunión</t>
    </r>
    <r>
      <rPr>
        <sz val="12"/>
        <rFont val="Arial"/>
        <family val="2"/>
      </rPr>
      <t xml:space="preserve"> de las revisiones.
En el caso que se identifiquen cambios normativos, se procede a informar al jefe con el fin de tramitar el ajuste respectivo de matriz legal ante la oficina jurídica de la UMV. </t>
    </r>
  </si>
  <si>
    <t>Realizar seguimiento trimestral a la actualización de la normativa de los componentes social ambiental y SST, mediante la consulta en aplicativos de legislación vigentes.</t>
  </si>
  <si>
    <t>Pantallazo de la consulta realizada</t>
  </si>
  <si>
    <t xml:space="preserve">Trimestral </t>
  </si>
  <si>
    <t>Los profesionales designados por el  Jefe de Servicio a la Ciudadania y Sostenibilidad (Coordinadores (as)  Ambientales, Sociales y SST)</t>
  </si>
  <si>
    <r>
      <t xml:space="preserve">en reunión semanal la correcta implementación de los procedimientos y el adecuado diligenciamiento de los formatos asociados a los mismos; </t>
    </r>
    <r>
      <rPr>
        <b/>
        <sz val="12"/>
        <rFont val="Arial"/>
        <family val="2"/>
      </rPr>
      <t>las  evidencias serán las actas de reunión de las revisiones.</t>
    </r>
    <r>
      <rPr>
        <sz val="12"/>
        <rFont val="Arial"/>
        <family val="2"/>
      </rPr>
      <t xml:space="preserve">
En el caso que se identifiquen anomalías, se procede a informar al supervisor del contrato para tomar las medidas correctivas necesarias. </t>
    </r>
  </si>
  <si>
    <t xml:space="preserve">Elaborar una pieza informativa cuatrimestral  de los procedimientos Ambiental, Social  y SST; la cual será enviada al área de comunicaciones para su publicación. La pieza informativa se enviará cuatrimestalmente de uno de los componentes.  </t>
  </si>
  <si>
    <t xml:space="preserve">3 Piezas informativas </t>
  </si>
  <si>
    <t>Abril 2025
Agosto 2025</t>
  </si>
  <si>
    <t xml:space="preserve">Los profesionales designados por el Jefe de Servicio a la Ciudadania y Sostenibilidad  (Coordinadores (as)  Ambiental, Social y SST) </t>
  </si>
  <si>
    <r>
      <t xml:space="preserve">la correcta implementación de los controles ambientales, sociales y SST, a traves de al menos 2 visitas de seguimiento al mes a los Frentes de Obra.
Lo anterior </t>
    </r>
    <r>
      <rPr>
        <b/>
        <sz val="12"/>
        <rFont val="Arial"/>
        <family val="2"/>
      </rPr>
      <t xml:space="preserve">se evidenciará por medio de registro fotográfico </t>
    </r>
    <r>
      <rPr>
        <sz val="12"/>
        <rFont val="Arial"/>
        <family val="2"/>
      </rPr>
      <t>de las visitas a los frentes de obra realizadas por los coordinadores de la OSCS. 
En el caso que se identifiquen anomalías, se procede a informar al supervisor del contrato para tomar las medidas correctivas necesaria</t>
    </r>
  </si>
  <si>
    <t>Por deficiencias en la calidad durante la intervención de las obras.</t>
  </si>
  <si>
    <t>Debido a materiales e insumos que  no cumplian las especificaciones técnicas en los diferente tipos de intervención que ejecuta la Entidad; deficiencia en la operatividad de la maquinaria y equipo, que podrían generar deficiencias en la calidad de las obras intervenidas.</t>
  </si>
  <si>
    <t>Realizar el seguimiento a las intervenciones de las obras y notificar al área correspondiente fallas en la calidad de los materiales a instalar</t>
  </si>
  <si>
    <t>Reprocesos por inadecuada operatividad de equipos que incluye la experticia del operario
Deficiencias en las especificaciones técnicas de los materiales e insumos</t>
  </si>
  <si>
    <t>Cambios de clima, por lluvia intempestiva cuando se estan realizando las ejecuciones
Falta de articulación con las diferentes Entidades  (Acueducto) para la conservación de lo ejecutado por la Entidad</t>
  </si>
  <si>
    <t>Mala imagen de la Entidad y reprocesos en las intervenciones</t>
  </si>
  <si>
    <t xml:space="preserve">El profesional designado por el Subdirector de Intervención de la Infraestructura </t>
  </si>
  <si>
    <r>
      <t xml:space="preserve">en campo el cumplimiento del proceso constructivo de acuerdo con la aplicación de los procedimientos, planes de calidad, instructivos y demás documentos asociados al proceso; asi como la trazabilidad al suministro de materiales requeridos en obra mensualmente, </t>
    </r>
    <r>
      <rPr>
        <b/>
        <sz val="12"/>
        <rFont val="Arial"/>
        <family val="2"/>
      </rPr>
      <t>Como evidencia</t>
    </r>
    <r>
      <rPr>
        <sz val="12"/>
        <rFont val="Arial"/>
        <family val="2"/>
      </rPr>
      <t xml:space="preserve"> queda el </t>
    </r>
    <r>
      <rPr>
        <b/>
        <sz val="12"/>
        <rFont val="Arial"/>
        <family val="2"/>
      </rPr>
      <t>Informe Técnico de Autocontro</t>
    </r>
    <r>
      <rPr>
        <sz val="12"/>
        <rFont val="Arial"/>
        <family val="2"/>
      </rPr>
      <t>l de la Calidad a Intervenciones en proceso de ejecución dirigido al Subdirector de Intervención de la Infraestructura y Gerentes de Infraestructura
En caso de que se presenten incumplimientos el profesional de Calidad con previa aprobación del Subdirector impartira las medidas pertinentes que hayan a lugar.</t>
    </r>
  </si>
  <si>
    <t>Socialización trimestral de buenas practicas de obra producto de los diferentes tipos de intervención, estrategias y temas de importancia para la Subdirección</t>
  </si>
  <si>
    <t>Subdirector de Intervención de la Infraestructura, Gerente de Intervención Urbana, Gerente de Intervención Rural y profesional(es) designado(s)</t>
  </si>
  <si>
    <t xml:space="preserve">Acta de reunión o correo electrónico </t>
  </si>
  <si>
    <t>01/01/2025 a 31/12/2025</t>
  </si>
  <si>
    <t xml:space="preserve"> Plan de mejoramiento</t>
  </si>
  <si>
    <t>El profesional encargado designado por el Gerente de Infraestructura Urbana</t>
  </si>
  <si>
    <r>
      <t xml:space="preserve">mensualmente las alertas emitidas por los diferentes frentes de obra sobre el estado del funcionamiento de la maquinaria, equipos y la experticia de los operarios. </t>
    </r>
    <r>
      <rPr>
        <b/>
        <sz val="12"/>
        <rFont val="Arial"/>
        <family val="2"/>
      </rPr>
      <t xml:space="preserve">Como evidencia queda el Informe de novedades de maquinaria </t>
    </r>
    <r>
      <rPr>
        <sz val="12"/>
        <rFont val="Arial"/>
        <family val="2"/>
      </rPr>
      <t>y equipos en frentes de obra dirigido a la Subdirección de Producción y Apoyo Logístico, anexando el acta de reunión de la mesa de trabajo.
En caso que no sean atendidas y sean reiterativas, se solicita mesa de trabajo con la Gerencia de Maquinaria y Equipos.</t>
    </r>
  </si>
  <si>
    <t xml:space="preserve">Por retrasos desde su iniciación, ejecución y terminación de la obra.  </t>
  </si>
  <si>
    <t>Debido a  que se presentas iImprevistos e incumplimientos en el suministro de equipo, maquinaria e insumos y la falta de reacción a las alertas generadas durante el intervención de las obras</t>
  </si>
  <si>
    <t>Planear la programación periódica de intervención de acuerdo con los recursos humanos, maquinaria, equipos y materiales disponibles; la priorización y el diagnóstico inicial para la malla vial local, intermedia, rural, y de ciclo-infraestructura y de espacio público.</t>
  </si>
  <si>
    <t>Demoras en las entregas de materiales y falta de operatividad de maquinaria y equipos.</t>
  </si>
  <si>
    <t>Solicitudes nuevas y prioritarias de apoyos interinstitucionales en las diferentes estrategias.</t>
  </si>
  <si>
    <t>Retrasos en el cumplimiento de las metas de la Entidad</t>
  </si>
  <si>
    <r>
      <t xml:space="preserve">semanalmente el cumplimiento de la programación e informa al comité técnico el avance de lo programado, la ejecución y el cumplimiento de las metas misionales. </t>
    </r>
    <r>
      <rPr>
        <b/>
        <sz val="12"/>
        <rFont val="Arial"/>
        <family val="2"/>
      </rPr>
      <t>Como evidencia queda el correo enviado que contiene el avance</t>
    </r>
    <r>
      <rPr>
        <sz val="12"/>
        <rFont val="Arial"/>
        <family val="2"/>
        <charset val="1"/>
      </rPr>
      <t xml:space="preserve"> semanal del cumplimiento a lo programado por cada estrategia.
En caso de evidenciar retrasos en el comité se impartiran medidas a tener en cuenta para dar cumplimiento al programa de trabajo. </t>
    </r>
  </si>
  <si>
    <t>Socializar en el comité técnico el avance de cumplimiento de lo programado en la  proyección de metas de cada estrategia</t>
  </si>
  <si>
    <r>
      <t xml:space="preserve">mensualmente las alertas emitidas por los diferentes frentes de obra sobre el estado del funcionamiento de la maquinaria, equipos y la experticia de los operarios. 
</t>
    </r>
    <r>
      <rPr>
        <b/>
        <sz val="12"/>
        <rFont val="Arial"/>
        <family val="2"/>
      </rPr>
      <t>Como evidencia queda el Informe de novedades de maquinaria y equipos</t>
    </r>
    <r>
      <rPr>
        <sz val="12"/>
        <rFont val="Arial"/>
        <family val="2"/>
        <charset val="1"/>
      </rPr>
      <t xml:space="preserve"> en frentes de obra dirigido a la Subdirección de Producción y Apoyo Logístico, anexando el acta de reunión de la mesa de trabajo.
En caso que no sean atendidas y sean reiterativas, se solicita mesa de trabajo con la Gerencia de Maquinaria y Equipos.</t>
    </r>
  </si>
  <si>
    <t>Retroalimentación de los reportes y seguimiento presentados de maquinaria y equipos al personal involucrado</t>
  </si>
  <si>
    <t>por la aprobación de un proyecto inviable para el desarrollo misional de la entidad.</t>
  </si>
  <si>
    <t>Debido a la deficiencia  en la revisión de aspectos economico y tecnico que se requiere para el desarrollo de la misionalidad de la entidad y/o debilidades con las  alianzas estrategicas con otras entidades.</t>
  </si>
  <si>
    <t>Proyectos de innovación</t>
  </si>
  <si>
    <t>Incumplimiento a los procedimientos y documentos   internos del proceso.
Disponibilidad  de recursos necesarios (Equipos, insumos, etc.) para  la  ejecución</t>
  </si>
  <si>
    <t>Carencia de alianzas estrategicas que permitan la financiacion y/o prestamos de recursos fisicos para la ejecucuion de proyectos de innovación</t>
  </si>
  <si>
    <t>Lider de innovación</t>
  </si>
  <si>
    <t>Cada vez que se plantea la iniciativa de un proyecto de innovación, la viabilidad tecnica en las mesas de trabajo de iniciativas de proyectos, dejando como evidencia un  acta de reunion de las iniciativas. si la propuesta no cumple con lo establecido, no sera aprobada para continuar con su ejecución</t>
  </si>
  <si>
    <t>Finalización del proyecto</t>
  </si>
  <si>
    <t>Gerente para el Desarrollo, la Calidad y la Innovación</t>
  </si>
  <si>
    <t>Gerente para el desarrollo, la Calidad e Innovación</t>
  </si>
  <si>
    <t>Cada vez que un proyecto finaliza su fase de estructuración, que este cuente con el soporte teorico, tecnico y economico para la ejecución del proyecto, dejando como evidencia la aprobación en el formato acta de constitución del proyecto misional DMIC-FM-001_V1, de no ser asi se dara por finalizado el proyecto planteado inicialmente.</t>
  </si>
  <si>
    <t>Por emisión de conceptos contrarios a la norma</t>
  </si>
  <si>
    <t>Debido a  a la desactualización de los sistemas de información jurídica de la Entidad y/o desconocimiento de las normas por parte de quienes emiten los conceptos.</t>
  </si>
  <si>
    <t>Generación de conceptos</t>
  </si>
  <si>
    <t>Falta de actualización normativa en y/o en los sistemas de información jurídica de la Entidad</t>
  </si>
  <si>
    <t>Sanciones disciplinarias</t>
  </si>
  <si>
    <t>Jefe de la OJ</t>
  </si>
  <si>
    <t>Trismestralmente  que los conceptos Juridicos solicitados y emitidos en el periodo, cumplan con la normatividad vigente, deben ser emitidos conforme a los disposiciones contenidas en el  procedimiento GJUR-PR-008.
Como evidencia se tienen los conceptos emitidos, según solicitudes,  en la herramiento ORFEO.</t>
  </si>
  <si>
    <t>Se dará alcance al concepto impreciso, con un nuevo concepto emitido correctamente</t>
  </si>
  <si>
    <t>Memorando de alcance</t>
  </si>
  <si>
    <t>por emitir actuaciones fuera del término legal</t>
  </si>
  <si>
    <t>Debido a retrasos en la asignación de actividades o retraso por parte del servidor(a) y/o contratista encargado de adelantar las actuaciones correspondientes dentro de los términos procesales judiciales, trámites extrajudiciales y administrativos</t>
  </si>
  <si>
    <t xml:space="preserve">Incorporación de actuaciones procesales y administrativas en el aplicativo SIPROJ </t>
  </si>
  <si>
    <t xml:space="preserve">Deficiencias en el seguimiento a los términos procesales </t>
  </si>
  <si>
    <t>Fallas técnicas o complicación de acceso al SIPROJ</t>
  </si>
  <si>
    <t>Sanciones disciplinarias y/o condenas en contra de la entidad</t>
  </si>
  <si>
    <t>El profesional designado por el Jefe (a) de la Oficina Jurídica</t>
  </si>
  <si>
    <t>Bimensual y en el marco de lo establecido en la Resolución 485 de 2023 y/o normatividad vigentes, que se tenga actualizado el Sistema de Información de Procesos Judiciales - SIPROJ WEB.  En caso de encontrar incumplimiento en el estado de actualización,  informará mediante correo electrónico al profesional designado lider de defensa jurídica,  para que solicite a los apoderados de cada proceso actualizar el proceso antes del vencimiento del periodo trimestral establecido en la Res 485 de 2023 y/o normatividad vigente . Como evidencia se tiene el reporte bimensual  de SIPROJ WEB sobre estado de actualización de píezas procesales.</t>
  </si>
  <si>
    <t>Presentación inmediata de las actuaciones pendientes, paralelamente optimizar procedimientos internos con equipo de defensa judicial para evitar futuras situaciones similares</t>
  </si>
  <si>
    <t>memorial de contestación
Acta de revisión de procedimientos</t>
  </si>
  <si>
    <t>por sanciones generadas a la entidad</t>
  </si>
  <si>
    <t>debido a que no se cuenta
con los soportes necesarios que permitan iniciar los trámites correspondientes para el cumplimiento de las decisiones judiciales.</t>
  </si>
  <si>
    <t>Control y cumplimiento de la Defensa y Representación Judicial de la Entidad.</t>
  </si>
  <si>
    <t>Demoras en los traslados proesupuestales necesarios para pago de sentencias judiciales, así como en la generación de CDP</t>
  </si>
  <si>
    <t>Entrega inoportuna de la sentencia por parte del despacho judicial</t>
  </si>
  <si>
    <t>Sanciones penales, disciplinarias, fiscales y patrimoniales</t>
  </si>
  <si>
    <t>Conciliar el pago de intereses generados</t>
  </si>
  <si>
    <t>Contrato de transacción</t>
  </si>
  <si>
    <t>El jefe de la OJ o la persona que este designe</t>
  </si>
  <si>
    <t xml:space="preserve"> Dos (2) veces al mes, siempre y cuando exista sentencia judicial ejecutoriada en el periodo (en firme , no es susceptible de mofificaciones en su parte resolutiva), en reunión  se verificará, si estas generan obligación de pago de dinero. Seguidamente, requerirá al apoderado encargado para que realice la solicitud de pago ante la secretaria general de la UMV dentro del término legal (si hay lugar a ello). En seguimiento a la solicitud realizada,  en caso de encontrar incumplimiento en el pago, se requerirá al abogado  para que realice los tramites mencionados para el pago. Como evidencia se tiene la resolucion de pago con sus soportes.
Como evidencia se tiene el acta de reunión en la que se da cuenta sobre la revisión de las sentencias judiciales emitidas en el periodo.</t>
  </si>
  <si>
    <t>Implementación del procedimiento de trabajo no conforme GLAB-PR-002</t>
  </si>
  <si>
    <t>Registros del trabajo no conforme</t>
  </si>
  <si>
    <t>Proceso de gestion del laboratorio</t>
  </si>
  <si>
    <t>Registros del trabajo no conforme (Informes de ensayos corregidos)</t>
  </si>
  <si>
    <t>Socialización sobre la imparcialidad en el desarrollo de las diferentes actividades del laboratorio</t>
  </si>
  <si>
    <t>Lider de acreditación</t>
  </si>
  <si>
    <t>Acta de socialización</t>
  </si>
  <si>
    <t>Dar apertura a las investigaciones para determinar el nivel de responsabilidad del personal involucrado frente a la materialización del riesgo</t>
  </si>
  <si>
    <t>Registros de la investigación</t>
  </si>
  <si>
    <t>Oficina de Control Disciplinario Interno
o
proceso de gestion contractual</t>
  </si>
  <si>
    <t>la revisión o control de los servidores públicos que participan en el proceso de despacho y asignación de materias primas o producto terminado en favor de un privado o tercero,</t>
  </si>
  <si>
    <t>debido a deficiencias en el control  de la entrega de materias primas o producto terminado asociado a las ordenes de produccion y /o despachos gestionadas para nuestro clientes internos y externos.</t>
  </si>
  <si>
    <t>Programacion de ordenes de produccion</t>
  </si>
  <si>
    <t>Fallas en la trazabilidad de los pedidos</t>
  </si>
  <si>
    <t>colaboración interna
Presiones o motivaciones individuales, sociales o colectivas, que  inciten a realizar conductas contrarias al deber ser.
Presiones o exigencias irregulares por parte de terceros</t>
  </si>
  <si>
    <t>Disminución de la capacidad operativa</t>
  </si>
  <si>
    <t>El profesional lider de produccion</t>
  </si>
  <si>
    <r>
      <t>la exactitud en PRO-DI-001 donde se registran las ordenes de producción y los documentos soporte de materias primas por pedido a corte mensual. Registrando la trazabilidad en</t>
    </r>
    <r>
      <rPr>
        <b/>
        <sz val="12"/>
        <rFont val="Arial"/>
        <family val="2"/>
      </rPr>
      <t xml:space="preserve"> el acta de la mesa de</t>
    </r>
    <r>
      <rPr>
        <sz val="12"/>
        <rFont val="Arial"/>
        <family val="2"/>
      </rPr>
      <t xml:space="preserve"> trabajo con el Gerente de producción.
De encontrar diferencias el Gerente de producción solicita las verificaciones correspondientes respecto a los tiquetes de báscula de entrada y salida en inventario físico y la base de datos para identificar el faltante y escalar al área correspondiente para iniciar la investigación</t>
    </r>
  </si>
  <si>
    <t>Alimentar adecuadamente el archivo de despachos de la sede de produccion</t>
  </si>
  <si>
    <t>Profesional a cargo de la produccion</t>
  </si>
  <si>
    <t>Base de datos de despacho actualizada</t>
  </si>
  <si>
    <t>escalar a Secretaria General para iniciar investigacion</t>
  </si>
  <si>
    <t>memorando de reporte de novedad</t>
  </si>
  <si>
    <t>Gerente de produccion</t>
  </si>
  <si>
    <t>El gerente de produccion</t>
  </si>
  <si>
    <t>mensualmente los avances de ejecución reportados en los informes de supervisión de los contratos de suministro de materias primas de la Gerencia de producción, registrando la trazabilidad en el acta del Comité de seguimiento contractual y presupuestal Proyectos Misionales de la Subdirección de producción
De encontrar diferencias el Gerente de producción solicita las verificaciones correspondientes respecto a los informes de supervisión de los contratos de materias primas y la corroboración de báscula de entrada, para identificar el faltante y escalar al área correspondiente para iniciar la investigación.</t>
  </si>
  <si>
    <t>Gestionar la base de datos de seguimiento de contratos del tablero de control SPAL</t>
  </si>
  <si>
    <t>Profesional consolidacion seguimiento de contratos</t>
  </si>
  <si>
    <t>Base de datos contractual actualizada</t>
  </si>
  <si>
    <t>el seguimiento a la ejecución los procedimientos establecidos para el provisionamiento, mantenimiento, suministro y alquiler de maquinaria, vehículos, equipo menor y plantas industriales, generando un beneficio indebido para sí mismo o para terceros, en detrimento de la transparencia y el interés público</t>
  </si>
  <si>
    <t>Debido a la falta de control en la ejecución de los procedimientos establecidos, específicamente el (Procedimiento de Mantenimiento de Vehículos, Maquinaria, Equipos y Plantas Industriales) y el (Procedimiento de Provisionamiento de Maquinaria y Equipos), lo que permite vulnerabilidades en la gestión y supervisión</t>
  </si>
  <si>
    <t>Control y verificación de la provisión y suministro de insumos, así como la validación de la ficha técnica frente a las necesidades específicas de la entidad, asegurando el cumplimiento de los requisitos establecidos y la transparencia en el proceso</t>
  </si>
  <si>
    <t>Falta de seguimientos a los procedimientos de la maquinaria, vehiculos, equipo menor y plantas industriales de la UAERMV.</t>
  </si>
  <si>
    <t>Omisión en el control y seguimiento sobre los contratistas que realizan los mantenimientos, provisión y suministro.</t>
  </si>
  <si>
    <t>Retrasos en las actividades pactadas o programadas por parte de la GME</t>
  </si>
  <si>
    <t xml:space="preserve">Mensualmente se actualiza y revisa la base de datos (Base de Datos de Control de Costos de Mantenimiento) para confirmar y/o ratificar que los costos sean consistentes con los valores de mercado. Como evidencia, se documentan los resultados en el acta de la reunión de parque automotor, incluyendo las observaciones y acuerdos alcanzados. En caso de detectar una desviación, se realiza verificacion uno a uno de los registros de GPS involucrados registrando las acciones correctivas acordadas </t>
  </si>
  <si>
    <t>Elaborar un informe detallado sobre el parque automotor y las plantas industriales, en el que se identifiquen y evidencien las necesidades operativas específicas de la entidad, con base en el análisis de su estado actual y los requerimientos estratégicos</t>
  </si>
  <si>
    <t>Gerencia de Maquinaria y Equipos</t>
  </si>
  <si>
    <t>Informe detallado</t>
  </si>
  <si>
    <t>Informar a la Subdirección sobre la situación presentada, para que esta, en coordinación con el representante legal de la Unidad, determine y ejecute las acciones legales pertinentes ante la autoridad competente</t>
  </si>
  <si>
    <t>Oficio o Informe de Notificación para iniciar el proceso.
Acta de Reunión para documentar las decisiones internas.</t>
  </si>
  <si>
    <t>Mensualmente, durante la reunión de seguimiento del Parque Automotor, se verifica el control del suministro de combustible y el rastreo satelital de los vehículos. Como evidencia, se documentan los resultados en el acta de la reunión, incluyendo los registros de suministro y rastreo. En caso de detectar una desviación, se presenta el análisis correspondiente en la misma reunión, y se definen acciones correctivas con responsables y plazos específicos</t>
  </si>
  <si>
    <t>Mensualmente, durante la reunión de seguimiento del contrato de arrendamiento y provisión de maquinaria y vehículos, se verifica el cumplimiento de las obligaciones contractuales y la gestión del contratista. Como evidencia, se documentan los resultados en el acta de la reunión, incluyendo las observaciones y acuerdos alcanzados. En caso de detectar una desviación, se registra en el acta y se definen acciones correctivas con plazos y responsables específicos</t>
  </si>
  <si>
    <t>por modificar los resultados de informes de las pruebas experimentales con el fin  dar viabilidad a un proyecto inviable para obtener un beneficio propio o de terceros</t>
  </si>
  <si>
    <t>Deficiencia en que se permitan presiones indebidas por falta de propiedad, gobernanza o intereses particulares por parte de personal interno.</t>
  </si>
  <si>
    <t>Ejecución de la fase experimental de cada proyecto</t>
  </si>
  <si>
    <t>Presencia de gobernanza, gestión de personal, recursos compartidos, o intereses particulare</t>
  </si>
  <si>
    <t xml:space="preserve"> Falta de autonomía al  actúar bajo las normas nacionales y distritales para las entidades públicas.          Requerir convenios y/o alianzas estrategicas para el desarrollo de los proyectos con enttidades publicas o privadas.</t>
  </si>
  <si>
    <t>Perdidas de calidad al momento de la ejecución de los proyectos avalados tecnicamente por la gerencia ( Lo que se traduciria en costos de ejecución, mantenimiento y perdidas en la calidad como su vida util o imprevistos que se pudieran llegar a presentar al momento de su ejecución).</t>
  </si>
  <si>
    <t>El lider de innovación</t>
  </si>
  <si>
    <t>Realizar compromisos de confidencialidad e imparcialidad con el personal que desarrolla estas actividades</t>
  </si>
  <si>
    <t>Compromisos de imparcialidad</t>
  </si>
  <si>
    <t>Secretaria general</t>
  </si>
  <si>
    <t>Lider de proyecto</t>
  </si>
  <si>
    <t>Cada vez que un proyecto finaliza su fase experimental, que los resultados obtenidos en la pruebas realizadas cumplan de acuerdo a lo planteado y aprobado en el acta de constitución del proyecto, dejando como evidencia en el formato DMIC-FM-002_V1 INFORME DE PROYECTO DE INVESTIGACIÓN las pruebas realizadas, de no ser asi, se dara por finalizado el proyecto planteado inicialmente.</t>
  </si>
  <si>
    <t xml:space="preserve">por modificar o alterar de manera indebida la información registrada en ORFEO o SIPROJ WEB, y/o omitir intencionalmente algún trámite o entorpecer el flujo normal de los procesos judiciales y extrajudiciales, por parte de los apoderados, dependientes, servidores y/o contratistas a cargo, para favorecer a un tercero y obtener un beneficio propio </t>
  </si>
  <si>
    <t xml:space="preserve">debido a la ausencia de control de las actuaciones y piezas procesales </t>
  </si>
  <si>
    <t xml:space="preserve"> Incorporación de actuaciones
procesales y administrativas en el aplicativo SIPROJ</t>
  </si>
  <si>
    <t xml:space="preserve">Deficiencias en el seguimiento a los términos y piezas procesales </t>
  </si>
  <si>
    <t>Intereses de terceros en la obtención de información sobre la estrategia de defensa, pruebas, etc.</t>
  </si>
  <si>
    <t>Sanciones penales y disciplinarias</t>
  </si>
  <si>
    <t>dos (2) veces al mes, mediante reunión, que los apoderados hayan creado y/o alimentado los expedientes judiciales o extrajudiciales que tenga a su cargo en ORFEO y SIPROJ WEB, con las piezas procesales que correspondan. En caso de encontrar incumplimiento en la creación o alimentación de expedientes, se requerirá al abogado  para que adelante las acciones a que haya lugar.  Como evidencia se tiene el acta de reunión en la que se da cuenta sobre la revisión adelantada.</t>
  </si>
  <si>
    <t>Realizar seguimiento contínuo a los procesos judiciales a cargo de la OJ</t>
  </si>
  <si>
    <t>Jefe de oficina jurídica o quien este designe</t>
  </si>
  <si>
    <t xml:space="preserve">Matriz unificada de procesos judiciales </t>
  </si>
  <si>
    <t>Solicitar el inicio de las investigaciones disciplinarias y/o penales a que haya lugar</t>
  </si>
  <si>
    <t xml:space="preserve">Oficio o memorando remisorio </t>
  </si>
  <si>
    <t>Jefe de oficina jurídica</t>
  </si>
  <si>
    <t>una (1) vez cada cuatrimestre que los apoderados de la entidad tengan actualizado el Sistema de Información de Procesos Judiciales - SIPROJ WEB, respecto de la inclusión de piezas procesales, a través de una verificaión directamente en la plataforma. En caso de encontrar incumplimiento en el estado de actualización del SIPROJ WEB, se requerirá al abogado para que adelante las actuaciones a que haya lugar. Como evidencia se tiene un reporte de control y seguimiento en el que se dará cuenta del estado de los procesos  y la actualización por parte de los apoderados</t>
  </si>
  <si>
    <t xml:space="preserve">Remitir comunicado escrito a todos los poderados de la UAERMV para que realicen el cargue de la documentación en SIPROJ WEB de manera oportuna </t>
  </si>
  <si>
    <t>Memorando remitido</t>
  </si>
  <si>
    <t>para liquidar y aprobar una solicitud de pago, sin el cumplimiento total de los requisitos en beneficio propio o de un tercero</t>
  </si>
  <si>
    <t>Verificación de los requisitos de forma manual y a discreción de la persona que revisa y liquida la orden de pago de las cuentas de cobro que podría ocasionar la omisión en la verificación de los requisitos para el pago</t>
  </si>
  <si>
    <t xml:space="preserve">Recibir y revisar las cuentas con sus soportes, elaborar órdenes de pago y efectuar la ordenación del pago a proveedores, Empresas de Servicios Públicos, Administradoras de Riesgos Laborales, empleados públicos y trabajadores oficiales. </t>
  </si>
  <si>
    <t>Verificación de los requisitos de forma manual y a discreción de la persona que revisa y liquida la orden de pago de las cuentas de cobro</t>
  </si>
  <si>
    <t>Permisibilidad al ofrecimiento de sobornos para aprobar trámites sin la totalidad de los requisitos</t>
  </si>
  <si>
    <t>Afectación reputacional y generación de desconfianza de sus operaciones, como aplicación de sanciones por los entes de control</t>
  </si>
  <si>
    <t>La Auxiliar Administrativa, Técnico Operativo o Colaborador Designado</t>
  </si>
  <si>
    <t xml:space="preserve">que para cada solicitud de pago recibida a través del sistema de correspondencia Orfeo, se presente la documentación requerida para el proceso de pago definida en la Circular Interna Calendario de pagos expedida en la vigencia, para efectuar la liquidación y generación de la Orden de pago, para su posterior cargue en Orfeo y remisión a Contabilidad para su causación. En caso que la solicitud no cumpla con los requisitos, se realiza la devolución a persona que radicó la solicitud con la respectiva observación en el aplicativo Orfeo, a fin de realizar las modificaciones o ajustes a que haya lugar, y se atenderá la solicitud corregida o ajustada en su nuevo orden de llegada. La evidencia de la recepción y liquidación o su traslado para liquidación, en caso de persona jurídica o de la devolución de la solicitud de pago, por requisitos faltantes, se encuentra en el sistema Orfeo en el historial de radicación de la solicitud de pago. </t>
  </si>
  <si>
    <t>Proyectar una circular a todos los servidores de la UAERMV donde se informe la documentación requerida para la radicación de las solicitudes de pago, estableciendo  las fechas de radicación y las fechas posible de pago de las cuentas.</t>
  </si>
  <si>
    <t>Circular</t>
  </si>
  <si>
    <t>Realizar el reporte correspondiente para dar inicio a las investigaciones a que hubiera lugar</t>
  </si>
  <si>
    <t>Reporte del caso a Control Interno Disciplinario para tomar las medidas pertinentes</t>
  </si>
  <si>
    <t>El Técnico Operativo o Colaborador Designado</t>
  </si>
  <si>
    <t xml:space="preserve">cada vez que Contabilidad recibe una orden de pago para su causación, la completitud de los requisitos de la solicitud de pago, y en caso, de corresponder con los requisitos y descuentos se efectúa su registro contable en el sistema financiero. En caso de encontrar inconsistencias en la orden de pago generada, se deshabilita en el sistema y se devuelve al liquidador para efectuar los ajustes requeridos para continuar con su contabilización. La evidencia de la causación se observa en el registro de la contabilización en el sistema de información financiero y en el listado Consolidado Ordenes de pago en las columnas ID LIMAY CAUSACION y USUARIO CONTABILIZO. </t>
  </si>
  <si>
    <t xml:space="preserve">Efectuar la revisión conjunta por el grupo financiero de la primera cuenta de persona jurídica por contrato, identificando la imputación tributaria y deducciones  definiendo el modelo de atención de las siguientes solicitudes de pago </t>
  </si>
  <si>
    <t>Revisión Tributaria Primera Cuenta Personas Juridicas</t>
  </si>
  <si>
    <t>Cada vez que se registre la primera cuenta de un contrato de persona jurídica</t>
  </si>
  <si>
    <t xml:space="preserve">por perdida, hurto o daño de elementos devolutivos y de consumo necesarios para la gestión ambiental, social y de sst  </t>
  </si>
  <si>
    <t>debido a la falta de cuidado, rigurosidad en la vigilancia y debilidades en los controles internos</t>
  </si>
  <si>
    <t>gestión ambiental, social y de sst</t>
  </si>
  <si>
    <t>Falta de controles internos, supervision y vigilancia</t>
  </si>
  <si>
    <t xml:space="preserve">Delincuencia común, orden público </t>
  </si>
  <si>
    <t>Posibles sanciones economicas.</t>
  </si>
  <si>
    <r>
      <t xml:space="preserve">Cuatrimestralmente la apropiación de las sensibilizaciones en las tematicas (de cuidado de lo publico, cuidado de bienes y responsabilidades en el uso adecuado y peridda de los bienes publicos) con una evaluación de tres (3) jornadas de sensibilización; lo anterior se realizará mediante un documento  de evaluación y </t>
    </r>
    <r>
      <rPr>
        <b/>
        <sz val="12"/>
        <rFont val="Arial"/>
        <family val="2"/>
      </rPr>
      <t xml:space="preserve">la evidencia será el analisis, como producto de los resultados de las evaluaciones aplicadas. </t>
    </r>
    <r>
      <rPr>
        <sz val="12"/>
        <rFont val="Arial"/>
        <family val="2"/>
      </rPr>
      <t xml:space="preserve">
En caso de que los resultados de la evaluación no superen el 80% se brindará apoyo personalizado. </t>
    </r>
  </si>
  <si>
    <t xml:space="preserve">Elaborar una pieza informativa  sobre de cuidado de lo publico, cuidado de bienes y responsabilidades en el uso adecuado y perdida de los bienes publicos y socializar en reuniones trimestrales con los residentes SST </t>
  </si>
  <si>
    <t xml:space="preserve">Oficina de Servicio a la Ciudadania y Sostenibilidad </t>
  </si>
  <si>
    <t>Acta de reunión  de Socialización</t>
  </si>
  <si>
    <t>Abril 2025
Agosto 2025  
Diciembre 2025</t>
  </si>
  <si>
    <t>Plan de mejoramiento</t>
  </si>
  <si>
    <r>
      <t xml:space="preserve">Cuatrimestralmente la correcta asignación para su cuidado y preservación de elementos devolutivos y de consumo necesarios para la gestión ambiental, social y de sst, a los residentes a cargo del frente de obra donde se encuentran dichos elementos, a traves de mesa de seguimiento y/o correo electronico.
Lo anterior </t>
    </r>
    <r>
      <rPr>
        <b/>
        <sz val="12"/>
        <rFont val="Arial"/>
        <family val="2"/>
      </rPr>
      <t xml:space="preserve">se evidenciará por medio de acta de asignación o correo electronico </t>
    </r>
    <r>
      <rPr>
        <sz val="12"/>
        <rFont val="Arial"/>
        <family val="2"/>
      </rPr>
      <t>de parte de los coordinadores a los residentes de la OSCS. 
En el caso que se identifiquen perdidas, se procede a informar al supervisor del contrato para tomar las medidas correctivas necesarias</t>
    </r>
  </si>
  <si>
    <t>al certificar pagos sin cumplir los requistos exigidos para el pago establecidos en el contrato, en el desarrollo de la supervisión de los contratos de adquisición de bienes y servicios, en provecho personal o de un tercero.</t>
  </si>
  <si>
    <t>Supervisión de contratos para la Ejecución de proyectos de TI</t>
  </si>
  <si>
    <t>Informar a la oficina de control interno de la situación presentada, para que esta, en coordinación con el representante legal de la Unidad, determine y ejecute las acciones legales pertinentes ante la autoridad competente</t>
  </si>
  <si>
    <t>Memorando</t>
  </si>
  <si>
    <t>Jefe de la OTI</t>
  </si>
  <si>
    <t>Por hallazgos o sanciones interpuestas por los entes de control a la Entidad.</t>
  </si>
  <si>
    <t>Debido a la no aplicación de los procesos de debida diligencia.</t>
  </si>
  <si>
    <t>Controlar y conciliar los movimientos de la Cuenta Única Distrital - CUD, movimientos bancarios (de cuentas bancarias autorizadas por las entidades responsables para administración de recursos por la UAERMV) y elaborar los informes correspondientes.</t>
  </si>
  <si>
    <t>Cambio en el procedimiento de registro y control de los ingresos de la UMV, por  la implementación de la Cuenta Única Distrital -CUD  SDH, pasando a efectuar su consignación, fiscalización y  legalización a partir de los lineamientos definidos por la SDH, agregando una nueva validación para la identificación de los proveedores o contratistas generadores de dicho recurso.</t>
  </si>
  <si>
    <t>Dificultad para identificar organizaciones o grupos presuntamente relacionados con el lavado de activos o financiamiento del terrorismo.</t>
  </si>
  <si>
    <t>Afectación económica de la entidad por el posible ingreso de recursos provenientes de LA/FT, con apariencia de legalidad generando daño a la imagen institucional</t>
  </si>
  <si>
    <t>El Colaborador designado por Tesorería</t>
  </si>
  <si>
    <t>diariamente los movimientos reflejados en las reportes de la Cuenta Única Distrital -CUD, identificando los ingresos y elaborando las actas de legalización registrando su respectiva justificación. En caso que no establezca la procedencia de los ingresos se debe elaborar una partida conciliatoria, con el propósito de definir la procedencia del ingreso.</t>
  </si>
  <si>
    <t xml:space="preserve">Realizar mensualmente la conciliación y su reporte a los entes de control en las revelaciones a los estados financieros </t>
  </si>
  <si>
    <t>Tesorero y Contador</t>
  </si>
  <si>
    <t>Conciliación CUD y revelaciones a los estados financieros</t>
  </si>
  <si>
    <t>Trimestralmente</t>
  </si>
  <si>
    <t>Reportar el caso al Oficial de Cumplimiento</t>
  </si>
  <si>
    <t>Reporte del caso</t>
  </si>
  <si>
    <t xml:space="preserve"> MAPA DE RIESGOS INSTITUCIONAL</t>
  </si>
  <si>
    <t xml:space="preserve">Vigencia </t>
  </si>
  <si>
    <t>Semestralmente el/la Jefe de la OJ y/o el profesional designado, socializa mediante correo electrónico a los abogados del área, el normograma actualizado, como insumo de consulta para emitir conceptos.</t>
  </si>
  <si>
    <t>Correo electrónico con normograma actualizado</t>
  </si>
  <si>
    <t>Incumplimiento en el desarrollo de proyectos de innovación.</t>
  </si>
  <si>
    <t>Lider del proyecto</t>
  </si>
  <si>
    <t>La no ejecución del proyecto que haya sido aprobado pero que sea inviable</t>
  </si>
  <si>
    <t xml:space="preserve">
Debido hurto o sustracción de elementos por parte de servidores y/o contratistas</t>
  </si>
  <si>
    <t xml:space="preserve">
Garantizar la seguridad de los bienes para evitar hurto y/o perdida.</t>
  </si>
  <si>
    <t>Pólizas de seguros adquiridas de diferentes tipos, que garantizan y salvaguardan los bienes muebles e inmuebles de la entidad, asi como a los servidores públicos</t>
  </si>
  <si>
    <t xml:space="preserve">Desinteres en la presentación de ofertas por parte de las aseguradoras debido al riesgo de la entidad en cada uno de los ramos a adquirir en el programa de seguros. </t>
  </si>
  <si>
    <t xml:space="preserve">Sanciones disciplinarias, fiscales y/o penales. Detrimento patrimonial.
Ausencia de bienes requeridos para el  funcionamiento de la Entidad.
</t>
  </si>
  <si>
    <t xml:space="preserve">El Servidor Público o contratista designado </t>
  </si>
  <si>
    <t xml:space="preserve">
a través de la toma física aleatoria o integral trimestral de bienes las existencias reportadas en el sistema y las que se encuentran fisicamente en las bodegas.
En caso de que existan diferencias se dejará un informe donde se detallan los sobrantes o faltantes, para continuar el trámite administrativo.</t>
  </si>
  <si>
    <t>mensualmente el acompañamiento del personal de vigilancia en el cierre y apertura de recintos, a través
de las bitácoras de novedades. 
En el caso en el que no se evidencia el acompañamiento se informará al supervisor de vigilancia para que realice las acciones pertinentes.</t>
  </si>
  <si>
    <t xml:space="preserve">
Realizar una capacitación semestral reforzando el código disciplinario a los servidores públicos y contratistas que apoyan el proceso de inventarios, asi como sobre el uso indebido, hurto y perdida de bienes.</t>
  </si>
  <si>
    <t xml:space="preserve">
Servidor o contratista designado</t>
  </si>
  <si>
    <t xml:space="preserve">
Acta de reunión</t>
  </si>
  <si>
    <t xml:space="preserve">
Semestral</t>
  </si>
  <si>
    <t xml:space="preserve">
Reportar al asesor de seguros la novedad presentada para afectar la póliza incluyendo los documentos soporte requeridos para el trámite. </t>
  </si>
  <si>
    <t xml:space="preserve">
Correo eléctronico</t>
  </si>
  <si>
    <t>Servidor Público o contratista designado - Proceso GREF</t>
  </si>
  <si>
    <r>
      <rPr>
        <b/>
        <sz val="12"/>
        <color theme="1"/>
        <rFont val="Arial"/>
        <family val="2"/>
      </rPr>
      <t>Por</t>
    </r>
    <r>
      <rPr>
        <sz val="12"/>
        <color theme="1"/>
        <rFont val="Arial"/>
        <family val="2"/>
      </rPr>
      <t xml:space="preserve"> pérdida, extravío o hurto de bienes muebles de la entidad </t>
    </r>
  </si>
  <si>
    <r>
      <rPr>
        <b/>
        <sz val="12"/>
        <color theme="1"/>
        <rFont val="Arial"/>
        <family val="2"/>
      </rPr>
      <t>a causa de</t>
    </r>
    <r>
      <rPr>
        <sz val="12"/>
        <color theme="1"/>
        <rFont val="Arial"/>
        <family val="2"/>
      </rPr>
      <t xml:space="preserve"> la omisión en la aplicación del procedimiento para el ingreso, custodia y salida de bienes e inventario del almacén y el reporte de informac ión a quien gestiona las pólizas cuando haya
lugar</t>
    </r>
  </si>
  <si>
    <t>Garantizar la seguridad de los bienes para evitar hurto y/o perdida.</t>
  </si>
  <si>
    <t>Afectación a las pólizas de seguros adquiridas que garantizan y salvaguardan los bienes muebles e inmuebles de la entidad.</t>
  </si>
  <si>
    <t xml:space="preserve">Sobrecostos en las ofertas por parte de las aseguradoras debido al riesgo de la entidad para el programa de seguros de bienes. </t>
  </si>
  <si>
    <t xml:space="preserve">Ausencia de bienes requeridos para el  funcionamiento de la Entidad.
</t>
  </si>
  <si>
    <t>Realizar una capacitación reforzando los procedimientos de ingreso y salida de elementos dirigida a los servidores públicos y contratistas que apoyan el proceso de inventarios.</t>
  </si>
  <si>
    <t>Anual</t>
  </si>
  <si>
    <t xml:space="preserve">
por deterioro en la infraestructura fisica de la entidad</t>
  </si>
  <si>
    <t xml:space="preserve">debido a la falta de seguimiento a los mantenimientos y adecuaciones en la sede propia de la entidad  </t>
  </si>
  <si>
    <t xml:space="preserve">
Identificación de mejoramiento y adecuación de la infraestructura de las sedes propias de la entidad.</t>
  </si>
  <si>
    <t>Daños a activos fijos/ eventos externos </t>
  </si>
  <si>
    <t xml:space="preserve">
Plan de Gestión del Riesgo actualizado para la sede propia de la Entidad</t>
  </si>
  <si>
    <t>Eventos de origen natural (sismo, lluvias torrenciales).</t>
  </si>
  <si>
    <t xml:space="preserve">
Deterioro patrimonial 
Investigaciones disciplinarias
Sanciones</t>
  </si>
  <si>
    <t xml:space="preserve">
El Servidor Público o contratista designado </t>
  </si>
  <si>
    <t xml:space="preserve">
Realizar una sensibilización sobre el manejo y uso adecuado de las instalaciones</t>
  </si>
  <si>
    <t xml:space="preserve">
Servidor Público o contratista designado - Proceso GREF</t>
  </si>
  <si>
    <t>Acta de reunión o correo eléctronico institucional</t>
  </si>
  <si>
    <t>Corregir los errores identificados en el registro de la información del aplicativo contable</t>
  </si>
  <si>
    <t xml:space="preserve">
Realizar los movimientos de egresos o puestas en servicio por la entrega de bienes.</t>
  </si>
  <si>
    <t>Usuarios, productos y prácticas </t>
  </si>
  <si>
    <t xml:space="preserve">
Adopción de resoluciones, normas contables, solicitudes de actualizacion al sistema y requerimiento de reportes</t>
  </si>
  <si>
    <t xml:space="preserve">
Manipulación de terceros en la información registrada </t>
  </si>
  <si>
    <t xml:space="preserve">
Inadecuados registros contables en el sistema de información</t>
  </si>
  <si>
    <t xml:space="preserve">
Crear un instructivo de entrenamiento en el puesto de trabajo en donde se indiquen las pautas para el registro de movimientos de almacén</t>
  </si>
  <si>
    <t xml:space="preserve">
Instructivo</t>
  </si>
  <si>
    <t xml:space="preserve">
por el vencimiento de elementos perecederos</t>
  </si>
  <si>
    <t xml:space="preserve">
debido a que los elementos no son consumidos o utilizados antes de su caducidad.</t>
  </si>
  <si>
    <t xml:space="preserve">
Clasificar los bienes de acuerdo con sus características, reconociéndolos como: inventario, propiedad, planta y equipo, activos y/o consumo.</t>
  </si>
  <si>
    <t xml:space="preserve">
Definición de las especificaciones técnicas de los elementos adquiridos por la entidad, incluyendo condiciones de entrega, calidad y vigencia de los mismos</t>
  </si>
  <si>
    <t xml:space="preserve">Eventos de origen natural que impidan la verificación de la vigencia de los elementos </t>
  </si>
  <si>
    <t xml:space="preserve">
Detrimento patrimonial</t>
  </si>
  <si>
    <t xml:space="preserve">
El Servidor Público o contratista designado</t>
  </si>
  <si>
    <t xml:space="preserve">de manera mensual, el formato GREF-FM-005 y lo envia por correo eléctronico a las áreas generadoras de la necesidad.
En caso de evidenciar productos vencidos, informará al equipo GREF el caso para continuar el trámite administrativo.
</t>
  </si>
  <si>
    <t xml:space="preserve">
Realizar una sensibilización preventiva para evitar el vencimiento de los elementos ubicados en bodega</t>
  </si>
  <si>
    <t>Acta de reunión</t>
  </si>
  <si>
    <t xml:space="preserve">
Reportar al asesor de seguros la novedad presentada para afectar la póliza.</t>
  </si>
  <si>
    <t>Reporte por correo electrónico</t>
  </si>
  <si>
    <t>por hurto o sustracción de elementos</t>
  </si>
  <si>
    <t xml:space="preserve">
debido a falta de control en el ingreso y salida de bienes de la entidad sin la verificacion y acompañamiento del personal de seguridad de la entidad.</t>
  </si>
  <si>
    <t xml:space="preserve">
Fortalecimiento de controles en el ultimo año frente a la supervisión en en el contrato de vigilancia mediante registros administrativos, bitacoras e informes de actividades</t>
  </si>
  <si>
    <t xml:space="preserve">Afectación en las pólizas contratadas por la entidad.
Investigaciones Disciplinarias.
Detrimento patrimonial.
</t>
  </si>
  <si>
    <t xml:space="preserve">
El supervisor y/o apoyo a la supervisión del contrato de vigilancia y seguridad privada</t>
  </si>
  <si>
    <t xml:space="preserve">
Socializar el protocolo de vigilancia de la empresa contratista</t>
  </si>
  <si>
    <t xml:space="preserve">Acta de reunión   </t>
  </si>
  <si>
    <t xml:space="preserve">
Anual</t>
  </si>
  <si>
    <t xml:space="preserve">Por Sanción de un ente regulador al incumplir con la legislacion ambiental vigente aplicable a la entidad </t>
  </si>
  <si>
    <t>Debido a: Desconocimiento en los lineamientos por parte de los colaboradores del equipo ambiental y Deficiencia en el seguimiento y control de los criterios ambientales en los diferentes procesos
Inadecuada implementación de las medidas de control y seguimiento ambiental en las sedes de la Entidad</t>
  </si>
  <si>
    <t>•Revisar la normatividad ambiental vigente
• Revisar que se mantenga actualizada Matriz de Cumplimiento Legal (Normograma).</t>
  </si>
  <si>
    <t xml:space="preserve">*Una visión  arraigada frente al que hacer en las diferentes áreas de la entidad, que dificulte el cambio en la cultura ambiental. 
*Demora en la entrega de información de  algunos procesos para realizar el seguimiento y control ambiental. </t>
  </si>
  <si>
    <t xml:space="preserve">Sanciones económicas o perdida de legitimidad institucional. </t>
  </si>
  <si>
    <t>El jefe de Oficina de Servicio a la Ciudadanía y Sostenibilidad designa a los coordinadores (as) GAM para</t>
  </si>
  <si>
    <t>bimestralmente que se cumplan las sensibilizaciones sobre los lineamientos ambientales establecidos en el cronograma a y el nivel de apropiación de la sensibilización. 
Como evidencia queda el análisis de los resultados de las encuestas realizadas en las sensibilizaciones, en caso que los resultados de la encuesta no superen el 70% se repite la sensibilización.</t>
  </si>
  <si>
    <t>Realizar dos autoevaluaciones al cumplimiento del PIGA y de la legislación ambiental en la UAERMV de conformidad a las visitas anuales realizadas por la SDA</t>
  </si>
  <si>
    <t>Oficina de Servicio a la Ciudadanía y Sostenibilidad
Coordinadores ambientales</t>
  </si>
  <si>
    <t xml:space="preserve">Herramienta de verificación diligenciada </t>
  </si>
  <si>
    <t>Febrero y Agosto de 2025</t>
  </si>
  <si>
    <t xml:space="preserve">Elaborar plan de acción con las situaciones encontradas </t>
  </si>
  <si>
    <t xml:space="preserve">Plan de acción ejecutado </t>
  </si>
  <si>
    <t xml:space="preserve"> jefe de Oficina de Servicio a la Ciudadanía y Sostenibilidad</t>
  </si>
  <si>
    <t>Los coordinadores (as) GAM y el  jefe de Oficina de Servicio a la Ciudadanía y Sostenibilidad</t>
  </si>
  <si>
    <t>bimestral los puntos de control y evidencias de aplicación de requisitos legales  establecidos en el normograma del proceso, de tal manera que se estén llevando a cabo y que la información sea verás en la mesa de apoyo del CIDG para el componente ambiental.  Como evidencia queda el acta de reunión de la revisión efectuada. 
En caso que se identifiquen anomalías en el cumplimiento del normograma, se informa en esta mesa de apoyo del CIGD para el componente ambiental, en donde se toman las acciones pertinentes  a mas tardar 10 días después de realizada la reunión.</t>
  </si>
  <si>
    <t>Llevar a acabo la Mesa de seguimento al desempeño ambiental</t>
  </si>
  <si>
    <t>Acta de reunión Mesa de seguimento al desempeño ambiental</t>
  </si>
  <si>
    <t>trimestral</t>
  </si>
  <si>
    <t>Los profesionales designados por el jefe de la OSCS (Para implementar  PIGA)</t>
  </si>
  <si>
    <t>la correcta implementación de los controles operacionales, a traves de por lo menos (2) dos visitas de seguimiento al mes a cada una de las sedes de la entidad. Lo anterior se evidenciará por medio de informe mensual del Coordinador GAM dirigido al jefe OSCS con el resultado de las visitas realizadas. 
En caso que se identifiquen anomalías se procede a informar al supervisor del contrato para tomar las medidas correctivas necesarias.</t>
  </si>
  <si>
    <t>Por la ocurrencia de accidentes ambientales producto de actividades misionales que afecten el suelo, aire y el agua</t>
  </si>
  <si>
    <t xml:space="preserve">Debido a :
Debilidades en la información preventiva para evitar la presentación de accidentes ambientales. 
Exceso de confianza en la manipulacion de elementos y maquinaria durante la operacion de las actividades misionales  </t>
  </si>
  <si>
    <t>•Formular los controles necesarios para la prevención y/o mitigación de los impactos ambientales identificados en las actividades a ejecutar.  
•Identificar los aspectos y valorar los impactos ambientales asociados a la misionalidad de la entidad</t>
  </si>
  <si>
    <t xml:space="preserve">*Falta de apropiación por parte de los colaborares de la Entidad frente a los lineamientos establecidos por el proceso de Gestion ambiental-GAM, para la protección de los recursos naturales </t>
  </si>
  <si>
    <t>Eventos naturales o antrópicos
 (Por ej Terremoto, derrame inundación, explosión inducida)</t>
  </si>
  <si>
    <t>Afectacion en la salud pública por presentación de accidentes ambientales</t>
  </si>
  <si>
    <t xml:space="preserve">El Jefe de Oficina de Servicio a la Ciudadanía y Sostenibilidad  designa a los coordinadores (as) GAM  </t>
  </si>
  <si>
    <t>bimestralmente la efectividad de las sensibilizaciones impartidas sobre los lineamientos de prevención y atencion de derrames de sustancias peligrosas en sedes, la evidencia será el análisis de resultados de las evaluaciones que se realizan en las sensibilizaciones.
En caso que los resultados de la evaluación, no supere el 70% de las respuestas correctas, se repite la sensibilización.</t>
  </si>
  <si>
    <t>Divulgar piezas comunicativas que sensibilicen a los colaboradores sobre el manejo y manipulacion de sustancias peligrosas</t>
  </si>
  <si>
    <t>12 Piezas publicadas</t>
  </si>
  <si>
    <t>enero a diciembre de 2025</t>
  </si>
  <si>
    <t>Los profesionales ambientales designados por el jefe OSCS</t>
  </si>
  <si>
    <t>las actividades de manejo de sustancias peligrosas en las sedes operativa y de producción, con el fin de evaluar prácticas y establecer si es el caso, oportunidades de mejora, a través de inspección trimestral. La evidencia son los formatos diligenciados GAM-FM-012 de las prácticas para  la prevención de accidentes ambientales.
En el caso que se evidencie prácticas inadecuadas que pueden generar un accidentes, se detine la actividad, se debe volver a socializar los lineamientos establecidos y nuevamente se aplica la herramienta.</t>
  </si>
  <si>
    <t>debido a la recepción de dadivas para beneficio personal de un funcionario público o un tercero para obtener un beneficio privado</t>
  </si>
  <si>
    <t>Adelantar las etapas precontractual y contractual de los
procesos para suplir las
necesidades de bienes, servicios y
obra pública previstos en el plan
anual de adquisiciones de la
entidad.</t>
  </si>
  <si>
    <t>No aplicación de los principios y valores de integridad en el desarrollo de las actividades del proceso contractual.</t>
  </si>
  <si>
    <t>Cambios normativos que afecten los controles en el desarrollo de los procesos contractuales.</t>
  </si>
  <si>
    <t>Sanciones o investigaciones disciplinarias, fiscales o penales.</t>
  </si>
  <si>
    <t xml:space="preserve">Los profesionales (servidores públicos o contratistas) designados por el ordenador del gasto para la evaluación de las propuestas de acuerdo a lo establecido en el cronograma del proceso contractual </t>
  </si>
  <si>
    <t>los requisitos legales durante el proceso de selección de contratistas, 
Cada vez que tenga que adelantar un proceso de selección se establece un término para que los participantes y terceros interesados presente observaciones a la evaluación de ofertas. 
Las respuestas a las observaciones son proyectadas por el comite evaluador y revisadas por el profesional de la Gerencia de Contratación antes de su publicación en SECOP</t>
  </si>
  <si>
    <t>Responder cada una de las observaciones presentadas (si se presentan) dentro del proceso de selección al informe de evaluacion de ofertas.</t>
  </si>
  <si>
    <t>Servidor publico o contratista designado</t>
  </si>
  <si>
    <t>Documento publicado en Secop siempre y cuando se hayan presentado observaciones al informe de evaluación</t>
  </si>
  <si>
    <t>Informar cuando se presenten las situaciones y evidencias identicadas durente la evaluacion de ofertas que presuntamente se generaron por recivbir dadivas o sobornos a la Oficina de Control Disciplinario Interno, para que se dealantes las investigaciones  correspondientes.</t>
  </si>
  <si>
    <t>Comunicación oficial</t>
  </si>
  <si>
    <t>Secretaria General</t>
  </si>
  <si>
    <t>uno o más requisitos legales durante el proceso de selección de contratistas con el fin de favorecer a un proponente especifico  para obtener un  beneficio personal</t>
  </si>
  <si>
    <t>Por contratar o ceder a proveedores sancionados por el Consejo de Seguridad de las Naciones Unidas o que estén incluidos en otras listas restrictivas.</t>
  </si>
  <si>
    <t>Debido a la no aplicación de los procesos de debida diligencia</t>
  </si>
  <si>
    <t>Adelantar las etapas precontractual y contractual de los
procesos para suplir las
necesidades de bienes, servicios y obra pública previstos en el plan anual de adquisiciones de la entidad.</t>
  </si>
  <si>
    <t>Falta de herramientas para realizar la debida diligencia en la verificación de requisitos establecidos para la contratación, que permita prevenir el ingreso de recursos relacionados con el LA/FT</t>
  </si>
  <si>
    <t xml:space="preserve">En el mercado pueden existir proveedores que en sus activos tengan recursos y/o bienes provenientes relacionadas con LA o FT de actividades ilicitas </t>
  </si>
  <si>
    <t>Afectación económica de la entidad por el ingreso de recursos provenientes de LA/FT, con apariencia de legalidad generando daño a la imagen institucional</t>
  </si>
  <si>
    <t>El profesional designado por la Gerencia de Contratación</t>
  </si>
  <si>
    <t>cada vez que se reciben propuestas que la carta de presentación de oferta cumpla con los requisitos relacionados en esta, evidenciando que los bienes y recursos destinados para suplir la necesidad de la entidad, son de origen licito; así como, la composición accionaria de la persona jurídica o de los integrantes del proponente plural.
Evidencia: Informe de evaluación de requisitos juridicos.
En caso de no aportar la carta de presentación de la oferta o ésta no este completamente diligenciada se solicita al proponente la aclare o diligencie en su totalidad.</t>
  </si>
  <si>
    <t>Socializar con los equipos de GCON, estructuradores y enlaces de las dependencias, sobre la verificación de requisitos necesarios para identificar posibles contagios con recursos provenientes de LA y FT</t>
  </si>
  <si>
    <t>Gerencia de Contratación</t>
  </si>
  <si>
    <t>Presentación, lista de asistencia y grabación</t>
  </si>
  <si>
    <t>Informar al Oficial de cumplimiento del Sistema de LAFT, para el respectivo análisis de la situación reportada.</t>
  </si>
  <si>
    <t>Formulario Interno de reporte de operaciones inusuales</t>
  </si>
  <si>
    <t>El profesional asignado por la Gerencia de contratación</t>
  </si>
  <si>
    <t xml:space="preserve">
de manera mensual, el estado de la infraestructura física de las sedes propias de la entidad a través del formato de inspección de sedes.
dejando como soporte informe.
En caso de que se evidencie alguna afectación, se revisa la pertinencia de incluir la mejora, dentro de las actividades de mantenimiento programadas.</t>
  </si>
  <si>
    <t xml:space="preserve">
Informar al equipo de infraestructura, las fallas identificadas para su correspondiente mejora</t>
  </si>
  <si>
    <t>Correo eléctronico institucional</t>
  </si>
  <si>
    <t xml:space="preserve">mensulamente se generar mesas de trabajo  cuyo objetivo apunte a la revisión de las necesidades de mantenimiento de
las sedes con las que cuenta la Entidad. Dejando como soporte acta de reunión.
En caso de identificar necesidades urgentes se genera el compromiso de atender el evencto identificado 
</t>
  </si>
  <si>
    <t>por fallas en el registro de la información</t>
  </si>
  <si>
    <t>debido al desconocimiento  del procedimiento para el  registro de datos requeridos como insumo para la generación de reportes de movimientos de almacen</t>
  </si>
  <si>
    <t xml:space="preserve">trimestralmente realizar la mesa de trabajo con el personal encargado del grupo GREF para retroalimentar la información pertienente a la elaboración de  registros contables, con énfasis
en el manejo adecuado del sistema o aplicativo utilizado.soporte acta de reunión .
en caso de identitifcar que no se cumplio a los acuerdos y compromisos se solicitara  informe a trevez de correo electronico
</t>
  </si>
  <si>
    <t xml:space="preserve">
Mesas de ayuda</t>
  </si>
  <si>
    <t xml:space="preserve">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t>
  </si>
  <si>
    <t xml:space="preserve">
Corregir los errores identificados en el registro de la información del aplicativo contable</t>
  </si>
  <si>
    <t xml:space="preserve">
Resolución de bajas</t>
  </si>
  <si>
    <t xml:space="preserve">
Manifestaciones de orden publico que puedan afectar los bienes de la entidad.</t>
  </si>
  <si>
    <t>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t>
  </si>
  <si>
    <t>por certificar el ingreso o salida modificando el inventario de la entidad para un obtener un beneficio</t>
  </si>
  <si>
    <t>cada trimestre a través de la toma física aleatoria o integral las existencias de los bienes comparando con los registros en el sistema de inventarios. Dejando como soporte los formtos diligenciados toma fisica. 
En caso de que existan diferencias se dejará un informe donde se detallan los sobrantes o faltantes, para continuar el trámite administrativo.</t>
  </si>
  <si>
    <t>por vincular a un servidor público que no cumple con los requisitos de formación y experiencia acordes al Manual Específico de Funciones y de Competencias Laborales</t>
  </si>
  <si>
    <t>debido a presiones indebidas o intereses personales sin la verificación de requisitos de formación y experiencia</t>
  </si>
  <si>
    <t>Adelantar los trámites de ley para el nombramiento de personal por convocatoria pública, provisionalidad o encargos.</t>
  </si>
  <si>
    <t>Inadecuado control en el proceso de verificación de los requisitos de formación academica y experiencia laboral acorde al Manual Específico de Funciones y de Competencias Laborales.</t>
  </si>
  <si>
    <t>Ingreso de servidores Públicos que no cumplen con los requisitos de formación academica y experiencia laboral establecidos en el Manual Específico de Funciones y de Competencias Laborales.</t>
  </si>
  <si>
    <t>Afectación reputacional a la entidad por la vinculación de servidores públicos  que no cumplen con los requisitos de formación académica y experiencia laboral acordes al Manual Específico de Funciones y de Competencias Laborales.</t>
  </si>
  <si>
    <t>El profesional especializado o el colaborador designado del proceso de Gestión del Talento Humano</t>
  </si>
  <si>
    <t>cada vez que se vaya a vincular a un Servidor Público, que este cumpla con los requisitos de formación académica, experiencia laboral y certificación de antecedentes disciplinarios, fiscales y judiciales, la descripción de la verificación se registra mediante el Formato de verificación de estudio, experiencia y conocimientos- UAERMV GTHU-FM-054.
En el caso de que no se cumpla con los requisitos no se realizará el nombramiento.</t>
  </si>
  <si>
    <t>manual</t>
  </si>
  <si>
    <t>Verificar cada vez que se vaya a vincular a un Servidor Público, que este cumpla con los requisitos de formación académica, experiencia laboral y certificación de antecedentes disciplinarios, fiscales y judiciales, la descripción de la verificación se registra mediante el Formato de verificación de estudio, experiencia y conocimientos- UAERMV GTHU-FM-054. En el caso de que no se cumpla con los requisitos no se realizará el nombramiento.</t>
  </si>
  <si>
    <t>Profesional Especializado</t>
  </si>
  <si>
    <t xml:space="preserve"> Formato de verificación de estudio, experiencia y conocimientos GTHU-FM-054</t>
  </si>
  <si>
    <t>Informar Jefe de la Oficina de Control Interno Disciplinario sobre la novedad presentada</t>
  </si>
  <si>
    <t>Memorando remitifo</t>
  </si>
  <si>
    <t>por vincular a un servidor público en cargo provisional o de libre nombramiento y remoción que presente anotaciones en las certificaciones de antecedentes fiscales, judiciales y disciplinarios</t>
  </si>
  <si>
    <t>Falta de herramientas para realizar la debida diligencia en la verificación de requisitos para la vinculación de una persona a un cargo de libre nombramiento y remoción o en provisionalidad, que permita prevenir la vinculación de personas presuntamente relacionadas con activos provenientes de LA/FT</t>
  </si>
  <si>
    <t>Ingreso de servidores Públicos que puedan tener recursos provenientes de actividades ilícitas relacionadas con LA o FT.</t>
  </si>
  <si>
    <t>Afectación reputacional a la entidad por la vinculación de servidores públicos bien sea por provisionalidad o libre nombramiento y remoción que tengan nexos con actividades relacionadas con LA/FT.</t>
  </si>
  <si>
    <t>Cada vez que se vaya a vincular a un Servidor Público en un cargo de provisionalidad o de libre nombramiento y remoción, TH verifica los antecedentes disciplinarios, fiscales y judiciales, mediante el formato GTHU-FM-054 Formato verificación de estudios, conocimiento y experiencia, adicionalmente descarga las certificaciones aportándolos al expediente.
EVIDENCIA: Formato diligenciado con la descripción de la verificación realizada.
En el caso de que se evidencie alguna anotación en las consultas no se realiza el nombramiento</t>
  </si>
  <si>
    <t>Socializar con el equipo de GTHU la importancia de realizar e incluir los antecedentes del aspirante en el formato de verificación de estudio conocimiento y experiencia, haciendo énfasis en la verificación de requisitos y antecedentes para prevenir la posible vinculación con actividades provenientes de Lavado de Activos LA y Financiación del Terrorismo FT.</t>
  </si>
  <si>
    <t>Presentación, lista de asistencia y/o grabación</t>
  </si>
  <si>
    <t xml:space="preserve">Por Perdida de credibilidad y confianza de las partes interesadas </t>
  </si>
  <si>
    <t>debido al diligenciamiento del formato Análisis de Riesgos Contractuales  fuera del lineamiento establecido por Colombia Compra Eficiente.</t>
  </si>
  <si>
    <t>Gestión Contractual Interna</t>
  </si>
  <si>
    <t>Diferencias en la estructuración de riesgos entre el grupo estructurador frente a la revisión realizada por  el abogado líder del proceso contractual.</t>
  </si>
  <si>
    <t>Incremento de la TRM por encima de su comportamiento histórico o “normal”  que impacte el valor de los ítems con posterioridad a la adjudicación del proceso</t>
  </si>
  <si>
    <t>El servidor público o contratista (profesional) del proceso Gestión Contractual, designado por la Gerencia de Contratación cada vez que se adelante un proceso contractual selectivo</t>
  </si>
  <si>
    <t>Que los riesgos identificados para el proceso de selección sean coherentes con lo estipulado en el "manual para la identificación y asignación de los riesgos"  expedido por Colombia Compra Eficiente.</t>
  </si>
  <si>
    <t>Socializar al equipo de GCON y los estructuradores de procesos selectivos la metodología para el diligenciamiento del formato GCON-FM-089- Análisis de riesgos contractuales.</t>
  </si>
  <si>
    <t>Servidor Público o contratista designado</t>
  </si>
  <si>
    <t>Listado de asistencia y presentación de la socialización adelantada.</t>
  </si>
  <si>
    <t>Informar las situaciones y evidencias identicadas en la suscripción del contrato a la Oficina de Control Disciplinario Interno, para que se tomen las medidas correspondientes.</t>
  </si>
  <si>
    <t>Por Perdida de credibilidad y confianza de las partes interesadas</t>
  </si>
  <si>
    <t>debido a que  La información y documentos soporte publicados en el SECOP es diferente al del expediente contractual a nivel interno de la entidad en Orfeo.</t>
  </si>
  <si>
    <t>Errores en la organización y custodia de de los documentos precontractuales de las diferentes modalidades de contratación.</t>
  </si>
  <si>
    <t>Cambios normativos que afecten los controles en el desarrollo de los procesos contractuales</t>
  </si>
  <si>
    <t>El servidor público o contratista (profesional) del proceso GCON designado por la Gerencia de Contratación para adelantar el proceso de selección diligencia,</t>
  </si>
  <si>
    <r>
      <t xml:space="preserve">en el expediente del proceso en Orfeo el formato de referencia cruzada, el cual debe ser concordante con el proceso de selección que se adelante a través de la plataforma del Secop II. 
Como evidencia: Formato de referencia cruzada diligenciado de cada proceso Selectivo, publicado en el ORFEO. 
En caso de </t>
    </r>
    <r>
      <rPr>
        <sz val="12"/>
        <color rgb="FF0070C0"/>
        <rFont val="Arial"/>
        <family val="2"/>
      </rPr>
      <t>identificar</t>
    </r>
    <r>
      <rPr>
        <sz val="12"/>
        <color theme="1"/>
        <rFont val="Arial"/>
        <family val="2"/>
      </rPr>
      <t xml:space="preserve">  que no se encuentra cargado en el ORFEO o </t>
    </r>
    <r>
      <rPr>
        <sz val="12"/>
        <color rgb="FF0070C0"/>
        <rFont val="Arial"/>
        <family val="2"/>
      </rPr>
      <t>SECOP</t>
    </r>
    <r>
      <rPr>
        <sz val="12"/>
        <color theme="1"/>
        <rFont val="Arial"/>
        <family val="2"/>
      </rPr>
      <t xml:space="preserve">  deberá  incluirlo en el expediente de ORFEO</t>
    </r>
  </si>
  <si>
    <t>Socializar al equipo de  GCON el formato de referencia cruzada,  diligenciamiento y publicación en ORFEO.</t>
  </si>
  <si>
    <t>Elaborar acto administrativo aclaratorio para la corrección de la información publicada en la plataforma SECOP II</t>
  </si>
  <si>
    <t xml:space="preserve">por la contratación de prestación de servicios profesionales y de apoyo a la gestión inapropiados </t>
  </si>
  <si>
    <t>debido a la inadecuada segregación  de las funciones del personal de planta de la entidad.</t>
  </si>
  <si>
    <t>Inadecuada segregación de funciones para la contratación de prestación de servicios profesionales y de apoyo.</t>
  </si>
  <si>
    <t>El servidor público o contratista (profesional) del proceso GCON designado por la Gerencia de Contratación para adelantar el proceso de contratación directa</t>
  </si>
  <si>
    <t>Trimestralmente que el colaborador definido como punto de control por las dependencias realicen el seguimiento mensual al cargue de los documentos requeridos para el cargue en SECOP. Como evidencia se cuenta con un listado con la relación de procesos, personas responsables y remisión de los seguimientos. 
En el caso de que no se identifiquen seguimientos por las dependencias, se remitía correo electrónico al directivo responsable informando la situación.</t>
  </si>
  <si>
    <t>Realizar una socialización a las dependencias de la entidad, donde se resalte la importancia de diligenciar y solicitar la certificación de  INEXISTENCIA O INSUFICIENCIA DE PERSONAL(GTHU-FM-031) para la contratación de prestación de servicios (profesionales y apoyo a la gestión).</t>
  </si>
  <si>
    <t>Devolver al área correspondiente el proceso de contratación de prestación de servicios profesionales y apoyo a la gestión cuando no se aporte el certificado de INEXISTENCIA O INSUFICIENCIA DE PERSONAL(GTHU-FM-031)I</t>
  </si>
  <si>
    <t>Abogado asignado para adelantar el proceso de contratación de prestación  de servicios profesionales y de apoyo a la gestión.</t>
  </si>
  <si>
    <t xml:space="preserve">Por inadecuada disposición de los archivos de gestión en las dependencias y procesos de la Entidad, </t>
  </si>
  <si>
    <t>Debido a que, la información documentada en los archivos de gestión se encuentra sin la aplicación de los lineamientos asociados a la organización, custodia y conservación de los documentos.</t>
  </si>
  <si>
    <t>• Realizar, seguimiento y asesoría para la conformación de los expedientes en los archivos de gestión.</t>
  </si>
  <si>
    <t xml:space="preserve"> - Debilidades en la verificación de la conformación de los expedientes de acuerdo con las TRD y los procedimientos de gestión documental
-Cambio del Sistema de Gestión de Documento electronico de archivo SGDEA</t>
  </si>
  <si>
    <t xml:space="preserve">Cambios de administración Nacional </t>
  </si>
  <si>
    <t>Sanciones de parte de los entes de control debido a que las evidencias, la información y los expedientes correspondientes del archivo de gestión se encuentran fuera de los requisitos procedimentales y normativos.</t>
  </si>
  <si>
    <t xml:space="preserve">     Afectación menor a 130 SMLMV</t>
  </si>
  <si>
    <t>El colaborador designado por el lider del proceso</t>
  </si>
  <si>
    <t>cuatrimestralmente, que los inventarios recibidos por las dependencias estén alineados con las Tablas de Retención Documental (TRD) para su posterior publicación en la intranet de la entidad. La evidencia de esta actividad es la comunicación oficial enviada a las dependencias, en la que se solicita la actualización de los inventarios.
En caso de identificar falencias en los inventarios documentales recibidos, se procederá a notificar a los responsables de las dependencias por correo electrónico, solicitando los ajustes necesarios.</t>
  </si>
  <si>
    <t xml:space="preserve">Realizar el acompañamiento a las dependencias  para la correcta aplicación de las TRD </t>
  </si>
  <si>
    <t>Colaboradores designados proceso GDOC</t>
  </si>
  <si>
    <t xml:space="preserve">Actas de los compañamientos realizados a las dependencias  para la correcta aplicación de las TRD </t>
  </si>
  <si>
    <t>Informar al proceso de Control Disciplinario Interno la situación identificada, para que se tomen la medidas necesarias.</t>
  </si>
  <si>
    <t xml:space="preserve">Comunicación remitida </t>
  </si>
  <si>
    <t>Gerencia Administrativa y Financiera- Proceso Gestión Documental</t>
  </si>
  <si>
    <t xml:space="preserve">Por perdida de confianza y credibilidad </t>
  </si>
  <si>
    <t>Debido a fallas en el proceso de copias de seguridad del SGDEA, asi como  no aplicación del procedimiento establecido para el trámite de las comunicaciones en la Entidad.</t>
  </si>
  <si>
    <t>•Radicar y Distribuir las comunicaciones oficiales de entrada.
• Realizar los envíos de las comunicaciones oficiales de salida por medio de la Ventanilla Única de Correspondencia.</t>
  </si>
  <si>
    <t>Falencias en la aplicación de los lineamientos en la gestión del documento electrónico de archivo y el cierre efectivo de los trámites en Orfeo por parte de los colaboradores de la Entidad, generando diferencias entre los expedientes físicos y electrónicos.</t>
  </si>
  <si>
    <t xml:space="preserve">Perdida de confianza y credibilidad debido a la recepción, tramite, distribución y custodia de información fuera de la normatividad </t>
  </si>
  <si>
    <t>El colaborador designado del proceso gestión documental</t>
  </si>
  <si>
    <t xml:space="preserve"> trimestralmente el monitoreo de las condiciones ambientales del archivo central dando aplicación a los aspectos descritos dentro del plan de conservación documental en su estrategia No 3 "Realizar los procesos de monitoreo y control de las condiciones ambientales" del SIC, como evidencia de esta revisión quedará el informe de medición de condiciones ambientales en los diferentes espacios donde se conserva archivo, presentado a la Secretaria General. 
En caso de evidenciar inconsistencias que lleven a la perdida de información o documentos se generará las alertas correspondientes   a la Secretaria General, para proceder a la toma de decisiones y ajustes a que haya lugar.</t>
  </si>
  <si>
    <t>Implementar las acciones  establecidas en el cronograma de actividades previsto para la vigencia en relación a los estrategias del Plan de Conservación Documental -SIC</t>
  </si>
  <si>
    <t>Registro de las acciones adelantadas durante el periodo</t>
  </si>
  <si>
    <t>El colaborador designado por el proceso Gestión documental</t>
  </si>
  <si>
    <t>cuatrimestralmente la generación automática de las copias de seguridad del aplicativo ORFEO por parte de la Oficina de Tecnologias de la Información solicitando  a través de correo electrónico (mesa de ayuda) la generación de las mismas; Así mismo, el colaborador designado por el proceso verifica  que la información se encuentre completa en relación  a las copias de seguridad de ORFEO , con el fin de garantizar el respaldo de la información electrónica almacenada en el aplicativo para evitar su pérdida. Como evidencia del control quedarán actas de reunión de la verificación del Back-Up  y  los correos remitidos a la mesa de ayuda y los pantallazos de los Backups realizados  aplicativo ORFEO.</t>
  </si>
  <si>
    <t xml:space="preserve">El  colaborador designado del proceso gestión documental  </t>
  </si>
  <si>
    <t xml:space="preserve"> mensualmente revisa por dependencias el número de radicados sin finalizar, asi mismo, genera mensualmente  un reporte de las estadísticas de finalización de los trámites  en ORFEO, con el fin de  informar  a los usuarios  a través de correo electrónico las estadísticas de Orfeo, y  evidenciar el estado de los trámites  por dependencias y reducir los trámites pendientes de finalización. Como evidencia se dejan los reportes de las estadísticas de trámites en Orfeo generadas durante el periodo.</t>
  </si>
  <si>
    <t>El servidor público o colaborador designado del proceso gestión documental  mensualmente revisa por dependencias el número de radicados sin finalizar, asi mismo, genera mensualmente  un reporte de las estadísticas de finalización de los trámites  en ORFEO, con el fin de  informar  a los usuarios  a través de correo electrónico las estadísticas de Orfeo, y  evidenciar el estado de los trámites  por dependencias y reducir los trámites pendientes de finalización. Como evidencia se dejan los reportes de las estadísticas de trámites en Orfeo generadas durante el periodo.</t>
  </si>
  <si>
    <t xml:space="preserve">El  colaborador responsable del proceso gestión documental, </t>
  </si>
  <si>
    <t>El servidor público o colaborador responsable del proceso gestión documental, verifica al momento del retiro de un funcionario o contratista de la Entidad, que no tenga radicados pendientes en sus carpetas de orfeo, con el fin de evidenciar la finalización de los trámites de comunicaciones a cargo de los colaboradores de la Entidad y emitir  el Paz y Salvo correspondiente.
En caso de evidenciar radicados pendientes sin finalizar, no se procederá a la firma del paz y salvo hasta que el usuario se haya puesto al día con los mismos. Como soporte se contará con un repositorio de los reportes  de la verificación en Orfeo para gestionar la firma de los paz y salvos tramitados durante el periodo.</t>
  </si>
  <si>
    <t>El colaborador responsable del proceso gestión documental,</t>
  </si>
  <si>
    <t>El servidor público o colaborador responsable del proceso gestión documental,  verifica que se entregue la documentación foliada, al momento de realizar el préstamo de carpetas del archivo central con el fin de prevenir la pérdida o alteración de los archivos, bien sea por inclusión o sustracción de información.
 Para el caso de hacer el préstamo de manera virtual  el  colaborador verifica  a través de la matriz de prestamos que el expediente se encuentre completo para su respectiva consulta,  y se le asigna el tiempo de acceso a los expedientes conforme al  procedimiento GDO-PR-004 consulta y prestamos documentales.
Al momento de realizar la entrega de los documentos, se verifica nuevamente la foliación y se diligencia la entrega en el formato "Documento Afuera". En caso de evidenciar perdida o alteración de los archivos, se solicita la corrección del expediente al servidor público o colaborador y en caso de ser necesario se realiza un informe en el que consta la alteración del expediente dirigido a la Secretaría General para lo de su competencia.
Como evidencia se deja los formatos GDO-FM-015 diligenciados, para los casos en físico, y  para los prestamos magnéticos se deja la base de datos de prestamos documentales actualizada.</t>
  </si>
  <si>
    <t>El servidor público o colaborador responsable del proceso gestión documental,  verifica que se entregue la documentación foliada, al momento de realizar el préstamo de carpetas del archivo central con el fin de prevenir la pérdida o alteración de los archivos, bien sea por inclusión o sustracción de información.
Al momento de realizar la entrega de los documentos, se verifica nuevamente la foliación y se diligencia la entrega en el formato "Documento Afuera". En caso de evidenciar perdida o alteración de los archivos, se solicita la corrección del expediente al servidor público o colaborador y en caso de ser necesario se realiza un informe en el que consta la alteración del expediente dirigido a la Secretaría General para lo de su competencia.
Como evidencia se deja los formatos GDO-FM-015 diligenciados, para los casos en físico, y  para los prestamos magnéticos se deja la base de datos de prestamos documentales actualizada.</t>
  </si>
  <si>
    <t xml:space="preserve"> Por inconformidad de los servidores públicos</t>
  </si>
  <si>
    <t>Debido a la liquidación de la nómina fuera de los tiempos establecidos.</t>
  </si>
  <si>
    <t xml:space="preserve">Elaborar y liquidar la nómina mensual de personal y las respectivas prestaciones legales y convencionales, para su respectivo pago  Liquidar Seguridad Social, Parafiscales  </t>
  </si>
  <si>
    <t xml:space="preserve">Situaciones administrativas imprevistas relacionadas con la vinculación de servidores públicos. </t>
  </si>
  <si>
    <t>Cambios normativos relacionados con la liquidación de la nómina.</t>
  </si>
  <si>
    <t>Requerimiento de los servidores públicos por liquidación inoportuna de la nómina</t>
  </si>
  <si>
    <t>El Servidor público designado</t>
  </si>
  <si>
    <t>Mensualmente al momento de ejecutar la liquidación de la nómina que su contenido corresponda con las situaciones administrativas (devengados y deducidos por concepto de salud, pensión y retención en la fuente) y demás novedades, a través de una comparación de los reportes generados por el aplicativo de nómina People Net – SIGEP,  frente al cálculo realizado en una matriz de Excel para la liquidación de la nómina, la cual reposará como evidencia de la verificación realizada, con el fin de corroborar que los registros de las situaciones administrativas incluidos en el aplicativo sean correctos.</t>
  </si>
  <si>
    <t>Informar a la Secretaria General  sobre la novedad presentada para el respectivo análisis de la situación reportada.</t>
  </si>
  <si>
    <t>Mensualmente el reporte general de deducidos generado por el sistema People Net- SIGEP, frente al reporte individual de descuentos y soportes de libranza u embargos, con el fin de que operen de manera correcta; en caso de encontrar una diferencia se revisará nuevamente la inclusión de las novedades, quedando como evidencia cada uno de los reportes generados y los soportes de las libranzas y embargos.</t>
  </si>
  <si>
    <t>Anualmente proyecta la circular con el cronograma de apertura y cierre de novedades que afectan la nomina, con el propósito de dar cumplimiento a la liquidación de la nomina en cada periodo de forma oportuna. Como evidencia se encuentra la circular de apertura y cierre de novedades que afectan la nomina.</t>
  </si>
  <si>
    <t>Por perdida de credibilidad y confianza de las partes interesadas</t>
  </si>
  <si>
    <t>Debido a la ejecución del Sistema de Gestión de  Seguridad y Salud en el Trabajo SG-SST sin el cumplimiento de los  requisitos mínimos establecidos por la normatividad vigente.</t>
  </si>
  <si>
    <t>Operar el Sistema de Gestión de Seguridad y Salud en el Trabajo SG-SST</t>
  </si>
  <si>
    <t>Desarrollo incompleto de las actividades que hacen parte del Sistema de Gestión y seguridad en el trabajo -SG-SST.</t>
  </si>
  <si>
    <t>Cambios normativos relacionados con la implementación del Sistema de Gestión y seguridad en el trabajo -SG-SST.</t>
  </si>
  <si>
    <t>Sanciones o requerimientos ocasionados por incumplimiento de los requisitos mínimos del Sistema de Gestión de Seguridad y Salud en el Trabajo SG-SST</t>
  </si>
  <si>
    <t xml:space="preserve">El Líder asignado por la Dirección General como responsable de coordinar el desarrollo del SG-SST, </t>
  </si>
  <si>
    <t>a través de reuniones trimestralmente con su equipo de trabajo para revisar el nivel de avance de ejecución del Plan Anual de Seguridad y salud en el Trabajo -PASST, dejando como evidencia un acta de reunión y el cronograma de seguimiento del PASST que presenta el porcentaje de avance.
En caso de evidenciar incumplimientos en las actividades definidas en el Plan Anual de Seguridad y salud en el Trabajo -PASST, se ejecutarán reuniones extraordinarias con el personal encargado del área de SST, para ser informado al Comité de Seguridad y salud en el Trabajo, estableciendo alertas y determinando plazos para la ejecución de actividades, dejando como evidencia las actas de reunión.</t>
  </si>
  <si>
    <t>Realizar la actualización de la documentación del proceso de Gestión de talento Humano en lo relacionado con el SG-SST incorporando el cumplimiento a los requisitos mínimos.</t>
  </si>
  <si>
    <t>El Líder asignado por la Dirección General como responsable de coordinar el diseño e implementación del SG-SST.</t>
  </si>
  <si>
    <t>Actas de Reunión</t>
  </si>
  <si>
    <t>Cada vez que se requiera</t>
  </si>
  <si>
    <t>Incluir los requisitos incumplidos en el Plan Anual de Trabajo de Seguridad y Salud en el Trabajo para su ejecución y seguimiento.</t>
  </si>
  <si>
    <t xml:space="preserve"> Plan Anual de Trabajo de Seguridad y Salud en el Trabajo actualizado.</t>
  </si>
  <si>
    <t>a través de reunión trimestral con el (Gerente Administrativo y Financiero Gerente GASA, Profesional Especializado del Proceso de Talento Humano y colaboradores de SST) con el propósito de verificar el estado de implementación, novedades y oportunidades de mejora para articular y socializar las directrices en materia de seguridad y salud en el trabajo. Se deja como evidencia un acta de reunión con los temas relevantes de la reunión.
En caso de evidenciar retrasos en la implementación de acciones a cargo de las dependencias se procederá a concertar compromisos con los jefes de las mismas, para su cierre respectivo, dejando como evidencia los compromisos en el acta de reunión."</t>
  </si>
  <si>
    <t>Debido al Incumplimiento en el cronograma de los planes que integran en Plan Estratégico de Talento Humano PETH.</t>
  </si>
  <si>
    <t>Formular políticas, planes y programas de administración de personal, bienestar social, incentivos, capacitación y desarrollo del talento humano.|</t>
  </si>
  <si>
    <t>Desarrollo inadecuado de las actividades que hacen parte del Plan Estratégico de Talento Humano PETH.</t>
  </si>
  <si>
    <t>Cambios normativos relacionados con la implementación del Plan Estratégico de Talento Humano PETH.</t>
  </si>
  <si>
    <t>Bajo nivel de calificación por parte de los Servidores Públicos, en el resultado de la ejecución de los planes que hacen parte del Plan Estratégico de Talento Humano PETH.</t>
  </si>
  <si>
    <t>El Profesional Universitario del proceso de Gestión de Talento Humano a cargo de la implementación del Plan Institucional de Formación y Capacitación – PIFC, y el Plan de Estímulos e incentivos</t>
  </si>
  <si>
    <t>a través de reunión trimestral con colaboradores del proceso el estado de avance de la ejecución de los planes con el propósito de encontrar acciones de mejorar que permitan armonizar y articular el desarrollo de las actividades en los tiempos programados, se deja como evidencia un acta de la reunión con los temas relevantes o notas de la reunión.  
En caso de evidenciar retrasos o necesidades de modificación de los mismos, se presentan las solicitudes ante el equipo de trabajo o el Gerente Administrativo y Financiero realizando la correspondiente modificación de los planes, dejando como evidencia un acta de reunión."</t>
  </si>
  <si>
    <t>Presentar solicitudes de modificación de los planes, aprobarlas y hacerles el debido seguimiento</t>
  </si>
  <si>
    <t>Profesional Universitario del Proceso de Gestión de Talento Humano</t>
  </si>
  <si>
    <t>Actas de Reunión  y soportes de modificación del cronograma.</t>
  </si>
  <si>
    <t>Incluir dentro del orden del día de las reuniones de la Comisión de personal el seguimiento al cumplimiento a los Planes de capacitación y de  bienestar e incentivos, estableciendo alertas y determinando plazos para la ejecución de actividades programadas.</t>
  </si>
  <si>
    <t>Actas de Reunión donde se evidencien los compromisos y tiempos programdos</t>
  </si>
  <si>
    <t xml:space="preserve">El Gerente Administrativo y Financiero </t>
  </si>
  <si>
    <t>a través de una reunión trimestral con el equipo de trabajo del Proceso de Gestión de Talento Humano, el estado de avance de las actividades que hacen parte del Plan Estratégico de Talento humano y temas transversales del proceso, con el fin de conocer las situaciones imprevistas que puedan afectar el cumplimiento oportuno de las actividades programadas, e impartir directrices para resolver las situaciones presentadas, dejando como evidencia un acta con los temas relevantes o notas de la reunión.  
En caso de evidenciar retrasos en la implementación de acciones, se procederá a dejar compromisos con los integrantes del proceso, para su cierre respectivo, dejando como evidencia los compromisos en el acta de reunión.</t>
  </si>
  <si>
    <t xml:space="preserve">por perdida de credibilidad y confianza de las partes interesadas </t>
  </si>
  <si>
    <t>debido a Ia identificación de conflictos de interés que no cumplan con la normatividad vigente.</t>
  </si>
  <si>
    <t>Seguimiento al cumplimiento de los planes y programas, indicadores del proceso, seguimiento a los controles de riesgos e Informes de auditorías</t>
  </si>
  <si>
    <t>Seguimiento inoportuno en el cumplimiento de la declaración de conflicto de interés.</t>
  </si>
  <si>
    <t>Cambios normativos relacionados con el seguimiento y declaración conflictos de interés</t>
  </si>
  <si>
    <t>Incumplimientos normativos relacionados con el seguimiento y declaración conflictos de interés.</t>
  </si>
  <si>
    <t>El servidor publico o colaborador por parte del proceso de Gestión de Talento Humano,</t>
  </si>
  <si>
    <t>cuatrimestralmente en el aplicativo por la Integridad Pública - DAFP que los Directivos han diligenciado la declaración de conflicto de intereses en la plataforma. Como evidencia se cuenta con el reporte cuatrimestral del aplicativo por la Integridad Pública - DAFP donde se identifican los servidores faltantes por declarar.
En el caso que se identifique directivos pendientes de reporte, la Gerencia Administrativa y Financiera - Proceso de Gestión de Talento Humano, realiza un comunicado mediante correo electrónico solicitando la declaración del conflicto de interés.</t>
  </si>
  <si>
    <t>Remitir memorando o correo electrónico a los servidores públicos que al periodo de seguimiento no realizaron la actividad.</t>
  </si>
  <si>
    <t>Profesional Especializado del Proceso de Gestión de Talento Humano</t>
  </si>
  <si>
    <t>Memorando remitido.</t>
  </si>
  <si>
    <t>Informar al secretario general la novedad presentada frente a los los servidores públicos que al periodo de seguimiento no realizaron la actividad.</t>
  </si>
  <si>
    <t>El servidor publico o colaborador designado por el proceso de Gestión Contractual</t>
  </si>
  <si>
    <t>verifica  cada vez que se elabora un contrato de prestación de servicios que en el expediente este la totalidad de documentos definidos en la lista de chequeo, debidamente diligenciados y firmados. Dentro de los documentos se incluye la declaración de conflicto de interés en SIDEAP. Como evidencia se cuenta con el reporte cuatrimestral de la Plataforma SIDEAP donde se identifican los contratistas faltantes por declarar.
En el caso que se identifique documentos faltantes, mal diligenciados o sin firma, se devolverá a la dependencia correspondiente para su ajuste.</t>
  </si>
  <si>
    <r>
      <t xml:space="preserve">por  manipulación de </t>
    </r>
    <r>
      <rPr>
        <b/>
        <sz val="12"/>
        <rFont val="Arial"/>
        <family val="2"/>
      </rPr>
      <t>expedientes disciplinarios</t>
    </r>
    <r>
      <rPr>
        <sz val="12"/>
        <rFont val="Arial"/>
        <family val="2"/>
      </rPr>
      <t xml:space="preserve"> fuera del termino legal o</t>
    </r>
    <r>
      <rPr>
        <b/>
        <sz val="12"/>
        <rFont val="Arial"/>
        <family val="2"/>
      </rPr>
      <t xml:space="preserve"> </t>
    </r>
    <r>
      <rPr>
        <sz val="12"/>
        <rFont val="Arial"/>
        <family val="2"/>
      </rPr>
      <t xml:space="preserve">emitiéndo decisiones contrarias a la normatividad vigente, por parte del servidor(a) y/o contratista encargado de sustanciar o por parte de los encargados de revisar y aprobar </t>
    </r>
  </si>
  <si>
    <t>Deficiencia en los mecanismos de seguimiento y control de los tiempos de respuesta para emitir las decisiones de los procesos disciplinarios.
Deficiencias en la revisión y/o aprobación de las actuaciones disciplinarias.
Conflicto de intereses por parte del servidor o contratista encargado de emitir la decisión.</t>
  </si>
  <si>
    <t>Dificultades en la transferencia de conocimiento entre los servidores que se vinculan y se retiran de la unidad
 Presentarse una situación de conflicto de interés y no ponerlo en conocimiento de funcionario competente. 
Dificultades en la implementación de la normatividad disciplinaria por modificación de legislación.</t>
  </si>
  <si>
    <t xml:space="preserve">Presiones o motivaciones individuales sociales o colectivas que inciten a realizar conductas contrarias al deber ser. 
Presión o exigencias por parte de personas interesadas o motivación individual en el resultado del proceso disciplinario. </t>
  </si>
  <si>
    <t>Demandas en contra de la entidad Investigaciones disciplinarias, fiscales y/o penales.
Desvío de recursos públicos.</t>
  </si>
  <si>
    <t>Jefe CODI</t>
  </si>
  <si>
    <t xml:space="preserve"> En reunión mensual, con los servidores públicos y contratistas de la Oficina, se verifican los permisos de acceso a OneDrive, que contiene la información disciplinaria de la Oficina.
Como evidencia: las actas de reunión firmadas con las autorizaciones para los accesos al OneDrive.
Si se evidencia el acceso a OneDrive de personal diferentes a las autorizadas, se procede a informar a través del correo institucional: mesadeayuda@umv.gov.co para que se investigue los movimientos o el uso dado a la información del proceso disciplinario, para realizar las acciones a que haya lugar dejando constancia en acta de reunión.</t>
  </si>
  <si>
    <t>Autorizar los accesos a la bases de datos CODI, SID y carpetas CODI del OneDrive a los servidores públicos o contratistas designados por la Jefe CODI, mediante  las actas de reunión firmadas.</t>
  </si>
  <si>
    <t>Actas de reunión mensual firmada por el quipo de trabajo de la CODI y reporte mensual  de la administración de acceso a one drive de la oficina.</t>
  </si>
  <si>
    <t xml:space="preserve">En caso de materialización del riesgo, se procede a informar a través del correo institucional: mesadeayuda@umv.gov.co para que se investigue los movimientos o el uso dado a la información del proceso disciplinario, para realizar las acciones a que haya lugar dejando constancia en acta de reunión. De requerirse la remisiòn a otros Organismos del Estado por competencia, se procederá de inmediato.
</t>
  </si>
  <si>
    <t xml:space="preserve">Acta de reunión y correo enviado a mes de ayuda.    
</t>
  </si>
  <si>
    <t xml:space="preserve"> en reunión mensual, con los servidores públicos y contratistas de la dependencia, que el contenido de la información del expediente físico de cada proceso disciplinario sea el mismo que se ha registrado en la “BASE DE DATOS DISCIPLINARIOS-LEY 2094 DE 2021”
Como evidencia: las actas de reunión firmadas en las que conste la verificación de la coincidencia del expediente físico con los registros y que efectivamente se dio impulso a los expedientes de acuerdo con lo consignado en la reunión anterior.
Si se identifican inconsistencias que evidencien faltantes, sobrantes o alteraciones tanto de los registros físicos de los expedientes o en los registros de la “BASE DE DATOS DISCIPLINARIOS-LEY 2094 DE 2021”, se investiga al posible implicado en la manipulación de información y posteriormente se subsana la inconsistencia del expediente disciplinario, dejando constancia en acta de reunión
</t>
  </si>
  <si>
    <t xml:space="preserve">por  manipulación de resultados de auditoria o ejercicicio de evaluación para el beneficio de terceros </t>
  </si>
  <si>
    <t>Deficiencia en los mecanismos de seguimiento y control de impedimentos a la independencia y objetividad del proceso de auditoría interna 
Conflicto de intereses por parte del servidor o contratista responsable del ejericicio de auditoría o evaluación</t>
  </si>
  <si>
    <t>Firma del acuerdo de compromiso ético  y confidencialidad</t>
  </si>
  <si>
    <t xml:space="preserve">Colaboradores de la OCI con impedimentos para evaluar procesos </t>
  </si>
  <si>
    <t xml:space="preserve">Sanciones entes externos </t>
  </si>
  <si>
    <t xml:space="preserve">El jefe OCI </t>
  </si>
  <si>
    <t xml:space="preserve">que los responsables de trabajos de auditoría y evaluación firmen y radiquen el compromiso ético y confidencialidad de información cada vez que se asigna una auditoría interna declarando que no tiene impedimentos o conflicto de intereses para ejecutar el trabajo
En caso de declararse impedido se escoge otro profesional o se evalua el alcance del trabajo de auditoría </t>
  </si>
  <si>
    <t xml:space="preserve">Realizar sensibilizaciones acerca del codigo de ética a los auditores de la OCI </t>
  </si>
  <si>
    <t xml:space="preserve">Profesional designado </t>
  </si>
  <si>
    <t xml:space="preserve">Listas de chequeo o memorias de sensibilización </t>
  </si>
  <si>
    <t xml:space="preserve">Anual </t>
  </si>
  <si>
    <t xml:space="preserve">Realizar cambio de responsable de auditoría o revisar alcance de auditoria del trabajo </t>
  </si>
  <si>
    <t>Modificación PAA</t>
  </si>
  <si>
    <t xml:space="preserve">Jefe OCI </t>
  </si>
  <si>
    <t>por la modificación de los resultados de las visitas a obra o en los informes mensuales de las visitas a cambio de beneficio a nombre propio o de terceros, con el fin de hacer que los criterios de evaluación y aceptación cumplan con las especificaciones técnicas.</t>
  </si>
  <si>
    <t>deficiencia en que se permitan presiones indebidas por falta de propiedad, gobernanza o intereses particulares por parte de personal interno.</t>
  </si>
  <si>
    <t>Realización de Visitas a obra e informe de calidad</t>
  </si>
  <si>
    <t>Presencia de gobernanza.
 Intereses particulares por parte de personal interno. 
Presiones indebidas</t>
  </si>
  <si>
    <t xml:space="preserve"> Falta de autonomía al  actuar bajo las normas nacionales y distritales para las entidades públicas.</t>
  </si>
  <si>
    <t xml:space="preserve">Modificación de resultado de las  visitas de obra </t>
  </si>
  <si>
    <t>El lider de calidad</t>
  </si>
  <si>
    <t>cada vez que se realice una visita, que esta se halla realizado considerando los mínimos criterios a evaluar, de acuerdo a los protocolos segun el tipo de intervención, dejando la evidencia en el consolidado de visitas tecnicas.
Si se detecta que una visita no cumple con estas condiciones se programa una nueva visita a un CIV con el mismo tipo de intervención.</t>
  </si>
  <si>
    <t>Implementación de compromisos de imparcialidad para el personal que realiza las visitas.</t>
  </si>
  <si>
    <t xml:space="preserve"> Por haber dejado prescribir  procesos disciplinarios, se debe abrir proceso disciplinario contra servidor (es) responsable.</t>
  </si>
  <si>
    <t xml:space="preserve"> Debido a la falta de actividad procesal,  por parte del profesional comisionado para instruir los procesos disciplinarios, se puede presentar el fenòmeno de la prescripción.</t>
  </si>
  <si>
    <t xml:space="preserve"> Informar y registrar en acta de reunìon mensual de la CODI, el estado actual de los procesos disciplinarios a cargo de los profesionales.
Evaluar y tramitar las actuaciones procesales dentro de las investigaciones disciplinarias de conformidad con el marco constitujcional y legal.</t>
  </si>
  <si>
    <t>Incumplimiento de funciones, al no dar impulso procesal a las investigaciones disciplinarias.</t>
  </si>
  <si>
    <t>Poner en conocimiento de la CODI, presuntos hechos constitutivos de faltas disciplinarias con riesgo de prescripciòn.</t>
  </si>
  <si>
    <t xml:space="preserve">Configuraciòn y decreto de la prescripciòn de la acciòn disciplinaria. 
Afecta la imagen de la Entidad y da lugar a la impunidad disciplinaria.
Sanciíon disciplinaria por parte de entes de control(CODI) u otro ente regulador. </t>
  </si>
  <si>
    <t xml:space="preserve"> En reunión que, el (los) profesional rinda informe sobre, el estado actual de los procesos disciplinarios a cargo, dejando la trazabilidad en acta. en caso de identificar algún proceso disciplinario prescrito. se inicia actuación disciplinaria o administrativa en contra del servidor público o contratista responsable. como soporte se relaciona el radicado del informe de inicio de actuación.</t>
  </si>
  <si>
    <t>Verificar y consignar en acta de reunión mensual que, el (los) profesional rinda informe sobre, el estado actual de los procesos disciplinarios a cargo.</t>
  </si>
  <si>
    <t>Actas de reunion mensual en las que se evidencie el estado actual de los procesos disciplinarios a cargo del (los) profesional.</t>
  </si>
  <si>
    <t xml:space="preserve"> Iniciar la investigación disciplinaria o poner en conocimiento del competente, en caso de materializarse este riesgo. </t>
  </si>
  <si>
    <t>Documento mediante el cual se dio inicio a la actuación disciplinria.</t>
  </si>
  <si>
    <t>Profesional especializado</t>
  </si>
  <si>
    <t>Mensualmente en la base de datos de procesos disciplinarios las fechas de prescripción de los procesos. como evidencia se relaciona el archivo Excel con la información de los procesos activos con su respectiva fecha de prescripción. en caso de identificar procesos próximos a prescribir se generara la alerta al responsable vía correo electrónico</t>
  </si>
  <si>
    <t>Revisar y consignar en acta de reunion mensual que, el  profesional verifico en la base de procesos disciplinarios la fecha de prescripción de los procesos</t>
  </si>
  <si>
    <t>Archivo de Excel de procesos disciplinarios con la fecha de prescipción</t>
  </si>
  <si>
    <t xml:space="preserve">Generar alerta via correo electrónico al responsable del proceso, en caso de evidenciarse pronta prescripción </t>
  </si>
  <si>
    <t>Correo electronico, mediante el cual se alerta sobre pronta prescipción de procesos</t>
  </si>
  <si>
    <t>Debido al Incumplimiento de los términos de ley y fechas establecidas en el Plan Anual de Auditorías  por la demora en la entrega y revisión de los informes  por parte el equipo de control interno.</t>
  </si>
  <si>
    <t xml:space="preserve">Debido a la Insuficiencia de personal (servidores públicos y contratistas colaboradores) en la OCI, que apoye la ejecución las actividades del PAA-Plan Anual de Auditorías, por la terminación anticipada de contratos y/o ausencia de adición y prorrogas a contratistas. </t>
  </si>
  <si>
    <t xml:space="preserve">Seguimiento plan anual de auditorias </t>
  </si>
  <si>
    <t>1.Inclusión de nuevas actividades en el PAA
2.Demoras en la contratación
3.Terminación anticipada de contratos de prestación de servicios (contratistas OCI)
Adición y prórrogas a contratistas no oportunas
4.Vacaciones servidores Públicos</t>
  </si>
  <si>
    <t>Cambios en la normatividad asociada al cumplimiento de actividades por parte de la OCI</t>
  </si>
  <si>
    <t>Sanciones por entes de control</t>
  </si>
  <si>
    <t>El jefe de Control Interno</t>
  </si>
  <si>
    <t>Mensualmente el profesional asignado la ejecución de las actividades programadas en el PAA con el fin de verificar su cumplimiento.
Como evidencia lista de asistencia de reunión y correo electrónico enviado al equipo auditor con el cronograma mensual de las actividades 
En caso de existir algun retraso o modificación que afecta el cumplimiento del PAA, se priorizan las actividades y los recursos de la OCI (tiempo-suficiencia de personal)  y se comunica la modificación respectiva en las sesiones del CICCI</t>
  </si>
  <si>
    <t xml:space="preserve">Revisar el alcance de las diferentes actividades del plan anual con el fin de buscar alternativas para su cumplimiento </t>
  </si>
  <si>
    <t>JEFE OCI</t>
  </si>
  <si>
    <t xml:space="preserve">Soporte reunión teams/ modificaciones PAA archivo excel </t>
  </si>
  <si>
    <t xml:space="preserve">Cada vez que se presenten atrasos </t>
  </si>
  <si>
    <t xml:space="preserve">Aplazar o reprogramar las actividades del plan anual de auditoría con aprobación del CICCI </t>
  </si>
  <si>
    <t xml:space="preserve">Acta CICCI </t>
  </si>
  <si>
    <t>El profesional  designado por Jefe de Control Interno</t>
  </si>
  <si>
    <t>Trimestralmente, el cumplimiento de las actividades programadas en las diferentes herrramientas de gestión del proceso CEI  que deben reportarse internamente conforme a su frencuencia de entrega. Como evidencia se cuenta con el reporte trimestral que se presenta al proceso DESI.
En caso de identificar actividades incumplidas se alertará por correo electrónico institucional a Jefe OCI con , para tomar las medidas pertinentes en cuanto dar prioridad al entregable o si es posible reprogramar la actividad.
Como  evidencia las alertas generadas por correo electrónico institucional  informando a Jefe OCI y al colaborador del Equipo OCI.</t>
  </si>
  <si>
    <t xml:space="preserve">Debido Establecimeinto de conclusiones de auditoría sin la pertienencia tecnica requerida que permita agregar valor a los procesos de la entidad  </t>
  </si>
  <si>
    <t>Por debilidades en las competencias tecnicas del equipo de auditoría</t>
  </si>
  <si>
    <t xml:space="preserve">Revisión /monitoreo de los resultados de auditoria </t>
  </si>
  <si>
    <t>Rotación de profesionales
Debilidades Plan de sensibilización del proceso a profesionales y contratistas</t>
  </si>
  <si>
    <t xml:space="preserve">Resultados de auditoria sin impacto en los objetivos institucionales </t>
  </si>
  <si>
    <t xml:space="preserve">Los resultados de auditoria / seguimientos de ley antes se la emisión del informe final.Como evidencia deja correo electrónico, comentarios en ORFEO o grabación de reuniones de supervisión de trabajos de auditoría </t>
  </si>
  <si>
    <t xml:space="preserve">Establecer plan de sensibilización para los profesionales de la OCI con los temas minimos del proceso de auditoría interna </t>
  </si>
  <si>
    <t xml:space="preserve">Listas de asistencia, memorias de jornadas de sensibilización </t>
  </si>
  <si>
    <t xml:space="preserve">Semestralmente </t>
  </si>
  <si>
    <t xml:space="preserve">Ajustar informe final de auditoría analizando comentarios o queja del auditado </t>
  </si>
  <si>
    <t xml:space="preserve">Alcance informe final de auditoría  </t>
  </si>
  <si>
    <t>Por la no realización del monitoreo y seguimiento de la calidad técnica de las intervenciones</t>
  </si>
  <si>
    <t>Debido la inadecuada  verificacion e inspeccion a las obras ejecutadas por la entidad</t>
  </si>
  <si>
    <t xml:space="preserve">Evaluación técnica de la calidad de las intervenciones misionales </t>
  </si>
  <si>
    <t>"Incumplimiento a los procedimientos y documentos internos del proceso
Disponibilidad de recursos necesarios (camionetas) para la ejecución de la visitas
Demora en la entrega de informes de resultado"</t>
  </si>
  <si>
    <t xml:space="preserve">Complicaciones climatológicas que no permitan o retrasen la ejecución de las visitas </t>
  </si>
  <si>
    <t>Incumplimiento en el cronograma de visitas a obra y la elaboración de informe de calidad.</t>
  </si>
  <si>
    <t>Lider de calidad</t>
  </si>
  <si>
    <t xml:space="preserve">Mensualmente que se halla programado y ejecutado una visita a obra por cada tipo de intervención realizada durante el mes en el cronograma de visitas de obra, en el caso de no  cumplir con la totalidad de las visitas programadas, las faltantes se programaran para el  siguiente mes   </t>
  </si>
  <si>
    <t xml:space="preserve">Incluir en el informe de calidad los CIV a los que se les realizo la evaluación técnica, con el fin de programarlos para  el siguiente mes </t>
  </si>
  <si>
    <t xml:space="preserve">Informe técnico </t>
  </si>
  <si>
    <t xml:space="preserve">Bimensualmente que se hayan analizado la totalidad de informes emitidos por el laboratorio en el informe de calidad, en el caso de que no se haya analizado algun informe, este se incluira en el informe de calidad del siguiente mes. </t>
  </si>
  <si>
    <t>por sanción de un ente regulador</t>
  </si>
  <si>
    <t>debido a que la información entregada asociada al cumplimiento de magnitud física y presupuestal del proyecto de inversión 8055 - Conservación de la red de infraestructura peatonal en Bogotá D.C., no esta validada por falta de articulación entre dependencias.</t>
  </si>
  <si>
    <t>Consolidar la información presupuestal y los informes cualitativos de las diferentes dependencias que intervienen en todo el proceso de ejecución, control y reporte de los proyectos misionales, para el periodo correspondiente</t>
  </si>
  <si>
    <t>1.Falta de articulación entre dependencias. 
2.Deficiencia en el canal de comunicación entre la priorización de  segmentos viales y la necesidad de intervención oportuna de los mismos.
3. Deficiencia en el canal de comunicación sobre posibles  interrupciones en la producción y la distribución de los productos UAERMV a los frentes de obra.
4.Deficiencia en la articulación con las diferentes depedencias de la entidad que participan en las diferentes fases contractuales generando interrupciones en la cadena de abastecimiento, de insumos, bienes y servicios.</t>
  </si>
  <si>
    <t>1.Cambios en la priorización de la entidad de acuerdo al POT y PDD
2.Atender solicitudes de otras entidades de manera oportuna afectando nuestra planeación.
3.Factores climaticos que impidan la intervención.
4.Factores de desabastecimiento de insumos o materias primas por factores externos como cierre de vias de  abastecimiento.</t>
  </si>
  <si>
    <t>1.No cumplir con las metas sectoriales - Recortes presupuestales por mala ejecución.
2.Falta de credibilidad y mala reputación que pondría en riesgo la asignación presupuestal para llevar a cabo las intervenciones competencia de la entidad.
3.Sanciones por entes de control.
4.Pérdida de confianza por información no confiable.</t>
  </si>
  <si>
    <t>El Gerente del Proyecto</t>
  </si>
  <si>
    <r>
      <t xml:space="preserve">mensualmente en el comité de Planificación, Producción e Intervención de UAERMV, el cumplimiento de:
1 Priorizacion  alcanzada v/s priorización proyectada  (SPC)
2 Cumplimiento de la magintud de meta alcanzada v/s magnitud de meta programada (SII).
3 Cumplimiento de la ejecución presupuestal v/s programado (SPAL).
</t>
    </r>
    <r>
      <rPr>
        <b/>
        <sz val="12"/>
        <rFont val="Arial"/>
        <family val="2"/>
      </rPr>
      <t>Dejando como evidencia dentro del acta:</t>
    </r>
    <r>
      <rPr>
        <sz val="12"/>
        <rFont val="Arial"/>
        <family val="2"/>
      </rPr>
      <t xml:space="preserve">
1. Presentación de la priorización 
2. Presentación del avance de metas 
4. Presentación de ejecución presupuestal del mes.
Si se presentan desviaciones, estas son escaladas a la Dirección General.</t>
    </r>
  </si>
  <si>
    <t>Socializar el avance de la ejecución presupuestal y de magnitud física en el Comité de Planificación, Producción e Intervención de UAERMV.</t>
  </si>
  <si>
    <t>Gerente del Proyecto de inversión o el profesional designado</t>
  </si>
  <si>
    <t>Actas del Comité de Planificación, Producción e Intervención de UAERMV.</t>
  </si>
  <si>
    <t>Realizar el análisis de causas para formular acciones de mejora</t>
  </si>
  <si>
    <t xml:space="preserve">Plan de Mejoramiento </t>
  </si>
  <si>
    <t>Gerente del Proyecto o el profesional designado por este</t>
  </si>
  <si>
    <t>Remitir a través del correo electrónico institucional el plan de acción del proyecto de inversión</t>
  </si>
  <si>
    <t>Correo electrónico con el envío del plan de acción mensual  del proyecto de inversión 8081 a la Oficina Asesora de Planeación</t>
  </si>
  <si>
    <t xml:space="preserve">por incumplimiento de las metas </t>
  </si>
  <si>
    <t>debido a deficiencias en el seguimiento de las actividades programadas de Planificación, Producción, Apoyo Logistico e Intervención.</t>
  </si>
  <si>
    <t>1.Desarticulación entre lo programado y lo ejecutado.
2.Deficiencia en el canal de comunicación entre las necesidades de cada dependencia.
3. Deficiencia en el canal de comunicación sobre posibles  interrupciones en la producción y la distribución de los productos UAERMV a los frentes de obra.
4.Deficiencia en la articulación con las diferentes depedencias de la entidad que participan en las diferentes fases contractuales generando interrupciones en la cadena de abastecimiento, de insumos, bienes y servicios.
5. Disminución de la capacidad operativa para el proceso de intervención, afectando el cumplimiento de las metas de la Entidad e interrumpiendo actividades.</t>
  </si>
  <si>
    <t>1.Cambios en la priorización de la entidad de acuerdo al POT y PDD.
2.Atender solicitudes de otras entidades de manera oportuna afectando nuestra planeación.
3.Factores climáticos por declaratoria de desastre por crisis climática que impidan la intervención.
4.Factores de desabastecimiento de insumos o materias primas por factores externos como cierre de vias de  abastecimiento.
5. Atención de emergencias e imprevistos.</t>
  </si>
  <si>
    <t>1.Afectación en la planificación institucional tanto presupuestal como física por factores internos o externos que impactan al proyecto de inversión.</t>
  </si>
  <si>
    <r>
      <t xml:space="preserve">mensualmente la ejecución presupuestal y física de los contratos de insumos, bienes y servicios financiados por el proyecto de inversión 8055.
Como evidencia queda el </t>
    </r>
    <r>
      <rPr>
        <b/>
        <sz val="12"/>
        <rFont val="Arial"/>
        <family val="2"/>
      </rPr>
      <t>acta de Reunión de Seguimiento presupuestal a los contratos misionales.</t>
    </r>
    <r>
      <rPr>
        <sz val="12"/>
        <rFont val="Arial"/>
        <family val="2"/>
      </rPr>
      <t xml:space="preserve">
En caso de evidenciar desviaciones se escala a la instancia de coordinación - Comité de Planificación, Producción e Intervención de UAERMV.</t>
    </r>
  </si>
  <si>
    <t xml:space="preserve">Realizar el seguimiento pre-contractual, contractual y pos-contractual a los contratos de insumos, bienes y servicios financiados por el proyecto de inversión misional 8055  </t>
  </si>
  <si>
    <t xml:space="preserve">Actas de reunión del seguimiento </t>
  </si>
  <si>
    <t xml:space="preserve">por falta de calidad en las obras entregadas </t>
  </si>
  <si>
    <t>debido a posibles incumplimientos en las especificaciones técnicas dentro de la cadena de abastecimiento, producción e intervención.</t>
  </si>
  <si>
    <t xml:space="preserve">Verificar el cumplimiento de las actividades de monitoreo y  seguimiento </t>
  </si>
  <si>
    <t>1. Deficiencia en la calidad de las intervenciones realizadas por la entidad.</t>
  </si>
  <si>
    <t>1. No entregar intervenciones de calidad a la ciudadanía</t>
  </si>
  <si>
    <t>La calidad de las intervenciones no cumpla con los estandares requeridos</t>
  </si>
  <si>
    <t>El Gerente para el Desarrollo, la Calidad y la Innovación</t>
  </si>
  <si>
    <r>
      <t xml:space="preserve">mensualmente el cumplimiento de la calidad técnica de las intervenciones misionales, las especificaciones técnicas y los diseños establecidos, en cada una de las etapas de producción e intervención constructivas de las obras ejecutadas por la UAERMV, </t>
    </r>
    <r>
      <rPr>
        <b/>
        <sz val="12"/>
        <rFont val="Arial"/>
        <family val="2"/>
      </rPr>
      <t xml:space="preserve">como evidencia queda el acta de reunión del Comité de Planificación, Producción e Intervención de UAERMV. </t>
    </r>
    <r>
      <rPr>
        <sz val="12"/>
        <rFont val="Arial"/>
        <family val="2"/>
      </rPr>
      <t xml:space="preserve">
En caso de evidenciar desviaciones se escala a la instancia de coordinación - Comité de Planificación, Producción e Intervención de UAERMV.</t>
    </r>
  </si>
  <si>
    <t>Monitorear los resultados de la aplicación del procedimiento para la evaluación técnica a la calidad de las intervenciones misionales y socializar en el Comité de Planificación, Producción e Intervención de UAERMV.</t>
  </si>
  <si>
    <t xml:space="preserve">Gerente para el Desarrollo, la Calidad y la Innovación o el profesional designado </t>
  </si>
  <si>
    <t xml:space="preserve">Informe de monitoreo y seguimiento a la calidad técnica y presentación </t>
  </si>
  <si>
    <t>debido a que la información entregada asociada al cumplimiento de magnitud física y presupuestal del proyecto de inversión 8081 - Conservación de la red vial y red de cicloinfraestructura de Bogotá D.C.., no esta validada por falta de articulación entre dependencias.</t>
  </si>
  <si>
    <t>mensualmente en el comité de Planificación, Producción e Intervención de UAERMV, el cumplimiento de:
1 Priorizacion  alcanzada v/s priorización proyectada  (SPC)
2 Cumplimiento de la magintud de meta alcanzada v/s magnitud de meta programada (SII).
3 Cumplimiento de la ejecución presupuestal v/s programado (SPAL).
Dejando como evidencia dentro del acta:
1. Presentación de la priorización 
2. Presentación del avance de metas 
4. Presentación de ejecución presupuestal del mes.
Si se presentan desviaciones, estas son escaladas a la Dirección General.</t>
  </si>
  <si>
    <t>mensualmente la ejecución presupuestal y física de los contratos de insumos, bienes y servicios financiados por el proyecto de inversión 8081.
Como evidencia queda el acta de Reunión de Seguimiento presupuestal a los contratos misionales.
En caso de evidenciar desviaciones se escala a la instancia de coordinación - Comité de Planificación, Producción e Intervención de UAERMV.</t>
  </si>
  <si>
    <t>mensualmente el cumplimiento de la calidad técnica de las intervenciones misionales, las especificaciones técnicas y los diseños establecidos, en cada una de las etapas de producción e intervención constructivas de las obras ejecutadas por la UAERMV, como evidencia queda el acta de reunión del Comité de Planificación, Producción e Intervención de UAERMV. 
En caso de evidenciar desviaciones se escala a la instancia de coordinación - Comité de Planificación, Producción e Intervención de UAERMV.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</si>
</sst>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0.0%"/>
    <numFmt numFmtId="165" formatCode="_-&quot;$&quot;\ * #,##0_-;\-&quot;$&quot;\ * #,##0_-;_-&quot;$&quot;\ * &quot;-&quot;??_-;_-@_-"/>
    <numFmt numFmtId="166" formatCode="&quot;$&quot;\ #,##0.00"/>
    <numFmt numFmtId="167" formatCode="mm/dd/yyyy"/>
  </numFmts>
  <fonts count="112" x14ac:knownFonts="1">
    <font>
      <sz val="11"/>
      <color theme="1"/>
      <name val="Calibri"/>
      <family val="2"/>
      <scheme val="minor"/>
    </font>
    <font>
      <sz val="10"/>
      <color rgb="FF000000"/>
      <name val="Arial Narrow"/>
      <family val="2"/>
    </font>
    <font>
      <b/>
      <sz val="11"/>
      <color theme="1"/>
      <name val="Arial Narrow"/>
      <family val="2"/>
    </font>
    <font>
      <sz val="10"/>
      <color theme="1"/>
      <name val="Calibri"/>
      <family val="2"/>
      <scheme val="minor"/>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b/>
      <sz val="18"/>
      <color rgb="FF000000"/>
      <name val="Calibri"/>
      <family val="2"/>
    </font>
    <font>
      <b/>
      <sz val="18"/>
      <color theme="1"/>
      <name val="Arial Narrow"/>
      <family val="2"/>
    </font>
    <font>
      <b/>
      <sz val="22"/>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24"/>
      <name val="Arial"/>
      <family val="2"/>
    </font>
    <font>
      <b/>
      <sz val="24"/>
      <color rgb="FF000000"/>
      <name val="Arial Narrow"/>
      <family val="2"/>
    </font>
    <font>
      <sz val="26"/>
      <color rgb="FF000000"/>
      <name val="Arial Narrow"/>
      <family val="2"/>
    </font>
    <font>
      <sz val="26"/>
      <color rgb="FFFFFFFF"/>
      <name val="Arial Narrow"/>
      <family val="2"/>
    </font>
    <font>
      <b/>
      <sz val="24"/>
      <color rgb="FF000000"/>
      <name val="Calibri"/>
      <family val="2"/>
    </font>
    <font>
      <b/>
      <sz val="20"/>
      <color theme="1"/>
      <name val="Calibri"/>
      <family val="2"/>
      <scheme val="minor"/>
    </font>
    <font>
      <b/>
      <sz val="26"/>
      <color theme="1"/>
      <name val="Arial Narrow"/>
      <family val="2"/>
    </font>
    <font>
      <sz val="10"/>
      <name val="Arial"/>
      <family val="2"/>
    </font>
    <font>
      <sz val="12"/>
      <name val="Times New Roman"/>
      <family val="1"/>
    </font>
    <font>
      <sz val="18"/>
      <color theme="1"/>
      <name val="Calibri"/>
      <family val="2"/>
      <scheme val="minor"/>
    </font>
    <font>
      <sz val="11"/>
      <color rgb="FF002060"/>
      <name val="Calibri"/>
      <family val="2"/>
      <scheme val="minor"/>
    </font>
    <font>
      <sz val="16"/>
      <color rgb="FF002060"/>
      <name val="Arial Narrow"/>
      <family val="2"/>
    </font>
    <font>
      <b/>
      <sz val="11"/>
      <color rgb="FF002060"/>
      <name val="Arial Narrow"/>
      <family val="2"/>
    </font>
    <font>
      <sz val="14"/>
      <color theme="1"/>
      <name val="Arial"/>
      <family val="2"/>
    </font>
    <font>
      <sz val="20"/>
      <name val="Arial"/>
      <family val="2"/>
    </font>
    <font>
      <sz val="21"/>
      <color theme="1"/>
      <name val="Arial"/>
      <family val="2"/>
    </font>
    <font>
      <sz val="21"/>
      <name val="Arial"/>
      <family val="2"/>
    </font>
    <font>
      <b/>
      <sz val="20"/>
      <name val="Arial"/>
      <family val="2"/>
    </font>
    <font>
      <sz val="18"/>
      <color theme="1"/>
      <name val="Arial"/>
      <family val="2"/>
    </font>
    <font>
      <b/>
      <sz val="21"/>
      <color theme="1"/>
      <name val="Arial"/>
      <family val="2"/>
    </font>
    <font>
      <b/>
      <sz val="21"/>
      <name val="Arial"/>
      <family val="2"/>
    </font>
    <font>
      <sz val="21"/>
      <color rgb="FF7030A0"/>
      <name val="Arial"/>
      <family val="2"/>
    </font>
    <font>
      <b/>
      <sz val="21"/>
      <color rgb="FF7030A0"/>
      <name val="Arial"/>
      <family val="2"/>
    </font>
    <font>
      <sz val="21"/>
      <color rgb="FFFF0000"/>
      <name val="Arial"/>
      <family val="2"/>
    </font>
    <font>
      <sz val="22"/>
      <color theme="1"/>
      <name val="Arial"/>
      <family val="2"/>
    </font>
    <font>
      <b/>
      <sz val="22"/>
      <color theme="1"/>
      <name val="Arial"/>
      <family val="2"/>
    </font>
    <font>
      <b/>
      <sz val="22"/>
      <name val="Arial"/>
      <family val="2"/>
    </font>
    <font>
      <b/>
      <sz val="9"/>
      <color theme="1"/>
      <name val="Arial"/>
      <family val="2"/>
    </font>
    <font>
      <sz val="9"/>
      <color theme="1"/>
      <name val="Arial"/>
      <family val="2"/>
    </font>
    <font>
      <b/>
      <sz val="18"/>
      <color theme="1"/>
      <name val="Arial"/>
      <family val="2"/>
    </font>
    <font>
      <b/>
      <sz val="16"/>
      <name val="Arial"/>
      <family val="2"/>
    </font>
    <font>
      <sz val="12"/>
      <name val="Arial"/>
      <family val="2"/>
    </font>
    <font>
      <b/>
      <sz val="12"/>
      <name val="Arial"/>
      <family val="2"/>
    </font>
    <font>
      <sz val="26"/>
      <color theme="9" tint="-0.249977111117893"/>
      <name val="Arial Narrow"/>
      <family val="2"/>
    </font>
    <font>
      <b/>
      <sz val="11"/>
      <color theme="1"/>
      <name val="Calibri"/>
      <family val="2"/>
      <scheme val="minor"/>
    </font>
    <font>
      <b/>
      <sz val="11"/>
      <color rgb="FF000000"/>
      <name val="Calibri"/>
      <family val="2"/>
      <scheme val="minor"/>
    </font>
    <font>
      <sz val="16"/>
      <name val="Arial"/>
      <family val="2"/>
    </font>
    <font>
      <sz val="12"/>
      <color theme="1"/>
      <name val="Arial"/>
      <family val="2"/>
    </font>
    <font>
      <b/>
      <sz val="16"/>
      <color theme="5" tint="-0.249977111117893"/>
      <name val="Arial"/>
      <family val="2"/>
    </font>
    <font>
      <b/>
      <sz val="24"/>
      <color theme="1"/>
      <name val="Arial Narrow"/>
      <family val="2"/>
    </font>
    <font>
      <b/>
      <sz val="9"/>
      <color rgb="FF548DD4"/>
      <name val="Arial"/>
      <family val="2"/>
    </font>
    <font>
      <sz val="9"/>
      <color rgb="FF548DD4"/>
      <name val="Arial"/>
      <family val="2"/>
    </font>
    <font>
      <b/>
      <sz val="9"/>
      <name val="Arial"/>
      <family val="2"/>
    </font>
    <font>
      <sz val="9"/>
      <name val="Arial"/>
      <family val="2"/>
    </font>
    <font>
      <sz val="8"/>
      <color theme="1"/>
      <name val="Calibri"/>
      <family val="2"/>
      <scheme val="minor"/>
    </font>
    <font>
      <sz val="14"/>
      <color rgb="FF000000"/>
      <name val="Arial Narrow"/>
      <family val="2"/>
    </font>
    <font>
      <sz val="14"/>
      <color rgb="FFFFFFFF"/>
      <name val="Arial Narrow"/>
      <family val="2"/>
    </font>
    <font>
      <sz val="11"/>
      <color rgb="FF030303"/>
      <name val="Calibri"/>
      <family val="2"/>
      <scheme val="minor"/>
    </font>
    <font>
      <b/>
      <sz val="10"/>
      <color rgb="FF000000"/>
      <name val="Calibri"/>
      <family val="2"/>
      <scheme val="minor"/>
    </font>
    <font>
      <sz val="10"/>
      <color rgb="FF000000"/>
      <name val="Calibri"/>
      <family val="2"/>
      <scheme val="minor"/>
    </font>
    <font>
      <sz val="11"/>
      <color rgb="FF000000"/>
      <name val="Calibri"/>
      <family val="2"/>
      <scheme val="minor"/>
    </font>
    <font>
      <b/>
      <sz val="10"/>
      <color theme="1"/>
      <name val="Arial Narrow"/>
      <family val="2"/>
    </font>
    <font>
      <b/>
      <sz val="10"/>
      <color rgb="FF000000"/>
      <name val="Arial Narrow"/>
      <family val="2"/>
    </font>
    <font>
      <sz val="10"/>
      <color rgb="FFFFFFFF"/>
      <name val="Arial Narrow"/>
      <family val="2"/>
    </font>
    <font>
      <sz val="11"/>
      <color rgb="FF000000"/>
      <name val="Calibri"/>
      <family val="2"/>
      <charset val="1"/>
    </font>
    <font>
      <sz val="16"/>
      <name val="Arial"/>
      <family val="2"/>
      <charset val="1"/>
    </font>
    <font>
      <b/>
      <sz val="16"/>
      <name val="Arial"/>
      <family val="2"/>
      <charset val="1"/>
    </font>
    <font>
      <b/>
      <sz val="16"/>
      <color rgb="FF953735"/>
      <name val="Arial"/>
      <family val="2"/>
      <charset val="1"/>
    </font>
    <font>
      <sz val="12"/>
      <name val="Arial"/>
      <family val="2"/>
      <charset val="1"/>
    </font>
    <font>
      <b/>
      <sz val="12"/>
      <name val="Arial"/>
      <family val="2"/>
      <charset val="1"/>
    </font>
    <font>
      <sz val="13"/>
      <name val="Arial"/>
      <family val="2"/>
      <charset val="1"/>
    </font>
    <font>
      <sz val="12"/>
      <color rgb="FF000000"/>
      <name val="Arial"/>
      <family val="2"/>
      <charset val="1"/>
    </font>
    <font>
      <sz val="13"/>
      <color rgb="FF000000"/>
      <name val="Calibri"/>
      <family val="2"/>
      <charset val="1"/>
    </font>
    <font>
      <sz val="11"/>
      <name val="Arial"/>
      <family val="2"/>
      <charset val="1"/>
    </font>
    <font>
      <sz val="8"/>
      <name val="Arial"/>
      <family val="2"/>
      <charset val="1"/>
    </font>
    <font>
      <b/>
      <sz val="8"/>
      <name val="Arial"/>
      <family val="2"/>
      <charset val="1"/>
    </font>
    <font>
      <sz val="12"/>
      <color theme="0" tint="-0.34998626667073579"/>
      <name val="Arial"/>
      <family val="2"/>
      <charset val="1"/>
    </font>
    <font>
      <sz val="12"/>
      <color rgb="FF7030A0"/>
      <name val="Arial"/>
      <family val="2"/>
    </font>
    <font>
      <b/>
      <sz val="12"/>
      <color theme="8" tint="-0.499984740745262"/>
      <name val="Arial"/>
      <family val="2"/>
    </font>
    <font>
      <sz val="12"/>
      <color theme="8" tint="-0.499984740745262"/>
      <name val="Arial"/>
      <family val="2"/>
    </font>
    <font>
      <b/>
      <sz val="12"/>
      <color rgb="FFFFFFFF"/>
      <name val="Arial"/>
      <family val="2"/>
    </font>
    <font>
      <sz val="10"/>
      <color theme="1"/>
      <name val="Tahoma"/>
      <family val="2"/>
    </font>
    <font>
      <b/>
      <sz val="14"/>
      <color rgb="FF000000"/>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2"/>
      <name val="Arial Narrow"/>
      <family val="2"/>
    </font>
    <font>
      <sz val="12"/>
      <color theme="1"/>
      <name val="Arial Narrow"/>
      <family val="2"/>
    </font>
    <font>
      <b/>
      <sz val="9"/>
      <color theme="1"/>
      <name val="Arial Narrow"/>
      <family val="2"/>
    </font>
    <font>
      <sz val="12"/>
      <color rgb="FFFF0000"/>
      <name val="Arial"/>
      <family val="2"/>
    </font>
    <font>
      <b/>
      <sz val="9"/>
      <color indexed="81"/>
      <name val="Tahoma"/>
      <family val="2"/>
    </font>
    <font>
      <sz val="9"/>
      <color indexed="81"/>
      <name val="Tahoma"/>
      <family val="2"/>
    </font>
    <font>
      <sz val="12"/>
      <color rgb="FF002060"/>
      <name val="Arial"/>
      <family val="2"/>
    </font>
    <font>
      <sz val="12"/>
      <color rgb="FF000000"/>
      <name val="Arial"/>
      <family val="2"/>
    </font>
    <font>
      <b/>
      <sz val="12"/>
      <color theme="1"/>
      <name val="Arial"/>
      <family val="2"/>
    </font>
    <font>
      <sz val="12"/>
      <color rgb="FF0070C0"/>
      <name val="Arial"/>
      <family val="2"/>
    </font>
    <font>
      <sz val="12"/>
      <color indexed="81"/>
      <name val="Tahoma"/>
      <family val="2"/>
    </font>
  </fonts>
  <fills count="41">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AEEF3"/>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rgb="FFFFFFFF"/>
        <bgColor rgb="FFF2F2F2"/>
      </patternFill>
    </fill>
    <fill>
      <patternFill patternType="solid">
        <fgColor rgb="FFD9D9D9"/>
        <bgColor rgb="FFDDD9C3"/>
      </patternFill>
    </fill>
    <fill>
      <patternFill patternType="solid">
        <fgColor rgb="FFB9CDE5"/>
        <bgColor rgb="FFB7DEE8"/>
      </patternFill>
    </fill>
    <fill>
      <patternFill patternType="solid">
        <fgColor rgb="FFBFBFBF"/>
        <bgColor rgb="FFCCC1DA"/>
      </patternFill>
    </fill>
    <fill>
      <patternFill patternType="solid">
        <fgColor rgb="FFB7DEE8"/>
        <bgColor rgb="FFB9CDE5"/>
      </patternFill>
    </fill>
    <fill>
      <patternFill patternType="solid">
        <fgColor rgb="FFFCD5B5"/>
        <bgColor rgb="FFFFC7CE"/>
      </patternFill>
    </fill>
    <fill>
      <patternFill patternType="solid">
        <fgColor rgb="FFC3D69B"/>
        <bgColor rgb="FFD7E4BD"/>
      </patternFill>
    </fill>
    <fill>
      <patternFill patternType="solid">
        <fgColor theme="4" tint="0.79998168889431442"/>
        <bgColor theme="4" tint="0.79998168889431442"/>
      </patternFill>
    </fill>
    <fill>
      <patternFill patternType="solid">
        <fgColor theme="3" tint="-0.249977111117893"/>
        <bgColor indexed="64"/>
      </patternFill>
    </fill>
    <fill>
      <patternFill patternType="solid">
        <fgColor theme="9" tint="0.79998168889431442"/>
        <bgColor indexed="64"/>
      </patternFill>
    </fill>
  </fills>
  <borders count="92">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top/>
      <bottom style="dashed">
        <color theme="9" tint="-0.2499465926084170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theme="6" tint="-0.499984740745262"/>
      </left>
      <right style="hair">
        <color theme="6" tint="-0.499984740745262"/>
      </right>
      <top style="hair">
        <color theme="6" tint="-0.499984740745262"/>
      </top>
      <bottom/>
      <diagonal/>
    </border>
    <border>
      <left style="hair">
        <color theme="6" tint="-0.499984740745262"/>
      </left>
      <right style="hair">
        <color theme="6" tint="-0.499984740745262"/>
      </right>
      <top/>
      <bottom style="hair">
        <color theme="6" tint="-0.499984740745262"/>
      </bottom>
      <diagonal/>
    </border>
    <border>
      <left/>
      <right style="hair">
        <color theme="6" tint="-0.499984740745262"/>
      </right>
      <top/>
      <bottom/>
      <diagonal/>
    </border>
    <border>
      <left style="medium">
        <color theme="6" tint="-0.499984740745262"/>
      </left>
      <right style="hair">
        <color theme="6" tint="-0.499984740745262"/>
      </right>
      <top style="medium">
        <color theme="6" tint="-0.499984740745262"/>
      </top>
      <bottom style="hair">
        <color theme="6" tint="-0.499984740745262"/>
      </bottom>
      <diagonal/>
    </border>
    <border>
      <left style="hair">
        <color theme="6" tint="-0.499984740745262"/>
      </left>
      <right style="hair">
        <color theme="6" tint="-0.499984740745262"/>
      </right>
      <top style="medium">
        <color theme="6" tint="-0.499984740745262"/>
      </top>
      <bottom style="hair">
        <color theme="6" tint="-0.499984740745262"/>
      </bottom>
      <diagonal/>
    </border>
    <border>
      <left style="medium">
        <color theme="6" tint="-0.499984740745262"/>
      </left>
      <right style="hair">
        <color theme="6" tint="-0.499984740745262"/>
      </right>
      <top style="hair">
        <color theme="6" tint="-0.499984740745262"/>
      </top>
      <bottom style="hair">
        <color theme="6" tint="-0.499984740745262"/>
      </bottom>
      <diagonal/>
    </border>
    <border>
      <left style="medium">
        <color theme="6" tint="-0.499984740745262"/>
      </left>
      <right style="hair">
        <color theme="6" tint="-0.499984740745262"/>
      </right>
      <top style="hair">
        <color theme="6" tint="-0.499984740745262"/>
      </top>
      <bottom style="medium">
        <color theme="6" tint="-0.499984740745262"/>
      </bottom>
      <diagonal/>
    </border>
    <border>
      <left style="hair">
        <color theme="6" tint="-0.499984740745262"/>
      </left>
      <right style="hair">
        <color theme="6" tint="-0.499984740745262"/>
      </right>
      <top style="hair">
        <color theme="6" tint="-0.499984740745262"/>
      </top>
      <bottom style="medium">
        <color theme="6" tint="-0.499984740745262"/>
      </bottom>
      <diagonal/>
    </border>
    <border>
      <left style="hair">
        <color theme="6" tint="-0.499984740745262"/>
      </left>
      <right style="hair">
        <color theme="6" tint="-0.499984740745262"/>
      </right>
      <top/>
      <bottom/>
      <diagonal/>
    </border>
    <border>
      <left style="hair">
        <color theme="6" tint="-0.499984740745262"/>
      </left>
      <right/>
      <top/>
      <bottom style="hair">
        <color theme="6" tint="-0.499984740745262"/>
      </bottom>
      <diagonal/>
    </border>
    <border>
      <left/>
      <right/>
      <top/>
      <bottom style="hair">
        <color theme="6" tint="-0.499984740745262"/>
      </bottom>
      <diagonal/>
    </border>
    <border>
      <left/>
      <right style="hair">
        <color theme="6" tint="-0.499984740745262"/>
      </right>
      <top/>
      <bottom style="hair">
        <color theme="6" tint="-0.499984740745262"/>
      </bottom>
      <diagonal/>
    </border>
    <border>
      <left style="hair">
        <color theme="6" tint="-0.499984740745262"/>
      </left>
      <right/>
      <top/>
      <bottom/>
      <diagonal/>
    </border>
    <border>
      <left style="hair">
        <color theme="6" tint="-0.499984740745262"/>
      </left>
      <right/>
      <top style="medium">
        <color theme="6" tint="-0.499984740745262"/>
      </top>
      <bottom style="hair">
        <color theme="6" tint="-0.499984740745262"/>
      </bottom>
      <diagonal/>
    </border>
    <border>
      <left style="hair">
        <color theme="6" tint="-0.499984740745262"/>
      </left>
      <right/>
      <top style="hair">
        <color theme="6" tint="-0.499984740745262"/>
      </top>
      <bottom style="medium">
        <color theme="6" tint="-0.499984740745262"/>
      </bottom>
      <diagonal/>
    </border>
    <border>
      <left style="hair">
        <color theme="6" tint="-0.499984740745262"/>
      </left>
      <right/>
      <top style="hair">
        <color theme="6" tint="-0.499984740745262"/>
      </top>
      <bottom style="hair">
        <color theme="6" tint="-0.499984740745262"/>
      </bottom>
      <diagonal/>
    </border>
    <border>
      <left style="thin">
        <color rgb="FF000000"/>
      </left>
      <right style="thin">
        <color rgb="FF000000"/>
      </right>
      <top style="thin">
        <color rgb="FF000000"/>
      </top>
      <bottom style="medium">
        <color rgb="FF92CDDC"/>
      </bottom>
      <diagonal/>
    </border>
    <border>
      <left style="medium">
        <color rgb="FF4F6228"/>
      </left>
      <right/>
      <top style="medium">
        <color rgb="FF4F6228"/>
      </top>
      <bottom style="medium">
        <color rgb="FF4F6228"/>
      </bottom>
      <diagonal/>
    </border>
    <border>
      <left style="medium">
        <color auto="1"/>
      </left>
      <right style="medium">
        <color auto="1"/>
      </right>
      <top style="medium">
        <color auto="1"/>
      </top>
      <bottom style="hair">
        <color rgb="FF4F6228"/>
      </bottom>
      <diagonal/>
    </border>
    <border>
      <left style="medium">
        <color auto="1"/>
      </left>
      <right style="medium">
        <color auto="1"/>
      </right>
      <top style="hair">
        <color rgb="FF4F6228"/>
      </top>
      <bottom style="hair">
        <color rgb="FF4F6228"/>
      </bottom>
      <diagonal/>
    </border>
    <border>
      <left style="medium">
        <color auto="1"/>
      </left>
      <right style="medium">
        <color auto="1"/>
      </right>
      <top style="hair">
        <color rgb="FF4F6228"/>
      </top>
      <bottom style="medium">
        <color auto="1"/>
      </bottom>
      <diagonal/>
    </border>
    <border>
      <left style="hair">
        <color rgb="FF4F6228"/>
      </left>
      <right/>
      <top/>
      <bottom style="hair">
        <color rgb="FF4F6228"/>
      </bottom>
      <diagonal/>
    </border>
    <border>
      <left/>
      <right/>
      <top/>
      <bottom style="hair">
        <color rgb="FF4F6228"/>
      </bottom>
      <diagonal/>
    </border>
    <border>
      <left style="hair">
        <color rgb="FF4F6228"/>
      </left>
      <right style="hair">
        <color rgb="FF4F6228"/>
      </right>
      <top/>
      <bottom style="hair">
        <color rgb="FF4F6228"/>
      </bottom>
      <diagonal/>
    </border>
    <border>
      <left/>
      <right style="hair">
        <color rgb="FF4F6228"/>
      </right>
      <top/>
      <bottom style="hair">
        <color rgb="FF4F6228"/>
      </bottom>
      <diagonal/>
    </border>
    <border>
      <left style="hair">
        <color rgb="FF4F6228"/>
      </left>
      <right style="hair">
        <color rgb="FF4F6228"/>
      </right>
      <top style="hair">
        <color rgb="FF4F6228"/>
      </top>
      <bottom style="hair">
        <color rgb="FF4F6228"/>
      </bottom>
      <diagonal/>
    </border>
    <border>
      <left style="dashed">
        <color rgb="FFE46C0A"/>
      </left>
      <right style="dashed">
        <color rgb="FFE46C0A"/>
      </right>
      <top/>
      <bottom style="dashed">
        <color rgb="FFE46C0A"/>
      </bottom>
      <diagonal/>
    </border>
    <border>
      <left style="dashed">
        <color rgb="FFE46C0A"/>
      </left>
      <right/>
      <top/>
      <bottom style="dashed">
        <color rgb="FFE46C0A"/>
      </bottom>
      <diagonal/>
    </border>
    <border>
      <left/>
      <right style="hair">
        <color theme="6" tint="-0.499984740745262"/>
      </right>
      <top style="medium">
        <color theme="6" tint="-0.499984740745262"/>
      </top>
      <bottom style="hair">
        <color theme="6" tint="-0.499984740745262"/>
      </bottom>
      <diagonal/>
    </border>
    <border>
      <left/>
      <right style="hair">
        <color theme="6" tint="-0.499984740745262"/>
      </right>
      <top style="hair">
        <color theme="6" tint="-0.499984740745262"/>
      </top>
      <bottom style="hair">
        <color theme="6" tint="-0.499984740745262"/>
      </bottom>
      <diagonal/>
    </border>
    <border>
      <left/>
      <right style="hair">
        <color theme="6" tint="-0.499984740745262"/>
      </right>
      <top style="hair">
        <color theme="6" tint="-0.499984740745262"/>
      </top>
      <bottom style="medium">
        <color theme="6" tint="-0.499984740745262"/>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rgb="FF4F6228"/>
      </right>
      <top style="hair">
        <color rgb="FF4F6228"/>
      </top>
      <bottom style="hair">
        <color rgb="FF4F6228"/>
      </bottom>
      <diagonal/>
    </border>
    <border>
      <left style="hair">
        <color rgb="FF4F6228"/>
      </left>
      <right style="hair">
        <color rgb="FF4F6228"/>
      </right>
      <top style="hair">
        <color theme="6" tint="-0.499984740745262"/>
      </top>
      <bottom/>
      <diagonal/>
    </border>
    <border>
      <left style="hair">
        <color rgb="FF4F6228"/>
      </left>
      <right style="hair">
        <color rgb="FF4F6228"/>
      </right>
      <top/>
      <bottom/>
      <diagonal/>
    </border>
    <border>
      <left style="hair">
        <color theme="6" tint="-0.499984740745262"/>
      </left>
      <right style="hair">
        <color theme="6" tint="-0.499984740745262"/>
      </right>
      <top style="hair">
        <color rgb="FF4F6228"/>
      </top>
      <bottom/>
      <diagonal/>
    </border>
    <border>
      <left style="hair">
        <color rgb="FF4F6228"/>
      </left>
      <right style="hair">
        <color rgb="FF4F6228"/>
      </right>
      <top style="hair">
        <color rgb="FF4F6228"/>
      </top>
      <bottom/>
      <diagonal/>
    </border>
    <border>
      <left style="hair">
        <color rgb="FF4F6228"/>
      </left>
      <right style="hair">
        <color rgb="FF4F6228"/>
      </right>
      <top/>
      <bottom style="hair">
        <color theme="6" tint="-0.499984740745262"/>
      </bottom>
      <diagonal/>
    </border>
    <border>
      <left style="hair">
        <color auto="1"/>
      </left>
      <right style="hair">
        <color auto="1"/>
      </right>
      <top style="hair">
        <color auto="1"/>
      </top>
      <bottom style="hair">
        <color auto="1"/>
      </bottom>
      <diagonal/>
    </border>
    <border>
      <left style="hair">
        <color rgb="FF4F6228"/>
      </left>
      <right/>
      <top style="hair">
        <color rgb="FF4F6228"/>
      </top>
      <bottom style="hair">
        <color rgb="FF4F6228"/>
      </bottom>
      <diagonal/>
    </border>
  </borders>
  <cellStyleXfs count="9">
    <xf numFmtId="0" fontId="0" fillId="0" borderId="0"/>
    <xf numFmtId="9" fontId="10" fillId="0" borderId="0" applyFont="0" applyFill="0" applyBorder="0" applyAlignment="0" applyProtection="0"/>
    <xf numFmtId="0" fontId="31" fillId="0" borderId="0"/>
    <xf numFmtId="0" fontId="32" fillId="0" borderId="0"/>
    <xf numFmtId="0" fontId="3" fillId="0" borderId="0"/>
    <xf numFmtId="44" fontId="10" fillId="0" borderId="0" applyFont="0" applyFill="0" applyBorder="0" applyAlignment="0" applyProtection="0"/>
    <xf numFmtId="44" fontId="10" fillId="0" borderId="0" applyFont="0" applyFill="0" applyBorder="0" applyAlignment="0" applyProtection="0"/>
    <xf numFmtId="0" fontId="78" fillId="0" borderId="0"/>
    <xf numFmtId="9" fontId="78" fillId="0" borderId="0" applyBorder="0" applyProtection="0"/>
  </cellStyleXfs>
  <cellXfs count="736">
    <xf numFmtId="0" fontId="0" fillId="0" borderId="0" xfId="0"/>
    <xf numFmtId="0" fontId="3" fillId="0" borderId="0" xfId="0" applyFont="1"/>
    <xf numFmtId="0" fontId="1" fillId="0" borderId="1" xfId="0" applyFont="1" applyBorder="1" applyAlignment="1">
      <alignment horizontal="left" vertical="center" wrapText="1" indent="1" readingOrder="1"/>
    </xf>
    <xf numFmtId="0" fontId="4" fillId="0" borderId="0" xfId="0" applyFont="1" applyAlignment="1">
      <alignment horizontal="center" vertical="center" wrapText="1"/>
    </xf>
    <xf numFmtId="0" fontId="5" fillId="6" borderId="0" xfId="0" applyFont="1" applyFill="1" applyAlignment="1">
      <alignment horizontal="center" vertical="center" wrapText="1" readingOrder="1"/>
    </xf>
    <xf numFmtId="0" fontId="6" fillId="5" borderId="4" xfId="0" applyFont="1" applyFill="1" applyBorder="1" applyAlignment="1">
      <alignment horizontal="center" vertical="center" wrapText="1" readingOrder="1"/>
    </xf>
    <xf numFmtId="0" fontId="6" fillId="0" borderId="4" xfId="0" applyFont="1" applyBorder="1" applyAlignment="1">
      <alignment horizontal="justify" vertical="center" wrapText="1" readingOrder="1"/>
    </xf>
    <xf numFmtId="9" fontId="6" fillId="0" borderId="4" xfId="0" applyNumberFormat="1" applyFont="1" applyBorder="1" applyAlignment="1">
      <alignment horizontal="center" vertical="center" wrapText="1" readingOrder="1"/>
    </xf>
    <xf numFmtId="0" fontId="6" fillId="7" borderId="1" xfId="0" applyFont="1" applyFill="1" applyBorder="1" applyAlignment="1">
      <alignment horizontal="center" vertical="center" wrapText="1" readingOrder="1"/>
    </xf>
    <xf numFmtId="0" fontId="6" fillId="0" borderId="1" xfId="0" applyFont="1" applyBorder="1" applyAlignment="1">
      <alignment horizontal="justify" vertical="center" wrapText="1" readingOrder="1"/>
    </xf>
    <xf numFmtId="9" fontId="6" fillId="0" borderId="1" xfId="0" applyNumberFormat="1" applyFont="1" applyBorder="1" applyAlignment="1">
      <alignment horizontal="center" vertical="center" wrapText="1" readingOrder="1"/>
    </xf>
    <xf numFmtId="0" fontId="6" fillId="4" borderId="1" xfId="0" applyFont="1" applyFill="1" applyBorder="1" applyAlignment="1">
      <alignment horizontal="center" vertical="center" wrapText="1" readingOrder="1"/>
    </xf>
    <xf numFmtId="0" fontId="6" fillId="8" borderId="1" xfId="0" applyFont="1" applyFill="1" applyBorder="1" applyAlignment="1">
      <alignment horizontal="center" vertical="center" wrapText="1" readingOrder="1"/>
    </xf>
    <xf numFmtId="0" fontId="7" fillId="9" borderId="1" xfId="0" applyFont="1" applyFill="1" applyBorder="1" applyAlignment="1">
      <alignment horizontal="center" vertical="center" wrapText="1" readingOrder="1"/>
    </xf>
    <xf numFmtId="0" fontId="11" fillId="0" borderId="0" xfId="0" applyFont="1"/>
    <xf numFmtId="0" fontId="9" fillId="0" borderId="0" xfId="0" applyFont="1"/>
    <xf numFmtId="0" fontId="22" fillId="0" borderId="0" xfId="0" applyFont="1" applyAlignment="1">
      <alignment vertical="center"/>
    </xf>
    <xf numFmtId="0" fontId="23" fillId="0" borderId="0" xfId="0" applyFont="1"/>
    <xf numFmtId="0" fontId="21" fillId="0" borderId="0" xfId="0" applyFont="1"/>
    <xf numFmtId="0" fontId="0" fillId="0" borderId="0" xfId="0" pivotButton="1"/>
    <xf numFmtId="0" fontId="8" fillId="0" borderId="0" xfId="0" applyFont="1" applyAlignment="1">
      <alignment horizontal="justify" vertical="center" wrapText="1" readingOrder="1"/>
    </xf>
    <xf numFmtId="0" fontId="25" fillId="6" borderId="0" xfId="0" applyFont="1" applyFill="1" applyAlignment="1">
      <alignment horizontal="center" vertical="center" wrapText="1" readingOrder="1"/>
    </xf>
    <xf numFmtId="0" fontId="26" fillId="5" borderId="4" xfId="0" applyFont="1" applyFill="1" applyBorder="1" applyAlignment="1">
      <alignment horizontal="center" vertical="center" wrapText="1" readingOrder="1"/>
    </xf>
    <xf numFmtId="0" fontId="26" fillId="7" borderId="1" xfId="0" applyFont="1" applyFill="1" applyBorder="1" applyAlignment="1">
      <alignment horizontal="center" vertical="center" wrapText="1" readingOrder="1"/>
    </xf>
    <xf numFmtId="0" fontId="26" fillId="4" borderId="1" xfId="0" applyFont="1" applyFill="1" applyBorder="1" applyAlignment="1">
      <alignment horizontal="center" vertical="center" wrapText="1" readingOrder="1"/>
    </xf>
    <xf numFmtId="0" fontId="26" fillId="8" borderId="1" xfId="0" applyFont="1" applyFill="1" applyBorder="1" applyAlignment="1">
      <alignment horizontal="center" vertical="center" wrapText="1" readingOrder="1"/>
    </xf>
    <xf numFmtId="0" fontId="27" fillId="9" borderId="1" xfId="0" applyFont="1" applyFill="1" applyBorder="1" applyAlignment="1">
      <alignment horizontal="center" vertical="center" wrapText="1" readingOrder="1"/>
    </xf>
    <xf numFmtId="0" fontId="26" fillId="0" borderId="4" xfId="0" applyFont="1" applyBorder="1" applyAlignment="1">
      <alignment horizontal="center" vertical="center" wrapText="1" readingOrder="1"/>
    </xf>
    <xf numFmtId="0" fontId="26" fillId="0" borderId="1" xfId="0" applyFont="1" applyBorder="1" applyAlignment="1">
      <alignment horizontal="center" vertical="center" wrapText="1" readingOrder="1"/>
    </xf>
    <xf numFmtId="0" fontId="15" fillId="11" borderId="5" xfId="0" applyFont="1" applyFill="1" applyBorder="1" applyAlignment="1" applyProtection="1">
      <alignment horizontal="center" vertical="center" wrapText="1" readingOrder="1"/>
      <protection hidden="1"/>
    </xf>
    <xf numFmtId="0" fontId="15" fillId="11" borderId="12" xfId="0" applyFont="1" applyFill="1" applyBorder="1" applyAlignment="1" applyProtection="1">
      <alignment horizontal="center" vertical="center" wrapText="1" readingOrder="1"/>
      <protection hidden="1"/>
    </xf>
    <xf numFmtId="0" fontId="15" fillId="11" borderId="6" xfId="0" applyFont="1" applyFill="1" applyBorder="1" applyAlignment="1" applyProtection="1">
      <alignment horizontal="center" vertical="center" wrapText="1" readingOrder="1"/>
      <protection hidden="1"/>
    </xf>
    <xf numFmtId="0" fontId="15" fillId="12" borderId="5" xfId="0" applyFont="1" applyFill="1" applyBorder="1" applyAlignment="1" applyProtection="1">
      <alignment horizontal="center" wrapText="1" readingOrder="1"/>
      <protection hidden="1"/>
    </xf>
    <xf numFmtId="0" fontId="15" fillId="12" borderId="12" xfId="0" applyFont="1" applyFill="1" applyBorder="1" applyAlignment="1" applyProtection="1">
      <alignment horizontal="center" wrapText="1" readingOrder="1"/>
      <protection hidden="1"/>
    </xf>
    <xf numFmtId="0" fontId="15" fillId="12" borderId="6" xfId="0" applyFont="1" applyFill="1" applyBorder="1" applyAlignment="1" applyProtection="1">
      <alignment horizontal="center" wrapText="1" readingOrder="1"/>
      <protection hidden="1"/>
    </xf>
    <xf numFmtId="0" fontId="15" fillId="11" borderId="7" xfId="0" applyFont="1" applyFill="1" applyBorder="1" applyAlignment="1" applyProtection="1">
      <alignment horizontal="center" vertical="center" wrapText="1" readingOrder="1"/>
      <protection hidden="1"/>
    </xf>
    <xf numFmtId="0" fontId="15" fillId="11" borderId="0" xfId="0" applyFont="1" applyFill="1" applyAlignment="1" applyProtection="1">
      <alignment horizontal="center" vertical="center" wrapText="1" readingOrder="1"/>
      <protection hidden="1"/>
    </xf>
    <xf numFmtId="0" fontId="15" fillId="11" borderId="8" xfId="0" applyFont="1" applyFill="1" applyBorder="1" applyAlignment="1" applyProtection="1">
      <alignment horizontal="center" vertical="center" wrapText="1" readingOrder="1"/>
      <protection hidden="1"/>
    </xf>
    <xf numFmtId="0" fontId="15" fillId="12" borderId="7" xfId="0" applyFont="1" applyFill="1" applyBorder="1" applyAlignment="1" applyProtection="1">
      <alignment horizontal="center" wrapText="1" readingOrder="1"/>
      <protection hidden="1"/>
    </xf>
    <xf numFmtId="0" fontId="15" fillId="12" borderId="0" xfId="0" applyFont="1" applyFill="1" applyAlignment="1" applyProtection="1">
      <alignment horizontal="center" wrapText="1" readingOrder="1"/>
      <protection hidden="1"/>
    </xf>
    <xf numFmtId="0" fontId="15" fillId="12" borderId="8" xfId="0" applyFont="1" applyFill="1" applyBorder="1" applyAlignment="1" applyProtection="1">
      <alignment horizontal="center" wrapText="1" readingOrder="1"/>
      <protection hidden="1"/>
    </xf>
    <xf numFmtId="0" fontId="15" fillId="11" borderId="9" xfId="0" applyFont="1" applyFill="1" applyBorder="1" applyAlignment="1" applyProtection="1">
      <alignment horizontal="center" vertical="center" wrapText="1" readingOrder="1"/>
      <protection hidden="1"/>
    </xf>
    <xf numFmtId="0" fontId="15" fillId="11" borderId="11" xfId="0" applyFont="1" applyFill="1" applyBorder="1" applyAlignment="1" applyProtection="1">
      <alignment horizontal="center" vertical="center" wrapText="1" readingOrder="1"/>
      <protection hidden="1"/>
    </xf>
    <xf numFmtId="0" fontId="15" fillId="11" borderId="10" xfId="0" applyFont="1" applyFill="1" applyBorder="1" applyAlignment="1" applyProtection="1">
      <alignment horizontal="center" vertical="center" wrapText="1" readingOrder="1"/>
      <protection hidden="1"/>
    </xf>
    <xf numFmtId="0" fontId="15" fillId="12" borderId="9" xfId="0" applyFont="1" applyFill="1" applyBorder="1" applyAlignment="1" applyProtection="1">
      <alignment horizontal="center" wrapText="1" readingOrder="1"/>
      <protection hidden="1"/>
    </xf>
    <xf numFmtId="0" fontId="15" fillId="12" borderId="11" xfId="0" applyFont="1" applyFill="1" applyBorder="1" applyAlignment="1" applyProtection="1">
      <alignment horizontal="center" wrapText="1" readingOrder="1"/>
      <protection hidden="1"/>
    </xf>
    <xf numFmtId="0" fontId="15" fillId="12" borderId="10" xfId="0" applyFont="1" applyFill="1" applyBorder="1" applyAlignment="1" applyProtection="1">
      <alignment horizontal="center" wrapText="1" readingOrder="1"/>
      <protection hidden="1"/>
    </xf>
    <xf numFmtId="0" fontId="15" fillId="13" borderId="5" xfId="0" applyFont="1" applyFill="1" applyBorder="1" applyAlignment="1" applyProtection="1">
      <alignment horizontal="center" wrapText="1" readingOrder="1"/>
      <protection hidden="1"/>
    </xf>
    <xf numFmtId="0" fontId="15" fillId="13" borderId="12" xfId="0" applyFont="1" applyFill="1" applyBorder="1" applyAlignment="1" applyProtection="1">
      <alignment horizontal="center" wrapText="1" readingOrder="1"/>
      <protection hidden="1"/>
    </xf>
    <xf numFmtId="0" fontId="15" fillId="13" borderId="6" xfId="0" applyFont="1" applyFill="1" applyBorder="1" applyAlignment="1" applyProtection="1">
      <alignment horizontal="center" wrapText="1" readingOrder="1"/>
      <protection hidden="1"/>
    </xf>
    <xf numFmtId="0" fontId="15" fillId="13" borderId="7" xfId="0" applyFont="1" applyFill="1" applyBorder="1" applyAlignment="1" applyProtection="1">
      <alignment horizontal="center" wrapText="1" readingOrder="1"/>
      <protection hidden="1"/>
    </xf>
    <xf numFmtId="0" fontId="15" fillId="13" borderId="0" xfId="0" applyFont="1" applyFill="1" applyAlignment="1" applyProtection="1">
      <alignment horizontal="center" wrapText="1" readingOrder="1"/>
      <protection hidden="1"/>
    </xf>
    <xf numFmtId="0" fontId="15" fillId="13" borderId="8" xfId="0" applyFont="1" applyFill="1" applyBorder="1" applyAlignment="1" applyProtection="1">
      <alignment horizontal="center" wrapText="1" readingOrder="1"/>
      <protection hidden="1"/>
    </xf>
    <xf numFmtId="0" fontId="15" fillId="13" borderId="9" xfId="0" applyFont="1" applyFill="1" applyBorder="1" applyAlignment="1" applyProtection="1">
      <alignment horizontal="center" wrapText="1" readingOrder="1"/>
      <protection hidden="1"/>
    </xf>
    <xf numFmtId="0" fontId="15" fillId="13" borderId="11" xfId="0" applyFont="1" applyFill="1" applyBorder="1" applyAlignment="1" applyProtection="1">
      <alignment horizontal="center" wrapText="1" readingOrder="1"/>
      <protection hidden="1"/>
    </xf>
    <xf numFmtId="0" fontId="15" fillId="13" borderId="10" xfId="0" applyFont="1" applyFill="1" applyBorder="1" applyAlignment="1" applyProtection="1">
      <alignment horizontal="center" wrapText="1" readingOrder="1"/>
      <protection hidden="1"/>
    </xf>
    <xf numFmtId="0" fontId="15" fillId="5" borderId="5" xfId="0" applyFont="1" applyFill="1" applyBorder="1" applyAlignment="1" applyProtection="1">
      <alignment horizontal="center" wrapText="1" readingOrder="1"/>
      <protection hidden="1"/>
    </xf>
    <xf numFmtId="0" fontId="15" fillId="5" borderId="12" xfId="0" applyFont="1" applyFill="1" applyBorder="1" applyAlignment="1" applyProtection="1">
      <alignment horizontal="center" wrapText="1" readingOrder="1"/>
      <protection hidden="1"/>
    </xf>
    <xf numFmtId="0" fontId="15" fillId="5" borderId="6" xfId="0" applyFont="1" applyFill="1" applyBorder="1" applyAlignment="1" applyProtection="1">
      <alignment horizontal="center" wrapText="1" readingOrder="1"/>
      <protection hidden="1"/>
    </xf>
    <xf numFmtId="0" fontId="15" fillId="5" borderId="7" xfId="0" applyFont="1" applyFill="1" applyBorder="1" applyAlignment="1" applyProtection="1">
      <alignment horizontal="center" wrapText="1" readingOrder="1"/>
      <protection hidden="1"/>
    </xf>
    <xf numFmtId="0" fontId="15" fillId="5" borderId="0" xfId="0" applyFont="1" applyFill="1" applyAlignment="1" applyProtection="1">
      <alignment horizontal="center" wrapText="1" readingOrder="1"/>
      <protection hidden="1"/>
    </xf>
    <xf numFmtId="0" fontId="15" fillId="5" borderId="8" xfId="0" applyFont="1" applyFill="1" applyBorder="1" applyAlignment="1" applyProtection="1">
      <alignment horizontal="center" wrapText="1" readingOrder="1"/>
      <protection hidden="1"/>
    </xf>
    <xf numFmtId="0" fontId="15" fillId="5" borderId="9" xfId="0" applyFont="1" applyFill="1" applyBorder="1" applyAlignment="1" applyProtection="1">
      <alignment horizontal="center" wrapText="1" readingOrder="1"/>
      <protection hidden="1"/>
    </xf>
    <xf numFmtId="0" fontId="15" fillId="5" borderId="11" xfId="0" applyFont="1" applyFill="1" applyBorder="1" applyAlignment="1" applyProtection="1">
      <alignment horizontal="center" wrapText="1" readingOrder="1"/>
      <protection hidden="1"/>
    </xf>
    <xf numFmtId="0" fontId="15" fillId="5" borderId="10" xfId="0" applyFont="1" applyFill="1" applyBorder="1" applyAlignment="1" applyProtection="1">
      <alignment horizontal="center" wrapText="1" readingOrder="1"/>
      <protection hidden="1"/>
    </xf>
    <xf numFmtId="0" fontId="18" fillId="13" borderId="12" xfId="0" applyFont="1" applyFill="1" applyBorder="1" applyAlignment="1" applyProtection="1">
      <alignment horizontal="center" wrapText="1" readingOrder="1"/>
      <protection hidden="1"/>
    </xf>
    <xf numFmtId="0" fontId="0" fillId="3" borderId="0" xfId="0" applyFill="1"/>
    <xf numFmtId="0" fontId="12" fillId="3" borderId="0" xfId="0" applyFont="1" applyFill="1" applyAlignment="1">
      <alignment vertical="center"/>
    </xf>
    <xf numFmtId="0" fontId="9" fillId="3" borderId="0" xfId="0" applyFont="1" applyFill="1"/>
    <xf numFmtId="0" fontId="8" fillId="3" borderId="0" xfId="0" applyFont="1" applyFill="1" applyAlignment="1">
      <alignment horizontal="justify" vertical="center" wrapText="1" readingOrder="1"/>
    </xf>
    <xf numFmtId="0" fontId="11" fillId="3" borderId="0" xfId="0" applyFont="1" applyFill="1"/>
    <xf numFmtId="0" fontId="2" fillId="3" borderId="0" xfId="0" applyFont="1" applyFill="1" applyAlignment="1">
      <alignment horizontal="left" vertical="center"/>
    </xf>
    <xf numFmtId="0" fontId="26" fillId="0" borderId="27" xfId="0" applyFont="1" applyBorder="1" applyAlignment="1">
      <alignment horizontal="justify" vertical="center" wrapText="1" readingOrder="1"/>
    </xf>
    <xf numFmtId="0" fontId="26" fillId="0" borderId="28" xfId="0" applyFont="1" applyBorder="1" applyAlignment="1">
      <alignment horizontal="justify" vertical="center" wrapText="1" readingOrder="1"/>
    </xf>
    <xf numFmtId="165" fontId="24" fillId="3" borderId="0" xfId="5" applyNumberFormat="1" applyFont="1" applyFill="1" applyAlignment="1">
      <alignment horizontal="center" vertical="center" wrapText="1"/>
    </xf>
    <xf numFmtId="165" fontId="0" fillId="3" borderId="0" xfId="5" applyNumberFormat="1" applyFont="1" applyFill="1" applyAlignment="1">
      <alignment horizontal="center" vertical="center"/>
    </xf>
    <xf numFmtId="0" fontId="34" fillId="3" borderId="0" xfId="0" applyFont="1" applyFill="1"/>
    <xf numFmtId="0" fontId="35" fillId="3" borderId="0" xfId="0" applyFont="1" applyFill="1" applyAlignment="1">
      <alignment horizontal="justify" vertical="center" wrapText="1" readingOrder="1"/>
    </xf>
    <xf numFmtId="0" fontId="34" fillId="0" borderId="0" xfId="0" applyFont="1"/>
    <xf numFmtId="0" fontId="36" fillId="3" borderId="0" xfId="0" applyFont="1" applyFill="1" applyAlignment="1">
      <alignment vertical="center"/>
    </xf>
    <xf numFmtId="0" fontId="0" fillId="0" borderId="0" xfId="0" applyAlignment="1">
      <alignment wrapText="1"/>
    </xf>
    <xf numFmtId="0" fontId="23" fillId="0" borderId="0" xfId="0" applyFont="1" applyAlignment="1">
      <alignment wrapText="1"/>
    </xf>
    <xf numFmtId="0" fontId="0" fillId="0" borderId="0" xfId="0" applyAlignment="1">
      <alignment vertical="center" wrapText="1"/>
    </xf>
    <xf numFmtId="0" fontId="37" fillId="0" borderId="0" xfId="0" applyFont="1"/>
    <xf numFmtId="0" fontId="38" fillId="0" borderId="0" xfId="0" applyFont="1"/>
    <xf numFmtId="0" fontId="39" fillId="0" borderId="0" xfId="0" applyFont="1"/>
    <xf numFmtId="0" fontId="40" fillId="0" borderId="0" xfId="0" applyFont="1" applyAlignment="1">
      <alignment wrapText="1"/>
    </xf>
    <xf numFmtId="0" fontId="39" fillId="0" borderId="0" xfId="0" applyFont="1" applyAlignment="1">
      <alignment wrapText="1"/>
    </xf>
    <xf numFmtId="0" fontId="37" fillId="0" borderId="8" xfId="0" applyFont="1" applyBorder="1"/>
    <xf numFmtId="0" fontId="42" fillId="0" borderId="8" xfId="0" applyFont="1" applyBorder="1"/>
    <xf numFmtId="0" fontId="43" fillId="17" borderId="32" xfId="0" applyFont="1" applyFill="1" applyBorder="1" applyAlignment="1">
      <alignment horizontal="center" vertical="center" wrapText="1"/>
    </xf>
    <xf numFmtId="0" fontId="44" fillId="17" borderId="10" xfId="0" applyFont="1" applyFill="1" applyBorder="1" applyAlignment="1">
      <alignment horizontal="center" vertical="center" wrapText="1"/>
    </xf>
    <xf numFmtId="0" fontId="43" fillId="17" borderId="25" xfId="0" applyFont="1" applyFill="1" applyBorder="1" applyAlignment="1">
      <alignment horizontal="center" vertical="center" wrapText="1"/>
    </xf>
    <xf numFmtId="0" fontId="42" fillId="0" borderId="0" xfId="0" applyFont="1"/>
    <xf numFmtId="0" fontId="43" fillId="17" borderId="32" xfId="0" applyFont="1" applyFill="1" applyBorder="1" applyAlignment="1">
      <alignment horizontal="center" vertical="center" textRotation="90" wrapText="1"/>
    </xf>
    <xf numFmtId="0" fontId="40" fillId="0" borderId="6" xfId="0" applyFont="1" applyBorder="1" applyAlignment="1">
      <alignment horizontal="justify" vertical="center" wrapText="1"/>
    </xf>
    <xf numFmtId="0" fontId="43" fillId="17" borderId="31" xfId="0" applyFont="1" applyFill="1" applyBorder="1" applyAlignment="1">
      <alignment horizontal="center" vertical="center" textRotation="90" wrapText="1"/>
    </xf>
    <xf numFmtId="0" fontId="40" fillId="0" borderId="31" xfId="0" applyFont="1" applyBorder="1" applyAlignment="1">
      <alignment horizontal="left" vertical="center" wrapText="1"/>
    </xf>
    <xf numFmtId="0" fontId="43" fillId="17" borderId="34" xfId="0" applyFont="1" applyFill="1" applyBorder="1" applyAlignment="1">
      <alignment horizontal="center" vertical="center" textRotation="90" wrapText="1"/>
    </xf>
    <xf numFmtId="0" fontId="40" fillId="0" borderId="32" xfId="0" applyFont="1" applyBorder="1" applyAlignment="1">
      <alignment horizontal="left" vertical="center" wrapText="1"/>
    </xf>
    <xf numFmtId="0" fontId="43" fillId="17" borderId="6" xfId="0" applyFont="1" applyFill="1" applyBorder="1" applyAlignment="1">
      <alignment horizontal="center" vertical="center" textRotation="90" wrapText="1"/>
    </xf>
    <xf numFmtId="0" fontId="47" fillId="0" borderId="31" xfId="0" applyFont="1" applyBorder="1" applyAlignment="1">
      <alignment horizontal="left" vertical="center" wrapText="1"/>
    </xf>
    <xf numFmtId="0" fontId="43" fillId="17" borderId="26" xfId="0" applyFont="1" applyFill="1" applyBorder="1" applyAlignment="1">
      <alignment horizontal="center" vertical="center" textRotation="90" wrapText="1"/>
    </xf>
    <xf numFmtId="0" fontId="48" fillId="0" borderId="8" xfId="0" applyFont="1" applyBorder="1"/>
    <xf numFmtId="0" fontId="49" fillId="18" borderId="6" xfId="0" applyFont="1" applyFill="1" applyBorder="1" applyAlignment="1">
      <alignment horizontal="center" vertical="center" textRotation="90" wrapText="1"/>
    </xf>
    <xf numFmtId="0" fontId="48" fillId="0" borderId="0" xfId="0" applyFont="1"/>
    <xf numFmtId="0" fontId="48" fillId="18" borderId="26" xfId="0" applyFont="1" applyFill="1" applyBorder="1"/>
    <xf numFmtId="0" fontId="50" fillId="18" borderId="32" xfId="0" applyFont="1" applyFill="1" applyBorder="1" applyAlignment="1">
      <alignment horizontal="center" vertical="center" wrapText="1"/>
    </xf>
    <xf numFmtId="0" fontId="49" fillId="18" borderId="32" xfId="0" applyFont="1" applyFill="1" applyBorder="1" applyAlignment="1">
      <alignment horizontal="center" vertical="center" wrapText="1"/>
    </xf>
    <xf numFmtId="0" fontId="44" fillId="0" borderId="0" xfId="0" applyFont="1" applyAlignment="1">
      <alignment horizontal="center" vertical="center"/>
    </xf>
    <xf numFmtId="0" fontId="43" fillId="0" borderId="0" xfId="0" applyFont="1" applyAlignment="1">
      <alignment horizontal="center" vertical="center"/>
    </xf>
    <xf numFmtId="0" fontId="40" fillId="0" borderId="0" xfId="0" applyFont="1"/>
    <xf numFmtId="0" fontId="51" fillId="17" borderId="32" xfId="0" applyFont="1" applyFill="1" applyBorder="1" applyAlignment="1">
      <alignment horizontal="center" vertical="center" wrapText="1"/>
    </xf>
    <xf numFmtId="0" fontId="51" fillId="17" borderId="26" xfId="0" applyFont="1" applyFill="1" applyBorder="1" applyAlignment="1">
      <alignment horizontal="center" vertical="center" wrapText="1"/>
    </xf>
    <xf numFmtId="0" fontId="52" fillId="0" borderId="10" xfId="0" applyFont="1" applyBorder="1" applyAlignment="1">
      <alignment horizontal="justify" vertical="center" wrapText="1"/>
    </xf>
    <xf numFmtId="0" fontId="40" fillId="0" borderId="5" xfId="0" applyFont="1" applyBorder="1" applyAlignment="1">
      <alignment horizontal="justify" vertical="center" wrapText="1"/>
    </xf>
    <xf numFmtId="0" fontId="40" fillId="0" borderId="5" xfId="0" applyFont="1" applyBorder="1" applyAlignment="1">
      <alignment horizontal="left" vertical="center" wrapText="1"/>
    </xf>
    <xf numFmtId="0" fontId="39" fillId="0" borderId="23" xfId="0" applyFont="1" applyBorder="1" applyAlignment="1">
      <alignment horizontal="left" vertical="center" wrapText="1"/>
    </xf>
    <xf numFmtId="0" fontId="39" fillId="0" borderId="5" xfId="0" applyFont="1" applyBorder="1" applyAlignment="1">
      <alignment horizontal="justify" vertical="center" wrapText="1"/>
    </xf>
    <xf numFmtId="0" fontId="42" fillId="0" borderId="38" xfId="0" applyFont="1" applyBorder="1" applyAlignment="1">
      <alignment horizontal="center" vertical="center"/>
    </xf>
    <xf numFmtId="0" fontId="42" fillId="0" borderId="37" xfId="0" applyFont="1" applyBorder="1" applyAlignment="1">
      <alignment horizontal="center" vertical="center"/>
    </xf>
    <xf numFmtId="0" fontId="48" fillId="0" borderId="39" xfId="0" applyFont="1" applyBorder="1" applyAlignment="1">
      <alignment horizontal="center" vertical="center"/>
    </xf>
    <xf numFmtId="0" fontId="0" fillId="3" borderId="0" xfId="0" applyFill="1" applyAlignment="1">
      <alignment vertical="top"/>
    </xf>
    <xf numFmtId="0" fontId="0" fillId="0" borderId="0" xfId="0" applyAlignment="1">
      <alignment vertical="top"/>
    </xf>
    <xf numFmtId="44" fontId="33" fillId="3" borderId="0" xfId="5" applyFont="1" applyFill="1" applyAlignment="1">
      <alignment vertical="top"/>
    </xf>
    <xf numFmtId="0" fontId="55" fillId="0" borderId="42" xfId="0" applyFont="1" applyBorder="1" applyAlignment="1" applyProtection="1">
      <alignment horizontal="center" vertical="center" wrapText="1"/>
      <protection locked="0"/>
    </xf>
    <xf numFmtId="0" fontId="55" fillId="0" borderId="42" xfId="0" applyFont="1" applyBorder="1" applyAlignment="1" applyProtection="1">
      <alignment horizontal="center" vertical="center"/>
      <protection hidden="1"/>
    </xf>
    <xf numFmtId="0" fontId="55" fillId="0" borderId="42" xfId="0" applyFont="1" applyBorder="1" applyAlignment="1" applyProtection="1">
      <alignment horizontal="center" vertical="center" textRotation="90"/>
      <protection locked="0"/>
    </xf>
    <xf numFmtId="9" fontId="55" fillId="0" borderId="42" xfId="0" applyNumberFormat="1" applyFont="1" applyBorder="1" applyAlignment="1" applyProtection="1">
      <alignment horizontal="center" vertical="center"/>
      <protection hidden="1"/>
    </xf>
    <xf numFmtId="164" fontId="55" fillId="0" borderId="42" xfId="1" applyNumberFormat="1" applyFont="1" applyFill="1" applyBorder="1" applyAlignment="1">
      <alignment horizontal="center" vertical="center"/>
    </xf>
    <xf numFmtId="0" fontId="56" fillId="0" borderId="42" xfId="0" applyFont="1" applyBorder="1" applyAlignment="1" applyProtection="1">
      <alignment horizontal="center" vertical="center" textRotation="90" wrapText="1"/>
      <protection hidden="1"/>
    </xf>
    <xf numFmtId="0" fontId="56" fillId="0" borderId="42" xfId="0" applyFont="1" applyBorder="1" applyAlignment="1" applyProtection="1">
      <alignment horizontal="center" vertical="center" textRotation="90"/>
      <protection hidden="1"/>
    </xf>
    <xf numFmtId="0" fontId="55" fillId="0" borderId="42" xfId="0" applyFont="1" applyBorder="1" applyAlignment="1" applyProtection="1">
      <alignment horizontal="center" vertical="center" textRotation="90" wrapText="1"/>
      <protection locked="0"/>
    </xf>
    <xf numFmtId="0" fontId="55" fillId="0" borderId="42" xfId="0" applyFont="1" applyBorder="1" applyAlignment="1" applyProtection="1">
      <alignment horizontal="center" vertical="center"/>
      <protection locked="0"/>
    </xf>
    <xf numFmtId="14" fontId="55" fillId="0" borderId="42" xfId="0" applyNumberFormat="1" applyFont="1" applyBorder="1" applyAlignment="1" applyProtection="1">
      <alignment horizontal="center" vertical="center"/>
      <protection locked="0"/>
    </xf>
    <xf numFmtId="0" fontId="55" fillId="0" borderId="0" xfId="0" applyFont="1"/>
    <xf numFmtId="0" fontId="60" fillId="3" borderId="0" xfId="0" applyFont="1" applyFill="1"/>
    <xf numFmtId="0" fontId="60" fillId="0" borderId="0" xfId="0" applyFont="1"/>
    <xf numFmtId="0" fontId="55" fillId="3" borderId="0" xfId="0" applyFont="1" applyFill="1" applyAlignment="1">
      <alignment horizontal="center" vertical="center"/>
    </xf>
    <xf numFmtId="0" fontId="55" fillId="3" borderId="0" xfId="0" applyFont="1" applyFill="1" applyAlignment="1">
      <alignment horizontal="left" vertical="center"/>
    </xf>
    <xf numFmtId="0" fontId="55" fillId="3" borderId="0" xfId="0" applyFont="1" applyFill="1"/>
    <xf numFmtId="0" fontId="55" fillId="3" borderId="0" xfId="0" applyFont="1" applyFill="1" applyAlignment="1">
      <alignment horizontal="center"/>
    </xf>
    <xf numFmtId="0" fontId="56" fillId="0" borderId="0" xfId="0" applyFont="1" applyAlignment="1">
      <alignment horizontal="left" vertical="center"/>
    </xf>
    <xf numFmtId="0" fontId="55" fillId="0" borderId="0" xfId="0" applyFont="1" applyAlignment="1" applyProtection="1">
      <alignment horizontal="left" vertical="center" wrapText="1"/>
      <protection locked="0"/>
    </xf>
    <xf numFmtId="0" fontId="56" fillId="0" borderId="0" xfId="0" applyFont="1"/>
    <xf numFmtId="0" fontId="55" fillId="0" borderId="0" xfId="0" applyFont="1" applyAlignment="1">
      <alignment horizontal="left" wrapText="1"/>
    </xf>
    <xf numFmtId="0" fontId="56" fillId="3" borderId="0" xfId="0" applyFont="1" applyFill="1" applyAlignment="1">
      <alignment horizontal="center" vertical="center"/>
    </xf>
    <xf numFmtId="0" fontId="56" fillId="0" borderId="0" xfId="0" applyFont="1" applyAlignment="1">
      <alignment horizontal="center" vertical="center"/>
    </xf>
    <xf numFmtId="0" fontId="56" fillId="2" borderId="0" xfId="0" applyFont="1" applyFill="1" applyAlignment="1">
      <alignment horizontal="center" vertical="center"/>
    </xf>
    <xf numFmtId="0" fontId="55" fillId="0" borderId="42" xfId="0" applyFont="1" applyBorder="1" applyAlignment="1">
      <alignment horizontal="center" vertical="center"/>
    </xf>
    <xf numFmtId="0" fontId="55" fillId="0" borderId="0" xfId="0" applyFont="1" applyAlignment="1">
      <alignment vertical="center"/>
    </xf>
    <xf numFmtId="0" fontId="55" fillId="0" borderId="3" xfId="0" applyFont="1" applyBorder="1" applyAlignment="1">
      <alignment horizontal="center" vertical="center"/>
    </xf>
    <xf numFmtId="0" fontId="55" fillId="0" borderId="0" xfId="0" applyFont="1" applyAlignment="1">
      <alignment wrapText="1"/>
    </xf>
    <xf numFmtId="0" fontId="55" fillId="0" borderId="0" xfId="0" applyFont="1" applyAlignment="1">
      <alignment horizontal="center" vertical="center"/>
    </xf>
    <xf numFmtId="0" fontId="55" fillId="0" borderId="0" xfId="0" applyFont="1" applyAlignment="1">
      <alignment horizontal="center"/>
    </xf>
    <xf numFmtId="166" fontId="26" fillId="0" borderId="27" xfId="0" applyNumberFormat="1" applyFont="1" applyBorder="1" applyAlignment="1">
      <alignment horizontal="center" vertical="center" wrapText="1" readingOrder="1"/>
    </xf>
    <xf numFmtId="0" fontId="55" fillId="0" borderId="43" xfId="0" applyFont="1" applyBorder="1" applyAlignment="1" applyProtection="1">
      <alignment horizontal="center" vertical="center" wrapText="1"/>
      <protection locked="0"/>
    </xf>
    <xf numFmtId="0" fontId="55" fillId="0" borderId="51" xfId="0" applyFont="1" applyBorder="1" applyAlignment="1" applyProtection="1">
      <alignment horizontal="center" vertical="center" wrapText="1"/>
      <protection locked="0"/>
    </xf>
    <xf numFmtId="0" fontId="55" fillId="0" borderId="44" xfId="0" applyFont="1" applyBorder="1" applyAlignment="1" applyProtection="1">
      <alignment horizontal="center" vertical="center" wrapText="1"/>
      <protection locked="0"/>
    </xf>
    <xf numFmtId="0" fontId="0" fillId="19" borderId="7" xfId="0" applyFill="1" applyBorder="1"/>
    <xf numFmtId="0" fontId="0" fillId="19" borderId="0" xfId="0" applyFill="1"/>
    <xf numFmtId="0" fontId="0" fillId="0" borderId="8" xfId="0" applyBorder="1"/>
    <xf numFmtId="0" fontId="0" fillId="8" borderId="7" xfId="0" applyFill="1" applyBorder="1"/>
    <xf numFmtId="0" fontId="0" fillId="8" borderId="0" xfId="0" applyFill="1"/>
    <xf numFmtId="0" fontId="0" fillId="23" borderId="7" xfId="0" applyFill="1" applyBorder="1"/>
    <xf numFmtId="0" fontId="0" fillId="23" borderId="0" xfId="0" applyFill="1"/>
    <xf numFmtId="0" fontId="0" fillId="23" borderId="9" xfId="0" applyFill="1" applyBorder="1"/>
    <xf numFmtId="0" fontId="0" fillId="23" borderId="11" xfId="0" applyFill="1" applyBorder="1"/>
    <xf numFmtId="0" fontId="0" fillId="0" borderId="11" xfId="0" applyBorder="1"/>
    <xf numFmtId="0" fontId="0" fillId="0" borderId="10" xfId="0" applyBorder="1"/>
    <xf numFmtId="0" fontId="58" fillId="0" borderId="23" xfId="0" applyFont="1" applyBorder="1"/>
    <xf numFmtId="0" fontId="58" fillId="0" borderId="24" xfId="0" applyFont="1" applyBorder="1"/>
    <xf numFmtId="0" fontId="0" fillId="0" borderId="24" xfId="0" applyBorder="1"/>
    <xf numFmtId="0" fontId="0" fillId="0" borderId="26" xfId="0" applyBorder="1"/>
    <xf numFmtId="0" fontId="61" fillId="0" borderId="42" xfId="0" applyFont="1" applyBorder="1" applyAlignment="1" applyProtection="1">
      <alignment horizontal="justify" vertical="center" wrapText="1"/>
      <protection locked="0"/>
    </xf>
    <xf numFmtId="0" fontId="54" fillId="0" borderId="0" xfId="0" applyFont="1" applyAlignment="1">
      <alignment vertical="center"/>
    </xf>
    <xf numFmtId="0" fontId="62" fillId="0" borderId="0" xfId="0" applyFont="1" applyAlignment="1">
      <alignment vertical="center"/>
    </xf>
    <xf numFmtId="0" fontId="55" fillId="3" borderId="0" xfId="0" applyFont="1" applyFill="1" applyAlignment="1">
      <alignment wrapText="1"/>
    </xf>
    <xf numFmtId="0" fontId="55" fillId="21" borderId="0" xfId="0" applyFont="1" applyFill="1" applyAlignment="1">
      <alignment horizontal="center" vertical="center"/>
    </xf>
    <xf numFmtId="0" fontId="55" fillId="21" borderId="0" xfId="0" applyFont="1" applyFill="1"/>
    <xf numFmtId="0" fontId="55" fillId="21" borderId="0" xfId="0" applyFont="1" applyFill="1" applyAlignment="1">
      <alignment horizontal="center"/>
    </xf>
    <xf numFmtId="0" fontId="55" fillId="21" borderId="0" xfId="0" applyFont="1" applyFill="1" applyAlignment="1">
      <alignment wrapText="1"/>
    </xf>
    <xf numFmtId="0" fontId="55" fillId="0" borderId="42" xfId="0" applyFont="1" applyBorder="1" applyAlignment="1">
      <alignment horizontal="center" vertical="center" wrapText="1"/>
    </xf>
    <xf numFmtId="0" fontId="56" fillId="24" borderId="42" xfId="0" applyFont="1" applyFill="1" applyBorder="1" applyAlignment="1">
      <alignment horizontal="center" vertical="center" textRotation="90"/>
    </xf>
    <xf numFmtId="0" fontId="56" fillId="24" borderId="42" xfId="0" applyFont="1" applyFill="1" applyBorder="1" applyAlignment="1">
      <alignment horizontal="center" vertical="center" wrapText="1"/>
    </xf>
    <xf numFmtId="0" fontId="56" fillId="24" borderId="44" xfId="0" applyFont="1" applyFill="1" applyBorder="1" applyAlignment="1">
      <alignment horizontal="center" vertical="center" wrapText="1"/>
    </xf>
    <xf numFmtId="0" fontId="56" fillId="24" borderId="42" xfId="0" applyFont="1" applyFill="1" applyBorder="1" applyAlignment="1">
      <alignment horizontal="center" vertical="center" textRotation="90" wrapText="1"/>
    </xf>
    <xf numFmtId="0" fontId="56" fillId="2" borderId="42" xfId="0" applyFont="1" applyFill="1" applyBorder="1" applyAlignment="1">
      <alignment horizontal="center" vertical="center" textRotation="90"/>
    </xf>
    <xf numFmtId="0" fontId="56" fillId="2" borderId="42" xfId="0" applyFont="1" applyFill="1" applyBorder="1" applyAlignment="1">
      <alignment horizontal="center" vertical="center" wrapText="1"/>
    </xf>
    <xf numFmtId="0" fontId="56" fillId="2" borderId="44" xfId="0" applyFont="1" applyFill="1" applyBorder="1" applyAlignment="1">
      <alignment horizontal="center" vertical="center" wrapText="1"/>
    </xf>
    <xf numFmtId="0" fontId="56" fillId="2" borderId="42" xfId="0" applyFont="1" applyFill="1" applyBorder="1" applyAlignment="1">
      <alignment horizontal="center" vertical="center" textRotation="90" wrapText="1"/>
    </xf>
    <xf numFmtId="0" fontId="0" fillId="27" borderId="0" xfId="0" applyFill="1"/>
    <xf numFmtId="0" fontId="0" fillId="0" borderId="7" xfId="0" applyBorder="1"/>
    <xf numFmtId="0" fontId="68" fillId="0" borderId="0" xfId="0" applyFont="1"/>
    <xf numFmtId="0" fontId="69" fillId="5" borderId="4" xfId="0" applyFont="1" applyFill="1" applyBorder="1" applyAlignment="1">
      <alignment horizontal="center" vertical="center" wrapText="1" readingOrder="1"/>
    </xf>
    <xf numFmtId="0" fontId="69" fillId="7" borderId="1" xfId="0" applyFont="1" applyFill="1" applyBorder="1" applyAlignment="1">
      <alignment horizontal="center" vertical="center" wrapText="1" readingOrder="1"/>
    </xf>
    <xf numFmtId="0" fontId="69" fillId="4" borderId="1" xfId="0" applyFont="1" applyFill="1" applyBorder="1" applyAlignment="1">
      <alignment horizontal="center" vertical="center" wrapText="1" readingOrder="1"/>
    </xf>
    <xf numFmtId="0" fontId="69" fillId="8" borderId="1" xfId="0" applyFont="1" applyFill="1" applyBorder="1" applyAlignment="1">
      <alignment horizontal="center" vertical="center" wrapText="1" readingOrder="1"/>
    </xf>
    <xf numFmtId="0" fontId="70" fillId="9" borderId="1" xfId="0" applyFont="1" applyFill="1" applyBorder="1" applyAlignment="1">
      <alignment horizontal="center" vertical="center" wrapText="1" readingOrder="1"/>
    </xf>
    <xf numFmtId="0" fontId="34" fillId="3" borderId="0" xfId="0" applyFont="1" applyFill="1" applyAlignment="1">
      <alignment wrapText="1"/>
    </xf>
    <xf numFmtId="44" fontId="34" fillId="3" borderId="0" xfId="5" applyFont="1" applyFill="1" applyAlignment="1">
      <alignment horizontal="left" vertical="center" wrapText="1"/>
    </xf>
    <xf numFmtId="44" fontId="58" fillId="0" borderId="0" xfId="5" applyFont="1" applyAlignment="1">
      <alignment horizontal="left" vertical="center" wrapText="1"/>
    </xf>
    <xf numFmtId="44" fontId="10" fillId="3" borderId="0" xfId="5" applyFont="1" applyFill="1" applyAlignment="1">
      <alignment horizontal="left" vertical="top" wrapText="1"/>
    </xf>
    <xf numFmtId="44" fontId="10" fillId="3" borderId="0" xfId="5" applyFont="1" applyFill="1" applyAlignment="1">
      <alignment horizontal="left" vertical="center" wrapText="1"/>
    </xf>
    <xf numFmtId="0" fontId="10" fillId="3" borderId="0" xfId="0" applyFont="1" applyFill="1" applyAlignment="1">
      <alignment wrapText="1"/>
    </xf>
    <xf numFmtId="165" fontId="10" fillId="3" borderId="0" xfId="5" applyNumberFormat="1" applyFont="1" applyFill="1" applyAlignment="1">
      <alignment horizontal="center" vertical="center" wrapText="1"/>
    </xf>
    <xf numFmtId="44" fontId="10" fillId="0" borderId="0" xfId="5" applyFont="1" applyAlignment="1">
      <alignment horizontal="left" vertical="center" wrapText="1"/>
    </xf>
    <xf numFmtId="44" fontId="71" fillId="0" borderId="0" xfId="5" applyFont="1" applyAlignment="1">
      <alignment horizontal="left" vertical="center" wrapText="1"/>
    </xf>
    <xf numFmtId="44" fontId="10" fillId="0" borderId="0" xfId="5" applyFont="1" applyAlignment="1">
      <alignment horizontal="left" vertical="top" wrapText="1"/>
    </xf>
    <xf numFmtId="0" fontId="72" fillId="28" borderId="0" xfId="0" applyFont="1" applyFill="1" applyAlignment="1">
      <alignment horizontal="left" vertical="center" wrapText="1" readingOrder="1"/>
    </xf>
    <xf numFmtId="0" fontId="73" fillId="0" borderId="4" xfId="0" applyFont="1" applyBorder="1" applyAlignment="1">
      <alignment horizontal="left" vertical="center" wrapText="1" readingOrder="1"/>
    </xf>
    <xf numFmtId="0" fontId="72" fillId="6" borderId="0" xfId="0" applyFont="1" applyFill="1" applyAlignment="1">
      <alignment horizontal="left" vertical="center" wrapText="1" readingOrder="1"/>
    </xf>
    <xf numFmtId="0" fontId="73" fillId="0" borderId="27" xfId="0" applyFont="1" applyBorder="1" applyAlignment="1">
      <alignment horizontal="left" vertical="center" wrapText="1" readingOrder="1"/>
    </xf>
    <xf numFmtId="0" fontId="59" fillId="6" borderId="0" xfId="0" applyFont="1" applyFill="1" applyAlignment="1">
      <alignment horizontal="left" vertical="center" wrapText="1" readingOrder="1"/>
    </xf>
    <xf numFmtId="0" fontId="74" fillId="0" borderId="27" xfId="0" applyFont="1" applyBorder="1" applyAlignment="1">
      <alignment horizontal="left" vertical="center" wrapText="1" readingOrder="1"/>
    </xf>
    <xf numFmtId="166" fontId="74" fillId="0" borderId="27" xfId="0" applyNumberFormat="1" applyFont="1" applyBorder="1" applyAlignment="1">
      <alignment horizontal="left" vertical="center" wrapText="1" readingOrder="1"/>
    </xf>
    <xf numFmtId="44" fontId="3" fillId="3" borderId="0" xfId="5" applyFont="1" applyFill="1" applyAlignment="1">
      <alignment vertical="top"/>
    </xf>
    <xf numFmtId="0" fontId="3" fillId="3" borderId="0" xfId="0" applyFont="1" applyFill="1" applyAlignment="1">
      <alignment vertical="top"/>
    </xf>
    <xf numFmtId="0" fontId="76" fillId="28" borderId="0" xfId="0" applyFont="1" applyFill="1" applyAlignment="1">
      <alignment horizontal="center" vertical="center" wrapText="1" readingOrder="1"/>
    </xf>
    <xf numFmtId="0" fontId="76" fillId="6" borderId="0" xfId="0" applyFont="1" applyFill="1" applyAlignment="1">
      <alignment horizontal="center" vertical="center" wrapText="1" readingOrder="1"/>
    </xf>
    <xf numFmtId="0" fontId="1" fillId="5" borderId="4" xfId="0" applyFont="1" applyFill="1" applyBorder="1" applyAlignment="1">
      <alignment horizontal="center" vertical="center" wrapText="1" readingOrder="1"/>
    </xf>
    <xf numFmtId="0" fontId="1" fillId="0" borderId="4" xfId="0" applyFont="1" applyBorder="1" applyAlignment="1">
      <alignment horizontal="center" vertical="center" wrapText="1" readingOrder="1"/>
    </xf>
    <xf numFmtId="0" fontId="1" fillId="0" borderId="27" xfId="0" applyFont="1" applyBorder="1" applyAlignment="1">
      <alignment horizontal="center" vertical="center" wrapText="1" readingOrder="1"/>
    </xf>
    <xf numFmtId="0" fontId="1" fillId="0" borderId="27" xfId="0" applyFont="1" applyBorder="1" applyAlignment="1">
      <alignment horizontal="justify" vertical="center" wrapText="1" readingOrder="1"/>
    </xf>
    <xf numFmtId="166" fontId="1" fillId="0" borderId="27" xfId="0" applyNumberFormat="1" applyFont="1" applyBorder="1" applyAlignment="1">
      <alignment horizontal="center" vertical="center" wrapText="1" readingOrder="1"/>
    </xf>
    <xf numFmtId="0" fontId="1" fillId="7" borderId="1" xfId="0" applyFont="1" applyFill="1" applyBorder="1" applyAlignment="1">
      <alignment horizontal="center" vertical="center" wrapText="1" readingOrder="1"/>
    </xf>
    <xf numFmtId="0" fontId="1" fillId="4" borderId="1" xfId="0" applyFont="1" applyFill="1" applyBorder="1" applyAlignment="1">
      <alignment horizontal="center" vertical="center" wrapText="1" readingOrder="1"/>
    </xf>
    <xf numFmtId="0" fontId="1" fillId="8" borderId="1" xfId="0" applyFont="1" applyFill="1" applyBorder="1" applyAlignment="1">
      <alignment horizontal="center" vertical="center" wrapText="1" readingOrder="1"/>
    </xf>
    <xf numFmtId="0" fontId="77" fillId="9" borderId="1" xfId="0" applyFont="1" applyFill="1" applyBorder="1" applyAlignment="1">
      <alignment horizontal="center" vertical="center" wrapText="1" readingOrder="1"/>
    </xf>
    <xf numFmtId="0" fontId="58" fillId="0" borderId="0" xfId="0" applyFont="1"/>
    <xf numFmtId="0" fontId="0" fillId="30" borderId="0" xfId="0" applyFill="1"/>
    <xf numFmtId="0" fontId="64" fillId="26" borderId="59" xfId="0" applyFont="1" applyFill="1" applyBorder="1" applyAlignment="1">
      <alignment horizontal="left" vertical="center" indent="1"/>
    </xf>
    <xf numFmtId="0" fontId="66" fillId="26" borderId="59" xfId="0" applyFont="1" applyFill="1" applyBorder="1" applyAlignment="1">
      <alignment horizontal="left" vertical="center" wrapText="1" indent="1"/>
    </xf>
    <xf numFmtId="0" fontId="0" fillId="2" borderId="0" xfId="0" applyFill="1"/>
    <xf numFmtId="0" fontId="0" fillId="0" borderId="0" xfId="0" applyAlignment="1">
      <alignment horizontal="center" vertical="center" wrapText="1"/>
    </xf>
    <xf numFmtId="49" fontId="0" fillId="0" borderId="0" xfId="0" applyNumberFormat="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xf>
    <xf numFmtId="0" fontId="80" fillId="0" borderId="0" xfId="7" applyFont="1" applyAlignment="1">
      <alignment vertical="center"/>
    </xf>
    <xf numFmtId="0" fontId="79" fillId="31" borderId="0" xfId="7" applyFont="1" applyFill="1"/>
    <xf numFmtId="0" fontId="79" fillId="0" borderId="0" xfId="7" applyFont="1"/>
    <xf numFmtId="0" fontId="81" fillId="0" borderId="0" xfId="7" applyFont="1" applyAlignment="1">
      <alignment vertical="center"/>
    </xf>
    <xf numFmtId="0" fontId="82" fillId="31" borderId="0" xfId="7" applyFont="1" applyFill="1" applyAlignment="1">
      <alignment horizontal="center" vertical="center"/>
    </xf>
    <xf numFmtId="0" fontId="82" fillId="31" borderId="0" xfId="7" applyFont="1" applyFill="1" applyAlignment="1">
      <alignment horizontal="left" vertical="center"/>
    </xf>
    <xf numFmtId="0" fontId="82" fillId="31" borderId="0" xfId="7" applyFont="1" applyFill="1"/>
    <xf numFmtId="0" fontId="82" fillId="31" borderId="0" xfId="7" applyFont="1" applyFill="1" applyAlignment="1">
      <alignment horizontal="center"/>
    </xf>
    <xf numFmtId="0" fontId="82" fillId="31" borderId="0" xfId="7" applyFont="1" applyFill="1" applyAlignment="1">
      <alignment wrapText="1"/>
    </xf>
    <xf numFmtId="0" fontId="82" fillId="0" borderId="0" xfId="7" applyFont="1"/>
    <xf numFmtId="0" fontId="82" fillId="0" borderId="0" xfId="7" applyFont="1" applyAlignment="1" applyProtection="1">
      <alignment vertical="center"/>
      <protection locked="0"/>
    </xf>
    <xf numFmtId="0" fontId="82" fillId="31" borderId="0" xfId="7" applyFont="1" applyFill="1" applyAlignment="1" applyProtection="1">
      <alignment vertical="center" wrapText="1"/>
      <protection locked="0"/>
    </xf>
    <xf numFmtId="0" fontId="83" fillId="31" borderId="0" xfId="7" applyFont="1" applyFill="1"/>
    <xf numFmtId="0" fontId="83" fillId="0" borderId="0" xfId="7" applyFont="1" applyAlignment="1">
      <alignment horizontal="left" vertical="center"/>
    </xf>
    <xf numFmtId="0" fontId="82" fillId="0" borderId="0" xfId="7" applyFont="1" applyAlignment="1" applyProtection="1">
      <alignment horizontal="center" vertical="center" wrapText="1"/>
      <protection locked="0"/>
    </xf>
    <xf numFmtId="0" fontId="82" fillId="0" borderId="0" xfId="7" applyFont="1" applyAlignment="1" applyProtection="1">
      <alignment horizontal="left" vertical="center" wrapText="1"/>
      <protection locked="0"/>
    </xf>
    <xf numFmtId="0" fontId="83" fillId="0" borderId="0" xfId="7" applyFont="1"/>
    <xf numFmtId="0" fontId="82" fillId="0" borderId="0" xfId="7" applyFont="1" applyAlignment="1">
      <alignment horizontal="left" wrapText="1"/>
    </xf>
    <xf numFmtId="0" fontId="83" fillId="33" borderId="65" xfId="7" applyFont="1" applyFill="1" applyBorder="1" applyAlignment="1">
      <alignment horizontal="center" vertical="center"/>
    </xf>
    <xf numFmtId="0" fontId="83" fillId="33" borderId="68" xfId="7" applyFont="1" applyFill="1" applyBorder="1" applyAlignment="1">
      <alignment horizontal="center" vertical="center" textRotation="90"/>
    </xf>
    <xf numFmtId="0" fontId="83" fillId="33" borderId="68" xfId="7" applyFont="1" applyFill="1" applyBorder="1" applyAlignment="1">
      <alignment horizontal="center" vertical="center" wrapText="1"/>
    </xf>
    <xf numFmtId="0" fontId="83" fillId="33" borderId="68" xfId="7" applyFont="1" applyFill="1" applyBorder="1" applyAlignment="1">
      <alignment horizontal="center" vertical="center" textRotation="90" wrapText="1"/>
    </xf>
    <xf numFmtId="0" fontId="83" fillId="31" borderId="0" xfId="7" applyFont="1" applyFill="1" applyAlignment="1">
      <alignment horizontal="center" vertical="center"/>
    </xf>
    <xf numFmtId="0" fontId="83" fillId="0" borderId="0" xfId="7" applyFont="1" applyAlignment="1">
      <alignment horizontal="center" vertical="center"/>
    </xf>
    <xf numFmtId="0" fontId="83" fillId="36" borderId="0" xfId="7" applyFont="1" applyFill="1" applyAlignment="1">
      <alignment horizontal="center" vertical="center"/>
    </xf>
    <xf numFmtId="0" fontId="82" fillId="0" borderId="68" xfId="7" applyFont="1" applyBorder="1" applyAlignment="1" applyProtection="1">
      <alignment horizontal="center" vertical="center" wrapText="1"/>
      <protection locked="0"/>
    </xf>
    <xf numFmtId="0" fontId="82" fillId="0" borderId="68" xfId="7" applyFont="1" applyBorder="1" applyAlignment="1" applyProtection="1">
      <alignment horizontal="center" vertical="center"/>
      <protection locked="0"/>
    </xf>
    <xf numFmtId="0" fontId="82" fillId="0" borderId="68" xfId="7" applyFont="1" applyBorder="1" applyAlignment="1">
      <alignment horizontal="center" vertical="center"/>
    </xf>
    <xf numFmtId="0" fontId="82" fillId="0" borderId="68" xfId="7" applyFont="1" applyBorder="1" applyAlignment="1">
      <alignment horizontal="center" vertical="center" wrapText="1"/>
    </xf>
    <xf numFmtId="0" fontId="85" fillId="0" borderId="68" xfId="7" applyFont="1" applyBorder="1" applyAlignment="1" applyProtection="1">
      <alignment horizontal="justify" vertical="center" wrapText="1"/>
      <protection locked="0"/>
    </xf>
    <xf numFmtId="0" fontId="82" fillId="0" borderId="68" xfId="7" applyFont="1" applyBorder="1" applyAlignment="1" applyProtection="1">
      <alignment horizontal="center" vertical="center"/>
      <protection hidden="1"/>
    </xf>
    <xf numFmtId="0" fontId="82" fillId="0" borderId="22" xfId="7" applyFont="1" applyBorder="1" applyAlignment="1">
      <alignment horizontal="center" vertical="center" wrapText="1"/>
    </xf>
    <xf numFmtId="0" fontId="82" fillId="0" borderId="68" xfId="7" applyFont="1" applyBorder="1" applyAlignment="1" applyProtection="1">
      <alignment horizontal="center" vertical="center" textRotation="90" wrapText="1"/>
      <protection locked="0"/>
    </xf>
    <xf numFmtId="0" fontId="82" fillId="0" borderId="68" xfId="7" applyFont="1" applyBorder="1" applyAlignment="1" applyProtection="1">
      <alignment horizontal="center" vertical="center" textRotation="90"/>
      <protection locked="0"/>
    </xf>
    <xf numFmtId="167" fontId="82" fillId="0" borderId="68" xfId="7" applyNumberFormat="1" applyFont="1" applyBorder="1" applyAlignment="1" applyProtection="1">
      <alignment horizontal="center" vertical="center"/>
      <protection locked="0"/>
    </xf>
    <xf numFmtId="0" fontId="82" fillId="0" borderId="0" xfId="7" applyFont="1" applyAlignment="1">
      <alignment vertical="center"/>
    </xf>
    <xf numFmtId="0" fontId="82" fillId="0" borderId="69" xfId="7" applyFont="1" applyBorder="1" applyAlignment="1">
      <alignment horizontal="center" vertical="center"/>
    </xf>
    <xf numFmtId="0" fontId="82" fillId="0" borderId="0" xfId="7" applyFont="1" applyAlignment="1">
      <alignment wrapText="1"/>
    </xf>
    <xf numFmtId="0" fontId="82" fillId="37" borderId="0" xfId="7" applyFont="1" applyFill="1" applyAlignment="1">
      <alignment horizontal="center" vertical="center"/>
    </xf>
    <xf numFmtId="0" fontId="82" fillId="37" borderId="0" xfId="7" applyFont="1" applyFill="1"/>
    <xf numFmtId="0" fontId="82" fillId="37" borderId="0" xfId="7" applyFont="1" applyFill="1" applyAlignment="1">
      <alignment horizontal="center"/>
    </xf>
    <xf numFmtId="0" fontId="82" fillId="37" borderId="0" xfId="7" applyFont="1" applyFill="1" applyAlignment="1">
      <alignment wrapText="1"/>
    </xf>
    <xf numFmtId="0" fontId="82" fillId="0" borderId="0" xfId="7" applyFont="1" applyAlignment="1">
      <alignment horizontal="center" vertical="center"/>
    </xf>
    <xf numFmtId="0" fontId="82" fillId="0" borderId="0" xfId="7" applyFont="1" applyAlignment="1">
      <alignment horizontal="center"/>
    </xf>
    <xf numFmtId="0" fontId="78" fillId="0" borderId="0" xfId="7"/>
    <xf numFmtId="49" fontId="0" fillId="0" borderId="0" xfId="0" quotePrefix="1" applyNumberFormat="1" applyAlignment="1">
      <alignment horizontal="center" vertical="center" wrapText="1"/>
    </xf>
    <xf numFmtId="0" fontId="88" fillId="0" borderId="68" xfId="7" applyFont="1" applyBorder="1" applyAlignment="1" applyProtection="1">
      <alignment horizontal="center" vertical="center" textRotation="90" wrapText="1"/>
      <protection locked="0"/>
    </xf>
    <xf numFmtId="0" fontId="88" fillId="0" borderId="68" xfId="7" applyFont="1" applyBorder="1" applyAlignment="1" applyProtection="1">
      <alignment horizontal="center" vertical="center" textRotation="90"/>
      <protection locked="0"/>
    </xf>
    <xf numFmtId="9" fontId="88" fillId="0" borderId="68" xfId="7" applyNumberFormat="1" applyFont="1" applyBorder="1" applyAlignment="1" applyProtection="1">
      <alignment horizontal="center" vertical="center"/>
      <protection hidden="1"/>
    </xf>
    <xf numFmtId="164" fontId="88" fillId="0" borderId="68" xfId="8" applyNumberFormat="1" applyFont="1" applyBorder="1" applyAlignment="1" applyProtection="1">
      <alignment horizontal="center" vertical="center"/>
    </xf>
    <xf numFmtId="0" fontId="89" fillId="0" borderId="68" xfId="7" applyFont="1" applyBorder="1" applyAlignment="1" applyProtection="1">
      <alignment horizontal="center" vertical="center" textRotation="90" wrapText="1"/>
      <protection hidden="1"/>
    </xf>
    <xf numFmtId="0" fontId="89" fillId="0" borderId="68" xfId="7" applyFont="1" applyBorder="1" applyAlignment="1" applyProtection="1">
      <alignment horizontal="center" vertical="center" textRotation="90"/>
      <protection hidden="1"/>
    </xf>
    <xf numFmtId="0" fontId="87" fillId="0" borderId="22" xfId="7" applyFont="1" applyBorder="1" applyAlignment="1">
      <alignment horizontal="center" vertical="center" wrapText="1"/>
    </xf>
    <xf numFmtId="0" fontId="93" fillId="0" borderId="42" xfId="0" applyFont="1" applyBorder="1" applyAlignment="1" applyProtection="1">
      <alignment horizontal="justify" vertical="center" wrapText="1"/>
      <protection locked="0"/>
    </xf>
    <xf numFmtId="0" fontId="93" fillId="0" borderId="42" xfId="0" applyFont="1" applyBorder="1" applyAlignment="1" applyProtection="1">
      <alignment horizontal="center" vertical="center"/>
      <protection locked="0"/>
    </xf>
    <xf numFmtId="0" fontId="93" fillId="0" borderId="42" xfId="0" applyFont="1" applyBorder="1" applyAlignment="1">
      <alignment horizontal="center" vertical="center"/>
    </xf>
    <xf numFmtId="0" fontId="93" fillId="0" borderId="42" xfId="0" applyFont="1" applyBorder="1" applyAlignment="1" applyProtection="1">
      <alignment horizontal="center" vertical="center"/>
      <protection hidden="1"/>
    </xf>
    <xf numFmtId="0" fontId="93" fillId="0" borderId="42" xfId="0" applyFont="1" applyBorder="1" applyAlignment="1" applyProtection="1">
      <alignment horizontal="center" vertical="center" textRotation="90"/>
      <protection locked="0"/>
    </xf>
    <xf numFmtId="9" fontId="93" fillId="0" borderId="42" xfId="0" applyNumberFormat="1" applyFont="1" applyBorder="1" applyAlignment="1" applyProtection="1">
      <alignment horizontal="center" vertical="center"/>
      <protection hidden="1"/>
    </xf>
    <xf numFmtId="164" fontId="93" fillId="0" borderId="42" xfId="1" applyNumberFormat="1" applyFont="1" applyFill="1" applyBorder="1" applyAlignment="1">
      <alignment horizontal="center" vertical="center"/>
    </xf>
    <xf numFmtId="0" fontId="92" fillId="0" borderId="42" xfId="0" applyFont="1" applyBorder="1" applyAlignment="1" applyProtection="1">
      <alignment horizontal="center" vertical="center" textRotation="90" wrapText="1"/>
      <protection hidden="1"/>
    </xf>
    <xf numFmtId="0" fontId="92" fillId="0" borderId="42" xfId="0" applyFont="1" applyBorder="1" applyAlignment="1" applyProtection="1">
      <alignment horizontal="center" vertical="center" textRotation="90"/>
      <protection hidden="1"/>
    </xf>
    <xf numFmtId="0" fontId="93" fillId="0" borderId="42" xfId="0" applyFont="1" applyBorder="1" applyAlignment="1" applyProtection="1">
      <alignment horizontal="center" vertical="center" textRotation="90" wrapText="1"/>
      <protection locked="0"/>
    </xf>
    <xf numFmtId="14" fontId="93" fillId="0" borderId="42" xfId="0" applyNumberFormat="1" applyFont="1" applyBorder="1" applyAlignment="1" applyProtection="1">
      <alignment horizontal="center" vertical="center"/>
      <protection locked="0"/>
    </xf>
    <xf numFmtId="0" fontId="93" fillId="0" borderId="0" xfId="0" applyFont="1"/>
    <xf numFmtId="0" fontId="55" fillId="0" borderId="0" xfId="0" applyFont="1" applyAlignment="1">
      <alignment horizontal="left" vertical="center"/>
    </xf>
    <xf numFmtId="0" fontId="55" fillId="0" borderId="42" xfId="0" applyFont="1" applyBorder="1" applyAlignment="1" applyProtection="1">
      <alignment horizontal="justify" vertical="center" wrapText="1"/>
      <protection locked="0"/>
    </xf>
    <xf numFmtId="0" fontId="55" fillId="0" borderId="2" xfId="0" applyFont="1" applyBorder="1" applyAlignment="1">
      <alignment horizontal="center" vertical="center"/>
    </xf>
    <xf numFmtId="0" fontId="94" fillId="39" borderId="22" xfId="0" applyFont="1" applyFill="1" applyBorder="1" applyAlignment="1">
      <alignment horizontal="left" vertical="center" readingOrder="1"/>
    </xf>
    <xf numFmtId="0" fontId="95" fillId="38" borderId="22" xfId="0" applyFont="1" applyFill="1" applyBorder="1" applyAlignment="1">
      <alignment horizontal="left" vertical="center"/>
    </xf>
    <xf numFmtId="0" fontId="95" fillId="0" borderId="22" xfId="0" applyFont="1" applyBorder="1" applyAlignment="1">
      <alignment horizontal="left" vertical="center"/>
    </xf>
    <xf numFmtId="0" fontId="55" fillId="0" borderId="22" xfId="0" applyFont="1" applyBorder="1" applyAlignment="1">
      <alignment horizontal="center" vertical="center" wrapText="1"/>
    </xf>
    <xf numFmtId="0" fontId="55" fillId="0" borderId="22" xfId="0" applyFont="1" applyBorder="1" applyAlignment="1">
      <alignment horizontal="center" vertical="center"/>
    </xf>
    <xf numFmtId="0" fontId="55" fillId="0" borderId="22" xfId="0" applyFont="1" applyBorder="1" applyAlignment="1" applyProtection="1">
      <alignment horizontal="center" vertical="center" textRotation="90"/>
      <protection locked="0"/>
    </xf>
    <xf numFmtId="0" fontId="55" fillId="0" borderId="22" xfId="0" applyFont="1" applyBorder="1" applyAlignment="1" applyProtection="1">
      <alignment horizontal="center" vertical="center" wrapText="1"/>
      <protection locked="0"/>
    </xf>
    <xf numFmtId="0" fontId="55" fillId="0" borderId="22" xfId="0" applyFont="1" applyBorder="1" applyAlignment="1" applyProtection="1">
      <alignment horizontal="center" vertical="center"/>
      <protection locked="0"/>
    </xf>
    <xf numFmtId="14" fontId="55" fillId="0" borderId="22" xfId="0" applyNumberFormat="1" applyFont="1" applyBorder="1" applyAlignment="1" applyProtection="1">
      <alignment horizontal="center" vertical="center"/>
      <protection locked="0"/>
    </xf>
    <xf numFmtId="0" fontId="3" fillId="3" borderId="0" xfId="0" applyFont="1" applyFill="1"/>
    <xf numFmtId="0" fontId="97" fillId="3" borderId="0" xfId="0" applyFont="1" applyFill="1"/>
    <xf numFmtId="0" fontId="98" fillId="40" borderId="74" xfId="0" applyFont="1" applyFill="1" applyBorder="1" applyAlignment="1">
      <alignment horizontal="center" vertical="center" wrapText="1" readingOrder="1"/>
    </xf>
    <xf numFmtId="0" fontId="98" fillId="40" borderId="75" xfId="0" applyFont="1" applyFill="1" applyBorder="1" applyAlignment="1">
      <alignment horizontal="center" vertical="center" wrapText="1" readingOrder="1"/>
    </xf>
    <xf numFmtId="0" fontId="98" fillId="3" borderId="77" xfId="0" applyFont="1" applyFill="1" applyBorder="1" applyAlignment="1">
      <alignment horizontal="center" vertical="center" wrapText="1" readingOrder="1"/>
    </xf>
    <xf numFmtId="0" fontId="99" fillId="3" borderId="77" xfId="0" applyFont="1" applyFill="1" applyBorder="1" applyAlignment="1">
      <alignment horizontal="justify" vertical="center" wrapText="1" readingOrder="1"/>
    </xf>
    <xf numFmtId="9" fontId="98" fillId="3" borderId="78" xfId="0" applyNumberFormat="1" applyFont="1" applyFill="1" applyBorder="1" applyAlignment="1">
      <alignment horizontal="center" vertical="center" wrapText="1" readingOrder="1"/>
    </xf>
    <xf numFmtId="0" fontId="98" fillId="3" borderId="22" xfId="0" applyFont="1" applyFill="1" applyBorder="1" applyAlignment="1">
      <alignment horizontal="center" vertical="center" wrapText="1" readingOrder="1"/>
    </xf>
    <xf numFmtId="0" fontId="99" fillId="3" borderId="22" xfId="0" applyFont="1" applyFill="1" applyBorder="1" applyAlignment="1">
      <alignment horizontal="justify" vertical="center" wrapText="1" readingOrder="1"/>
    </xf>
    <xf numFmtId="9" fontId="98" fillId="3" borderId="80" xfId="0" applyNumberFormat="1" applyFont="1" applyFill="1" applyBorder="1" applyAlignment="1">
      <alignment horizontal="center" vertical="center" wrapText="1" readingOrder="1"/>
    </xf>
    <xf numFmtId="0" fontId="99" fillId="3" borderId="80" xfId="0" applyFont="1" applyFill="1" applyBorder="1" applyAlignment="1">
      <alignment horizontal="center" vertical="center" wrapText="1" readingOrder="1"/>
    </xf>
    <xf numFmtId="0" fontId="98" fillId="3" borderId="82" xfId="0" applyFont="1" applyFill="1" applyBorder="1" applyAlignment="1">
      <alignment horizontal="center" vertical="center" wrapText="1" readingOrder="1"/>
    </xf>
    <xf numFmtId="0" fontId="99" fillId="3" borderId="82" xfId="0" applyFont="1" applyFill="1" applyBorder="1" applyAlignment="1">
      <alignment horizontal="justify" vertical="center" wrapText="1" readingOrder="1"/>
    </xf>
    <xf numFmtId="0" fontId="99" fillId="3" borderId="83" xfId="0" applyFont="1" applyFill="1" applyBorder="1" applyAlignment="1">
      <alignment horizontal="center" vertical="center" wrapText="1" readingOrder="1"/>
    </xf>
    <xf numFmtId="0" fontId="103" fillId="3" borderId="0" xfId="0" applyFont="1" applyFill="1"/>
    <xf numFmtId="0" fontId="55" fillId="0" borderId="42" xfId="0" applyFont="1" applyBorder="1" applyAlignment="1" applyProtection="1">
      <alignment horizontal="center" vertical="top" textRotation="90"/>
      <protection locked="0"/>
    </xf>
    <xf numFmtId="0" fontId="55" fillId="0" borderId="68" xfId="0" applyFont="1" applyBorder="1" applyAlignment="1">
      <alignment horizontal="center" vertical="center" wrapText="1"/>
    </xf>
    <xf numFmtId="0" fontId="61" fillId="0" borderId="42" xfId="0" applyFont="1" applyBorder="1" applyAlignment="1" applyProtection="1">
      <alignment horizontal="center" vertical="center" wrapText="1"/>
      <protection locked="0"/>
    </xf>
    <xf numFmtId="0" fontId="61" fillId="0" borderId="68" xfId="0" applyFont="1" applyBorder="1" applyAlignment="1">
      <alignment horizontal="center" vertical="center" wrapText="1"/>
    </xf>
    <xf numFmtId="0" fontId="61" fillId="0" borderId="84" xfId="0" applyFont="1" applyBorder="1" applyAlignment="1">
      <alignment horizontal="center" vertical="center" wrapText="1"/>
    </xf>
    <xf numFmtId="14" fontId="55" fillId="0" borderId="42" xfId="0" applyNumberFormat="1" applyFont="1" applyBorder="1" applyAlignment="1" applyProtection="1">
      <alignment horizontal="center" vertical="center" wrapText="1"/>
      <protection locked="0"/>
    </xf>
    <xf numFmtId="0" fontId="55" fillId="0" borderId="42" xfId="0" applyFont="1" applyBorder="1" applyAlignment="1">
      <alignment horizontal="justify" vertical="center"/>
    </xf>
    <xf numFmtId="0" fontId="56" fillId="0" borderId="68" xfId="0" applyFont="1" applyBorder="1" applyAlignment="1" applyProtection="1">
      <alignment horizontal="center" vertical="center" textRotation="90" wrapText="1"/>
      <protection hidden="1"/>
    </xf>
    <xf numFmtId="9" fontId="55" fillId="0" borderId="68" xfId="0" applyNumberFormat="1" applyFont="1" applyBorder="1" applyAlignment="1" applyProtection="1">
      <alignment horizontal="center" vertical="center"/>
      <protection hidden="1"/>
    </xf>
    <xf numFmtId="0" fontId="56" fillId="0" borderId="68" xfId="0" applyFont="1" applyBorder="1" applyAlignment="1" applyProtection="1">
      <alignment horizontal="center" vertical="center" textRotation="90"/>
      <protection hidden="1"/>
    </xf>
    <xf numFmtId="0" fontId="55" fillId="0" borderId="43" xfId="0" applyFont="1" applyBorder="1" applyAlignment="1" applyProtection="1">
      <alignment horizontal="justify" vertical="center" wrapText="1"/>
      <protection locked="0"/>
    </xf>
    <xf numFmtId="0" fontId="55" fillId="0" borderId="51" xfId="0" applyFont="1" applyBorder="1" applyAlignment="1" applyProtection="1">
      <alignment horizontal="justify" vertical="center" wrapText="1"/>
      <protection locked="0"/>
    </xf>
    <xf numFmtId="0" fontId="55" fillId="0" borderId="42" xfId="0" applyFont="1" applyBorder="1" applyAlignment="1">
      <alignment horizontal="justify" vertical="center" wrapText="1"/>
    </xf>
    <xf numFmtId="0" fontId="55" fillId="0" borderId="42" xfId="0" applyFont="1" applyBorder="1" applyAlignment="1">
      <alignment horizontal="left" vertical="center" wrapText="1"/>
    </xf>
    <xf numFmtId="0" fontId="61" fillId="0" borderId="42" xfId="0" applyFont="1" applyBorder="1" applyAlignment="1" applyProtection="1">
      <alignment horizontal="center" vertical="center"/>
      <protection locked="0"/>
    </xf>
    <xf numFmtId="0" fontId="55" fillId="40" borderId="42" xfId="0" applyFont="1" applyFill="1" applyBorder="1" applyAlignment="1">
      <alignment horizontal="center" vertical="center" wrapText="1"/>
    </xf>
    <xf numFmtId="0" fontId="55" fillId="0" borderId="42" xfId="0" applyFont="1" applyBorder="1" applyAlignment="1">
      <alignment horizontal="justify" vertical="top" wrapText="1"/>
    </xf>
    <xf numFmtId="14" fontId="55" fillId="0" borderId="42" xfId="0" applyNumberFormat="1" applyFont="1" applyBorder="1" applyAlignment="1" applyProtection="1">
      <alignment horizontal="justify" vertical="center"/>
      <protection locked="0"/>
    </xf>
    <xf numFmtId="0" fontId="82" fillId="0" borderId="68" xfId="0" applyFont="1" applyBorder="1" applyAlignment="1">
      <alignment horizontal="center" vertical="center" wrapText="1"/>
    </xf>
    <xf numFmtId="0" fontId="55" fillId="0" borderId="90" xfId="0" applyFont="1" applyBorder="1" applyAlignment="1" applyProtection="1">
      <alignment vertical="center" wrapText="1"/>
      <protection locked="0"/>
    </xf>
    <xf numFmtId="14" fontId="55" fillId="0" borderId="90" xfId="0" applyNumberFormat="1" applyFont="1" applyBorder="1" applyAlignment="1" applyProtection="1">
      <alignment vertical="center" wrapText="1"/>
      <protection locked="0"/>
    </xf>
    <xf numFmtId="0" fontId="82" fillId="0" borderId="68" xfId="0" applyFont="1" applyBorder="1" applyAlignment="1">
      <alignment horizontal="center" vertical="center"/>
    </xf>
    <xf numFmtId="0" fontId="55" fillId="3" borderId="90" xfId="0" applyFont="1" applyFill="1" applyBorder="1" applyAlignment="1" applyProtection="1">
      <alignment vertical="center" wrapText="1"/>
      <protection locked="0"/>
    </xf>
    <xf numFmtId="0" fontId="55" fillId="0" borderId="42" xfId="0" applyFont="1" applyBorder="1" applyAlignment="1" applyProtection="1">
      <alignment horizontal="justify" vertical="center"/>
      <protection locked="0"/>
    </xf>
    <xf numFmtId="14" fontId="55" fillId="0" borderId="42" xfId="0" applyNumberFormat="1" applyFont="1" applyBorder="1" applyAlignment="1" applyProtection="1">
      <alignment horizontal="justify" vertical="center" wrapText="1"/>
      <protection locked="0"/>
    </xf>
    <xf numFmtId="0" fontId="82" fillId="0" borderId="91" xfId="0" applyFont="1" applyBorder="1" applyAlignment="1" applyProtection="1">
      <alignment horizontal="center" vertical="center" textRotation="90" wrapText="1"/>
      <protection locked="0"/>
    </xf>
    <xf numFmtId="0" fontId="55" fillId="0" borderId="68" xfId="0" applyFont="1" applyBorder="1" applyAlignment="1">
      <alignment horizontal="justify" vertical="center" wrapText="1"/>
    </xf>
    <xf numFmtId="0" fontId="61" fillId="0" borderId="84" xfId="0" applyFont="1" applyBorder="1" applyAlignment="1">
      <alignment horizontal="justify" vertical="center" wrapText="1"/>
    </xf>
    <xf numFmtId="0" fontId="107" fillId="0" borderId="42" xfId="0" applyFont="1" applyBorder="1" applyAlignment="1" applyProtection="1">
      <alignment horizontal="justify" vertical="center" wrapText="1"/>
      <protection locked="0"/>
    </xf>
    <xf numFmtId="0" fontId="107" fillId="0" borderId="42" xfId="0" applyFont="1" applyBorder="1" applyAlignment="1" applyProtection="1">
      <alignment horizontal="justify" vertical="center"/>
      <protection locked="0"/>
    </xf>
    <xf numFmtId="14" fontId="107" fillId="0" borderId="42" xfId="0" applyNumberFormat="1" applyFont="1" applyBorder="1" applyAlignment="1" applyProtection="1">
      <alignment horizontal="justify" vertical="center"/>
      <protection locked="0"/>
    </xf>
    <xf numFmtId="0" fontId="104" fillId="0" borderId="0" xfId="0" applyFont="1"/>
    <xf numFmtId="0" fontId="55" fillId="40" borderId="43" xfId="0" applyFont="1" applyFill="1" applyBorder="1" applyAlignment="1" applyProtection="1">
      <alignment horizontal="justify" vertical="center" wrapText="1"/>
      <protection locked="0"/>
    </xf>
    <xf numFmtId="0" fontId="55" fillId="0" borderId="43" xfId="0" applyFont="1" applyBorder="1" applyAlignment="1" applyProtection="1">
      <alignment vertical="center" wrapText="1"/>
      <protection locked="0"/>
    </xf>
    <xf numFmtId="0" fontId="55" fillId="0" borderId="43" xfId="0" applyFont="1" applyBorder="1" applyAlignment="1" applyProtection="1">
      <alignment horizontal="center" vertical="center"/>
      <protection locked="0"/>
    </xf>
    <xf numFmtId="14" fontId="55" fillId="0" borderId="43" xfId="0" applyNumberFormat="1" applyFont="1" applyBorder="1" applyAlignment="1" applyProtection="1">
      <alignment horizontal="center" vertical="center"/>
      <protection locked="0"/>
    </xf>
    <xf numFmtId="14" fontId="55" fillId="0" borderId="44" xfId="0" applyNumberFormat="1" applyFont="1" applyBorder="1" applyAlignment="1" applyProtection="1">
      <alignment horizontal="center" vertical="center" wrapText="1"/>
      <protection locked="0"/>
    </xf>
    <xf numFmtId="0" fontId="61" fillId="0" borderId="0" xfId="0" applyFont="1" applyAlignment="1">
      <alignment horizontal="center" vertical="center" wrapText="1"/>
    </xf>
    <xf numFmtId="14" fontId="61" fillId="0" borderId="42" xfId="0" applyNumberFormat="1" applyFont="1" applyBorder="1" applyAlignment="1" applyProtection="1">
      <alignment horizontal="center" vertical="center"/>
      <protection locked="0"/>
    </xf>
    <xf numFmtId="14" fontId="55" fillId="0" borderId="43" xfId="0" applyNumberFormat="1" applyFont="1" applyBorder="1" applyAlignment="1" applyProtection="1">
      <alignment vertical="center"/>
      <protection locked="0"/>
    </xf>
    <xf numFmtId="0" fontId="55" fillId="0" borderId="44" xfId="0" applyFont="1" applyBorder="1" applyAlignment="1" applyProtection="1">
      <alignment vertical="center" wrapText="1"/>
      <protection locked="0"/>
    </xf>
    <xf numFmtId="14" fontId="55" fillId="0" borderId="44" xfId="0" applyNumberFormat="1" applyFont="1" applyBorder="1" applyAlignment="1" applyProtection="1">
      <alignment vertical="center"/>
      <protection locked="0"/>
    </xf>
    <xf numFmtId="0" fontId="55" fillId="0" borderId="42" xfId="0" applyFont="1" applyBorder="1" applyAlignment="1" applyProtection="1">
      <alignment vertical="center" wrapText="1"/>
      <protection locked="0"/>
    </xf>
    <xf numFmtId="0" fontId="55" fillId="0" borderId="42" xfId="0" applyFont="1" applyBorder="1" applyAlignment="1" applyProtection="1">
      <alignment vertical="center"/>
      <protection locked="0"/>
    </xf>
    <xf numFmtId="0" fontId="55" fillId="0" borderId="0" xfId="0" applyFont="1" applyAlignment="1">
      <alignment horizontal="center" vertical="center" wrapText="1"/>
    </xf>
    <xf numFmtId="0" fontId="110" fillId="0" borderId="44" xfId="0" applyFont="1" applyBorder="1" applyAlignment="1" applyProtection="1">
      <alignment vertical="center" wrapText="1"/>
      <protection locked="0"/>
    </xf>
    <xf numFmtId="0" fontId="110" fillId="0" borderId="43" xfId="0" applyFont="1" applyBorder="1" applyAlignment="1" applyProtection="1">
      <alignment horizontal="center" vertical="center" wrapText="1"/>
      <protection locked="0"/>
    </xf>
    <xf numFmtId="0" fontId="110" fillId="0" borderId="42" xfId="0" applyFont="1" applyBorder="1" applyAlignment="1" applyProtection="1">
      <alignment horizontal="center" vertical="center" textRotation="90" wrapText="1"/>
      <protection locked="0"/>
    </xf>
    <xf numFmtId="0" fontId="55" fillId="0" borderId="58" xfId="0" applyFont="1" applyBorder="1" applyAlignment="1" applyProtection="1">
      <alignment vertical="center" wrapText="1"/>
      <protection locked="0"/>
    </xf>
    <xf numFmtId="0" fontId="61" fillId="0" borderId="42" xfId="0" applyFont="1" applyBorder="1" applyAlignment="1">
      <alignment horizontal="center" vertical="center" wrapText="1"/>
    </xf>
    <xf numFmtId="0" fontId="61" fillId="0" borderId="42" xfId="0" applyFont="1" applyBorder="1" applyAlignment="1">
      <alignment horizontal="left" vertical="center" wrapText="1"/>
    </xf>
    <xf numFmtId="0" fontId="61" fillId="0" borderId="43" xfId="0" applyFont="1" applyBorder="1" applyAlignment="1" applyProtection="1">
      <alignment vertical="center" wrapText="1"/>
      <protection locked="0"/>
    </xf>
    <xf numFmtId="0" fontId="61" fillId="0" borderId="43" xfId="0" applyFont="1" applyBorder="1" applyAlignment="1" applyProtection="1">
      <alignment vertical="center"/>
      <protection locked="0"/>
    </xf>
    <xf numFmtId="0" fontId="61" fillId="0" borderId="43" xfId="0" applyFont="1" applyBorder="1" applyAlignment="1">
      <alignment vertical="center" wrapText="1"/>
    </xf>
    <xf numFmtId="14" fontId="61" fillId="0" borderId="43" xfId="0" applyNumberFormat="1" applyFont="1" applyBorder="1" applyAlignment="1" applyProtection="1">
      <alignment vertical="center" wrapText="1"/>
      <protection locked="0"/>
    </xf>
    <xf numFmtId="0" fontId="61" fillId="0" borderId="42" xfId="0" applyFont="1" applyBorder="1" applyAlignment="1">
      <alignment horizontal="center" vertical="center"/>
    </xf>
    <xf numFmtId="0" fontId="61" fillId="0" borderId="42" xfId="0" applyFont="1" applyBorder="1" applyAlignment="1" applyProtection="1">
      <alignment horizontal="left" vertical="center" wrapText="1"/>
      <protection locked="0"/>
    </xf>
    <xf numFmtId="0" fontId="41" fillId="15" borderId="29" xfId="0" applyFont="1" applyFill="1" applyBorder="1" applyAlignment="1">
      <alignment horizontal="center" vertical="center" wrapText="1"/>
    </xf>
    <xf numFmtId="0" fontId="41" fillId="15" borderId="30" xfId="0" applyFont="1" applyFill="1" applyBorder="1" applyAlignment="1">
      <alignment horizontal="center" vertical="center" wrapText="1"/>
    </xf>
    <xf numFmtId="0" fontId="41" fillId="16" borderId="31" xfId="0" applyFont="1" applyFill="1" applyBorder="1" applyAlignment="1">
      <alignment horizontal="center" vertical="center" textRotation="90"/>
    </xf>
    <xf numFmtId="0" fontId="41" fillId="16" borderId="33" xfId="0" applyFont="1" applyFill="1" applyBorder="1" applyAlignment="1">
      <alignment horizontal="center" vertical="center" textRotation="90"/>
    </xf>
    <xf numFmtId="0" fontId="41" fillId="16" borderId="35" xfId="0" applyFont="1" applyFill="1" applyBorder="1" applyAlignment="1">
      <alignment horizontal="center" vertical="center" textRotation="90"/>
    </xf>
    <xf numFmtId="0" fontId="53" fillId="20" borderId="40" xfId="0" applyFont="1" applyFill="1" applyBorder="1" applyAlignment="1">
      <alignment horizontal="center" vertical="center"/>
    </xf>
    <xf numFmtId="0" fontId="53" fillId="20" borderId="41" xfId="0" applyFont="1" applyFill="1" applyBorder="1" applyAlignment="1">
      <alignment horizontal="center" vertical="center"/>
    </xf>
    <xf numFmtId="0" fontId="51" fillId="0" borderId="34" xfId="0" applyFont="1" applyBorder="1" applyAlignment="1">
      <alignment horizontal="center" vertical="center" wrapText="1"/>
    </xf>
    <xf numFmtId="0" fontId="51" fillId="0" borderId="33"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31" xfId="0" applyFont="1" applyBorder="1" applyAlignment="1">
      <alignment horizontal="center" vertical="center" wrapText="1"/>
    </xf>
    <xf numFmtId="0" fontId="56" fillId="0" borderId="42" xfId="0" applyFont="1" applyBorder="1" applyAlignment="1">
      <alignment horizontal="center" vertical="center"/>
    </xf>
    <xf numFmtId="0" fontId="55" fillId="0" borderId="68" xfId="0" applyFont="1" applyBorder="1" applyAlignment="1" applyProtection="1">
      <alignment horizontal="center" vertical="center" wrapText="1"/>
      <protection locked="0"/>
    </xf>
    <xf numFmtId="0" fontId="55" fillId="0" borderId="42" xfId="0" applyFont="1" applyBorder="1" applyAlignment="1" applyProtection="1">
      <alignment horizontal="center" vertical="center" wrapText="1"/>
      <protection locked="0"/>
    </xf>
    <xf numFmtId="0" fontId="55" fillId="0" borderId="42" xfId="0" applyFont="1" applyBorder="1" applyAlignment="1" applyProtection="1">
      <alignment horizontal="justify" vertical="center" wrapText="1"/>
      <protection locked="0"/>
    </xf>
    <xf numFmtId="0" fontId="55" fillId="0" borderId="43" xfId="0" applyFont="1" applyBorder="1" applyAlignment="1" applyProtection="1">
      <alignment horizontal="center" vertical="center" wrapText="1"/>
      <protection locked="0"/>
    </xf>
    <xf numFmtId="0" fontId="55" fillId="0" borderId="51" xfId="0" applyFont="1" applyBorder="1" applyAlignment="1" applyProtection="1">
      <alignment horizontal="center" vertical="center" wrapText="1"/>
      <protection locked="0"/>
    </xf>
    <xf numFmtId="0" fontId="55" fillId="0" borderId="44" xfId="0" applyFont="1" applyBorder="1" applyAlignment="1" applyProtection="1">
      <alignment horizontal="center" vertical="center" wrapText="1"/>
      <protection locked="0"/>
    </xf>
    <xf numFmtId="9" fontId="55" fillId="0" borderId="42" xfId="0" applyNumberFormat="1" applyFont="1" applyBorder="1" applyAlignment="1" applyProtection="1">
      <alignment horizontal="center" vertical="center" wrapText="1"/>
      <protection hidden="1"/>
    </xf>
    <xf numFmtId="9" fontId="55" fillId="0" borderId="42" xfId="0" applyNumberFormat="1" applyFont="1" applyBorder="1" applyAlignment="1" applyProtection="1">
      <alignment horizontal="center" vertical="center" wrapText="1"/>
      <protection locked="0"/>
    </xf>
    <xf numFmtId="0" fontId="56" fillId="0" borderId="43" xfId="0" applyFont="1" applyBorder="1" applyAlignment="1" applyProtection="1">
      <alignment horizontal="center" vertical="center" wrapText="1"/>
      <protection hidden="1"/>
    </xf>
    <xf numFmtId="0" fontId="56" fillId="0" borderId="51" xfId="0" applyFont="1" applyBorder="1" applyAlignment="1" applyProtection="1">
      <alignment horizontal="center" vertical="center" wrapText="1"/>
      <protection hidden="1"/>
    </xf>
    <xf numFmtId="0" fontId="56" fillId="0" borderId="44" xfId="0" applyFont="1" applyBorder="1" applyAlignment="1" applyProtection="1">
      <alignment horizontal="center" vertical="center" wrapText="1"/>
      <protection hidden="1"/>
    </xf>
    <xf numFmtId="9" fontId="55" fillId="0" borderId="43" xfId="0" applyNumberFormat="1" applyFont="1" applyBorder="1" applyAlignment="1" applyProtection="1">
      <alignment horizontal="center" vertical="center" wrapText="1"/>
      <protection hidden="1"/>
    </xf>
    <xf numFmtId="9" fontId="55" fillId="0" borderId="51" xfId="0" applyNumberFormat="1" applyFont="1" applyBorder="1" applyAlignment="1" applyProtection="1">
      <alignment horizontal="center" vertical="center" wrapText="1"/>
      <protection hidden="1"/>
    </xf>
    <xf numFmtId="9" fontId="55" fillId="0" borderId="44" xfId="0" applyNumberFormat="1" applyFont="1" applyBorder="1" applyAlignment="1" applyProtection="1">
      <alignment horizontal="center" vertical="center" wrapText="1"/>
      <protection hidden="1"/>
    </xf>
    <xf numFmtId="0" fontId="56" fillId="0" borderId="43" xfId="0" applyFont="1" applyBorder="1" applyAlignment="1" applyProtection="1">
      <alignment horizontal="center" vertical="center"/>
      <protection hidden="1"/>
    </xf>
    <xf numFmtId="0" fontId="56" fillId="0" borderId="51" xfId="0" applyFont="1" applyBorder="1" applyAlignment="1" applyProtection="1">
      <alignment horizontal="center" vertical="center"/>
      <protection hidden="1"/>
    </xf>
    <xf numFmtId="0" fontId="56" fillId="0" borderId="44" xfId="0" applyFont="1" applyBorder="1" applyAlignment="1" applyProtection="1">
      <alignment horizontal="center" vertical="center"/>
      <protection hidden="1"/>
    </xf>
    <xf numFmtId="0" fontId="55" fillId="0" borderId="42" xfId="0" applyFont="1" applyBorder="1" applyAlignment="1" applyProtection="1">
      <alignment horizontal="center" vertical="center"/>
      <protection locked="0"/>
    </xf>
    <xf numFmtId="0" fontId="56" fillId="0" borderId="42" xfId="0" applyFont="1" applyBorder="1" applyAlignment="1" applyProtection="1">
      <alignment horizontal="center" vertical="center" wrapText="1"/>
      <protection hidden="1"/>
    </xf>
    <xf numFmtId="0" fontId="56" fillId="0" borderId="42" xfId="0" applyFont="1" applyBorder="1" applyAlignment="1" applyProtection="1">
      <alignment horizontal="center" vertical="center"/>
      <protection hidden="1"/>
    </xf>
    <xf numFmtId="0" fontId="55" fillId="0" borderId="55" xfId="0" applyFont="1" applyBorder="1" applyAlignment="1">
      <alignment horizontal="center"/>
    </xf>
    <xf numFmtId="0" fontId="55" fillId="0" borderId="43" xfId="0" applyFont="1" applyBorder="1" applyAlignment="1" applyProtection="1">
      <alignment horizontal="justify" vertical="center" wrapText="1"/>
      <protection locked="0"/>
    </xf>
    <xf numFmtId="0" fontId="55" fillId="0" borderId="51" xfId="0" applyFont="1" applyBorder="1" applyAlignment="1" applyProtection="1">
      <alignment horizontal="justify" vertical="center" wrapText="1"/>
      <protection locked="0"/>
    </xf>
    <xf numFmtId="0" fontId="55" fillId="0" borderId="44" xfId="0" applyFont="1" applyBorder="1" applyAlignment="1" applyProtection="1">
      <alignment horizontal="justify" vertical="center" wrapText="1"/>
      <protection locked="0"/>
    </xf>
    <xf numFmtId="0" fontId="55" fillId="0" borderId="68" xfId="0" applyFont="1" applyBorder="1" applyAlignment="1" applyProtection="1">
      <alignment horizontal="justify" vertical="center" wrapText="1"/>
      <protection locked="0"/>
    </xf>
    <xf numFmtId="0" fontId="61" fillId="0" borderId="43" xfId="0" applyFont="1" applyBorder="1" applyAlignment="1" applyProtection="1">
      <alignment horizontal="left" vertical="center" wrapText="1"/>
      <protection locked="0"/>
    </xf>
    <xf numFmtId="0" fontId="61" fillId="0" borderId="51" xfId="0" applyFont="1" applyBorder="1" applyAlignment="1" applyProtection="1">
      <alignment horizontal="left" vertical="center" wrapText="1"/>
      <protection locked="0"/>
    </xf>
    <xf numFmtId="0" fontId="61" fillId="0" borderId="44" xfId="0" applyFont="1" applyBorder="1" applyAlignment="1" applyProtection="1">
      <alignment horizontal="left" vertical="center" wrapText="1"/>
      <protection locked="0"/>
    </xf>
    <xf numFmtId="0" fontId="61" fillId="0" borderId="42" xfId="0" applyFont="1" applyBorder="1" applyAlignment="1" applyProtection="1">
      <alignment horizontal="center" vertical="center"/>
      <protection locked="0"/>
    </xf>
    <xf numFmtId="0" fontId="55" fillId="0" borderId="43" xfId="0" applyFont="1" applyBorder="1" applyAlignment="1" applyProtection="1">
      <alignment horizontal="left" vertical="center" wrapText="1"/>
      <protection locked="0"/>
    </xf>
    <xf numFmtId="0" fontId="55" fillId="0" borderId="51" xfId="0" applyFont="1" applyBorder="1" applyAlignment="1" applyProtection="1">
      <alignment horizontal="left" vertical="center" wrapText="1"/>
      <protection locked="0"/>
    </xf>
    <xf numFmtId="0" fontId="55" fillId="0" borderId="44" xfId="0" applyFont="1" applyBorder="1" applyAlignment="1" applyProtection="1">
      <alignment horizontal="left" vertical="center" wrapText="1"/>
      <protection locked="0"/>
    </xf>
    <xf numFmtId="0" fontId="55" fillId="0" borderId="87" xfId="0" applyFont="1" applyBorder="1" applyAlignment="1" applyProtection="1">
      <alignment horizontal="justify" vertical="center" wrapText="1"/>
      <protection locked="0"/>
    </xf>
    <xf numFmtId="0" fontId="55" fillId="0" borderId="88" xfId="0" applyFont="1" applyBorder="1" applyAlignment="1" applyProtection="1">
      <alignment horizontal="left" vertical="center" wrapText="1"/>
      <protection locked="0"/>
    </xf>
    <xf numFmtId="0" fontId="55" fillId="0" borderId="86" xfId="0" applyFont="1" applyBorder="1" applyAlignment="1" applyProtection="1">
      <alignment horizontal="left" vertical="center" wrapText="1"/>
      <protection locked="0"/>
    </xf>
    <xf numFmtId="0" fontId="55" fillId="0" borderId="89" xfId="0" applyFont="1" applyBorder="1" applyAlignment="1" applyProtection="1">
      <alignment horizontal="left" vertical="center" wrapText="1"/>
      <protection locked="0"/>
    </xf>
    <xf numFmtId="0" fontId="55" fillId="0" borderId="88" xfId="0" applyFont="1" applyBorder="1" applyAlignment="1" applyProtection="1">
      <alignment horizontal="justify" vertical="center" wrapText="1"/>
      <protection locked="0"/>
    </xf>
    <xf numFmtId="0" fontId="55" fillId="0" borderId="86" xfId="0" applyFont="1" applyBorder="1" applyAlignment="1" applyProtection="1">
      <alignment horizontal="justify" vertical="center" wrapText="1"/>
      <protection locked="0"/>
    </xf>
    <xf numFmtId="0" fontId="55" fillId="0" borderId="66" xfId="0" applyFont="1" applyBorder="1" applyAlignment="1" applyProtection="1">
      <alignment horizontal="justify" vertical="center" wrapText="1"/>
      <protection locked="0"/>
    </xf>
    <xf numFmtId="0" fontId="55" fillId="0" borderId="66" xfId="0" applyFont="1" applyBorder="1" applyAlignment="1" applyProtection="1">
      <alignment horizontal="left" vertical="center" wrapText="1"/>
      <protection locked="0"/>
    </xf>
    <xf numFmtId="0" fontId="60" fillId="0" borderId="46" xfId="0" applyFont="1" applyBorder="1" applyAlignment="1">
      <alignment horizontal="center" vertical="center"/>
    </xf>
    <xf numFmtId="0" fontId="60" fillId="0" borderId="71" xfId="0" applyFont="1" applyBorder="1" applyAlignment="1">
      <alignment horizontal="center" vertical="center"/>
    </xf>
    <xf numFmtId="0" fontId="60" fillId="0" borderId="47" xfId="0" applyFont="1" applyBorder="1" applyAlignment="1">
      <alignment horizontal="center" vertical="center"/>
    </xf>
    <xf numFmtId="0" fontId="60" fillId="0" borderId="56" xfId="0" applyFont="1" applyBorder="1" applyAlignment="1">
      <alignment horizontal="center" vertical="center"/>
    </xf>
    <xf numFmtId="0" fontId="60" fillId="0" borderId="48" xfId="0" applyFont="1" applyBorder="1" applyAlignment="1">
      <alignment horizontal="center" vertical="center"/>
    </xf>
    <xf numFmtId="0" fontId="60" fillId="0" borderId="72" xfId="0" applyFont="1" applyBorder="1" applyAlignment="1">
      <alignment horizontal="center" vertical="center"/>
    </xf>
    <xf numFmtId="0" fontId="60" fillId="0" borderId="42" xfId="0" applyFont="1" applyBorder="1" applyAlignment="1">
      <alignment horizontal="center" vertical="center"/>
    </xf>
    <xf numFmtId="0" fontId="60" fillId="0" borderId="58" xfId="0" applyFont="1" applyBorder="1" applyAlignment="1">
      <alignment horizontal="center" vertical="center"/>
    </xf>
    <xf numFmtId="0" fontId="60" fillId="0" borderId="49" xfId="0" applyFont="1" applyBorder="1" applyAlignment="1">
      <alignment horizontal="center" vertical="center"/>
    </xf>
    <xf numFmtId="0" fontId="60" fillId="0" borderId="73" xfId="0" applyFont="1" applyBorder="1" applyAlignment="1">
      <alignment horizontal="center" vertical="center"/>
    </xf>
    <xf numFmtId="0" fontId="60" fillId="0" borderId="50" xfId="0" applyFont="1" applyBorder="1" applyAlignment="1">
      <alignment horizontal="center" vertical="center"/>
    </xf>
    <xf numFmtId="0" fontId="60" fillId="0" borderId="57" xfId="0" applyFont="1" applyBorder="1" applyAlignment="1">
      <alignment horizontal="center" vertical="center"/>
    </xf>
    <xf numFmtId="0" fontId="55" fillId="0" borderId="88" xfId="0" applyFont="1" applyBorder="1" applyAlignment="1" applyProtection="1">
      <alignment horizontal="center" vertical="center" wrapText="1"/>
      <protection locked="0"/>
    </xf>
    <xf numFmtId="0" fontId="55" fillId="0" borderId="86" xfId="0" applyFont="1" applyBorder="1" applyAlignment="1" applyProtection="1">
      <alignment horizontal="center" vertical="center" wrapText="1"/>
      <protection locked="0"/>
    </xf>
    <xf numFmtId="0" fontId="55" fillId="0" borderId="66" xfId="0" applyFont="1" applyBorder="1" applyAlignment="1" applyProtection="1">
      <alignment horizontal="center" vertical="center" wrapText="1"/>
      <protection locked="0"/>
    </xf>
    <xf numFmtId="0" fontId="56" fillId="24" borderId="52" xfId="0" applyFont="1" applyFill="1" applyBorder="1" applyAlignment="1">
      <alignment horizontal="center" vertical="center"/>
    </xf>
    <xf numFmtId="0" fontId="56" fillId="24" borderId="53" xfId="0" applyFont="1" applyFill="1" applyBorder="1" applyAlignment="1">
      <alignment horizontal="center" vertical="center"/>
    </xf>
    <xf numFmtId="0" fontId="56" fillId="24" borderId="54" xfId="0" applyFont="1" applyFill="1" applyBorder="1" applyAlignment="1">
      <alignment horizontal="center" vertical="center"/>
    </xf>
    <xf numFmtId="0" fontId="56" fillId="24" borderId="42" xfId="0" applyFont="1" applyFill="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horizontal="left" vertical="center"/>
    </xf>
    <xf numFmtId="0" fontId="56" fillId="25" borderId="42" xfId="0" applyFont="1" applyFill="1" applyBorder="1" applyAlignment="1">
      <alignment horizontal="center" vertical="center"/>
    </xf>
    <xf numFmtId="0" fontId="80" fillId="0" borderId="32" xfId="0" applyFont="1" applyBorder="1" applyAlignment="1">
      <alignment horizontal="center" vertical="center"/>
    </xf>
    <xf numFmtId="0" fontId="80" fillId="0" borderId="32" xfId="0" applyFont="1" applyBorder="1" applyAlignment="1">
      <alignment horizontal="left" vertical="center"/>
    </xf>
    <xf numFmtId="0" fontId="56" fillId="19" borderId="42" xfId="0" applyFont="1" applyFill="1" applyBorder="1" applyAlignment="1">
      <alignment horizontal="center" vertical="center" textRotation="90" wrapText="1"/>
    </xf>
    <xf numFmtId="0" fontId="61" fillId="0" borderId="43" xfId="0" applyFont="1" applyBorder="1" applyAlignment="1" applyProtection="1">
      <alignment horizontal="center" vertical="center" wrapText="1"/>
      <protection locked="0"/>
    </xf>
    <xf numFmtId="0" fontId="61" fillId="0" borderId="51" xfId="0" applyFont="1" applyBorder="1" applyAlignment="1" applyProtection="1">
      <alignment horizontal="center" vertical="center" wrapText="1"/>
      <protection locked="0"/>
    </xf>
    <xf numFmtId="0" fontId="61" fillId="0" borderId="44" xfId="0" applyFont="1" applyBorder="1" applyAlignment="1" applyProtection="1">
      <alignment horizontal="center" vertical="center" wrapText="1"/>
      <protection locked="0"/>
    </xf>
    <xf numFmtId="0" fontId="56" fillId="24" borderId="42" xfId="0" applyFont="1" applyFill="1" applyBorder="1" applyAlignment="1">
      <alignment horizontal="center" vertical="center"/>
    </xf>
    <xf numFmtId="0" fontId="56" fillId="19" borderId="43" xfId="0" applyFont="1" applyFill="1" applyBorder="1" applyAlignment="1">
      <alignment horizontal="center" vertical="center" wrapText="1"/>
    </xf>
    <xf numFmtId="0" fontId="56" fillId="19" borderId="44" xfId="0" applyFont="1" applyFill="1" applyBorder="1" applyAlignment="1">
      <alignment horizontal="center" vertical="center" wrapText="1"/>
    </xf>
    <xf numFmtId="0" fontId="55" fillId="0" borderId="87" xfId="0" applyFont="1" applyBorder="1" applyAlignment="1" applyProtection="1">
      <alignment horizontal="center" vertical="center" wrapText="1"/>
      <protection locked="0"/>
    </xf>
    <xf numFmtId="0" fontId="56" fillId="24" borderId="42" xfId="0" applyFont="1" applyFill="1" applyBorder="1" applyAlignment="1">
      <alignment horizontal="center" vertical="center" textRotation="90" wrapText="1"/>
    </xf>
    <xf numFmtId="0" fontId="56" fillId="24" borderId="42" xfId="0" applyFont="1" applyFill="1" applyBorder="1" applyAlignment="1">
      <alignment horizontal="center" vertical="center" textRotation="90"/>
    </xf>
    <xf numFmtId="0" fontId="55" fillId="0" borderId="55" xfId="0" applyFont="1" applyBorder="1" applyAlignment="1">
      <alignment horizontal="center" vertical="center" wrapText="1"/>
    </xf>
    <xf numFmtId="0" fontId="56" fillId="19" borderId="52" xfId="0" applyFont="1" applyFill="1" applyBorder="1" applyAlignment="1">
      <alignment horizontal="center" vertical="center"/>
    </xf>
    <xf numFmtId="0" fontId="56" fillId="19" borderId="53" xfId="0" applyFont="1" applyFill="1" applyBorder="1" applyAlignment="1">
      <alignment horizontal="center" vertical="center"/>
    </xf>
    <xf numFmtId="0" fontId="56" fillId="19" borderId="54" xfId="0" applyFont="1" applyFill="1" applyBorder="1" applyAlignment="1">
      <alignment horizontal="center" vertical="center"/>
    </xf>
    <xf numFmtId="0" fontId="56" fillId="19" borderId="52" xfId="0" applyFont="1" applyFill="1" applyBorder="1" applyAlignment="1">
      <alignment horizontal="center" vertical="center" wrapText="1"/>
    </xf>
    <xf numFmtId="0" fontId="56" fillId="19" borderId="53" xfId="0" applyFont="1" applyFill="1" applyBorder="1" applyAlignment="1">
      <alignment horizontal="center" vertical="center" wrapText="1"/>
    </xf>
    <xf numFmtId="0" fontId="56" fillId="19" borderId="54" xfId="0" applyFont="1" applyFill="1" applyBorder="1" applyAlignment="1">
      <alignment horizontal="center" vertical="center" wrapText="1"/>
    </xf>
    <xf numFmtId="0" fontId="56" fillId="25" borderId="42" xfId="0" applyFont="1" applyFill="1" applyBorder="1" applyAlignment="1">
      <alignment horizontal="center" vertical="center" wrapText="1"/>
    </xf>
    <xf numFmtId="0" fontId="56" fillId="19" borderId="42" xfId="0" applyFont="1" applyFill="1" applyBorder="1" applyAlignment="1">
      <alignment horizontal="center" vertical="center" wrapText="1"/>
    </xf>
    <xf numFmtId="0" fontId="56" fillId="25" borderId="52" xfId="0" applyFont="1" applyFill="1" applyBorder="1" applyAlignment="1">
      <alignment horizontal="center" vertical="center"/>
    </xf>
    <xf numFmtId="0" fontId="56" fillId="25" borderId="53" xfId="0" applyFont="1" applyFill="1" applyBorder="1" applyAlignment="1">
      <alignment horizontal="center" vertical="center"/>
    </xf>
    <xf numFmtId="0" fontId="55" fillId="0" borderId="85" xfId="0" applyFont="1" applyBorder="1" applyAlignment="1" applyProtection="1">
      <alignment horizontal="center" vertical="center" wrapText="1"/>
      <protection locked="0"/>
    </xf>
    <xf numFmtId="0" fontId="56" fillId="24" borderId="55" xfId="0" applyFont="1" applyFill="1" applyBorder="1" applyAlignment="1">
      <alignment horizontal="center" vertical="center" wrapText="1"/>
    </xf>
    <xf numFmtId="0" fontId="56" fillId="24" borderId="45" xfId="0" applyFont="1" applyFill="1" applyBorder="1" applyAlignment="1">
      <alignment horizontal="center" vertical="center" wrapText="1"/>
    </xf>
    <xf numFmtId="0" fontId="83" fillId="33" borderId="68" xfId="0" applyFont="1" applyFill="1" applyBorder="1" applyAlignment="1">
      <alignment horizontal="center" vertical="center" wrapText="1"/>
    </xf>
    <xf numFmtId="0" fontId="55" fillId="2" borderId="42" xfId="0" applyFont="1" applyFill="1" applyBorder="1" applyAlignment="1" applyProtection="1">
      <alignment horizontal="center" vertical="center" wrapText="1"/>
      <protection locked="0"/>
    </xf>
    <xf numFmtId="0" fontId="55" fillId="2" borderId="42" xfId="0" applyFont="1" applyFill="1" applyBorder="1" applyAlignment="1" applyProtection="1">
      <alignment horizontal="center" vertical="center"/>
      <protection locked="0"/>
    </xf>
    <xf numFmtId="0" fontId="55" fillId="3" borderId="42" xfId="0" applyFont="1" applyFill="1" applyBorder="1" applyAlignment="1" applyProtection="1">
      <alignment horizontal="center" vertical="center" wrapText="1"/>
      <protection locked="0"/>
    </xf>
    <xf numFmtId="0" fontId="55" fillId="3" borderId="42" xfId="0" applyFont="1" applyFill="1" applyBorder="1" applyAlignment="1" applyProtection="1">
      <alignment horizontal="justify" vertical="center" wrapText="1"/>
      <protection locked="0"/>
    </xf>
    <xf numFmtId="0" fontId="55" fillId="3" borderId="43" xfId="0" applyFont="1" applyFill="1" applyBorder="1" applyAlignment="1" applyProtection="1">
      <alignment horizontal="center" vertical="center" wrapText="1"/>
      <protection locked="0"/>
    </xf>
    <xf numFmtId="0" fontId="55" fillId="3" borderId="51" xfId="0" applyFont="1" applyFill="1" applyBorder="1" applyAlignment="1" applyProtection="1">
      <alignment horizontal="center" vertical="center" wrapText="1"/>
      <protection locked="0"/>
    </xf>
    <xf numFmtId="0" fontId="55" fillId="3" borderId="44" xfId="0" applyFont="1" applyFill="1" applyBorder="1" applyAlignment="1" applyProtection="1">
      <alignment horizontal="center" vertical="center" wrapText="1"/>
      <protection locked="0"/>
    </xf>
    <xf numFmtId="0" fontId="61" fillId="0" borderId="42" xfId="0" applyFont="1" applyBorder="1" applyAlignment="1" applyProtection="1">
      <alignment horizontal="center" vertical="center" wrapText="1"/>
      <protection locked="0"/>
    </xf>
    <xf numFmtId="0" fontId="14" fillId="10" borderId="0" xfId="0" applyFont="1" applyFill="1" applyAlignment="1">
      <alignment horizontal="center" vertical="center" textRotation="90" wrapText="1" readingOrder="1"/>
    </xf>
    <xf numFmtId="0" fontId="14" fillId="10" borderId="8" xfId="0" applyFont="1" applyFill="1" applyBorder="1" applyAlignment="1">
      <alignment horizontal="center" vertical="center" textRotation="90" wrapText="1" readingOrder="1"/>
    </xf>
    <xf numFmtId="0" fontId="17" fillId="12" borderId="13" xfId="0" applyFont="1" applyFill="1" applyBorder="1" applyAlignment="1">
      <alignment horizontal="center" vertical="center" wrapText="1" readingOrder="1"/>
    </xf>
    <xf numFmtId="0" fontId="17" fillId="12" borderId="14" xfId="0" applyFont="1" applyFill="1" applyBorder="1" applyAlignment="1">
      <alignment horizontal="center" vertical="center" wrapText="1" readingOrder="1"/>
    </xf>
    <xf numFmtId="0" fontId="17" fillId="12" borderId="15" xfId="0" applyFont="1" applyFill="1" applyBorder="1" applyAlignment="1">
      <alignment horizontal="center" vertical="center" wrapText="1" readingOrder="1"/>
    </xf>
    <xf numFmtId="0" fontId="17" fillId="12" borderId="16" xfId="0" applyFont="1" applyFill="1" applyBorder="1" applyAlignment="1">
      <alignment horizontal="center" vertical="center" wrapText="1" readingOrder="1"/>
    </xf>
    <xf numFmtId="0" fontId="17" fillId="12" borderId="0" xfId="0" applyFont="1" applyFill="1" applyAlignment="1">
      <alignment horizontal="center" vertical="center" wrapText="1" readingOrder="1"/>
    </xf>
    <xf numFmtId="0" fontId="17" fillId="12" borderId="17" xfId="0" applyFont="1" applyFill="1" applyBorder="1" applyAlignment="1">
      <alignment horizontal="center" vertical="center" wrapText="1" readingOrder="1"/>
    </xf>
    <xf numFmtId="0" fontId="17" fillId="12" borderId="18" xfId="0" applyFont="1" applyFill="1" applyBorder="1" applyAlignment="1">
      <alignment horizontal="center" vertical="center" wrapText="1" readingOrder="1"/>
    </xf>
    <xf numFmtId="0" fontId="17" fillId="12" borderId="19" xfId="0" applyFont="1" applyFill="1" applyBorder="1" applyAlignment="1">
      <alignment horizontal="center" vertical="center" wrapText="1" readingOrder="1"/>
    </xf>
    <xf numFmtId="0" fontId="17" fillId="12" borderId="20" xfId="0" applyFont="1" applyFill="1" applyBorder="1" applyAlignment="1">
      <alignment horizontal="center" vertical="center" wrapText="1" readingOrder="1"/>
    </xf>
    <xf numFmtId="0" fontId="17" fillId="11" borderId="13" xfId="0" applyFont="1" applyFill="1" applyBorder="1" applyAlignment="1">
      <alignment horizontal="center" vertical="center" wrapText="1" readingOrder="1"/>
    </xf>
    <xf numFmtId="0" fontId="17" fillId="11" borderId="14" xfId="0" applyFont="1" applyFill="1" applyBorder="1" applyAlignment="1">
      <alignment horizontal="center" vertical="center" wrapText="1" readingOrder="1"/>
    </xf>
    <xf numFmtId="0" fontId="17" fillId="11" borderId="15" xfId="0" applyFont="1" applyFill="1" applyBorder="1" applyAlignment="1">
      <alignment horizontal="center" vertical="center" wrapText="1" readingOrder="1"/>
    </xf>
    <xf numFmtId="0" fontId="17" fillId="11" borderId="16" xfId="0" applyFont="1" applyFill="1" applyBorder="1" applyAlignment="1">
      <alignment horizontal="center" vertical="center" wrapText="1" readingOrder="1"/>
    </xf>
    <xf numFmtId="0" fontId="17" fillId="11" borderId="0" xfId="0" applyFont="1" applyFill="1" applyAlignment="1">
      <alignment horizontal="center" vertical="center" wrapText="1" readingOrder="1"/>
    </xf>
    <xf numFmtId="0" fontId="17" fillId="11" borderId="17" xfId="0" applyFont="1" applyFill="1" applyBorder="1" applyAlignment="1">
      <alignment horizontal="center" vertical="center" wrapText="1" readingOrder="1"/>
    </xf>
    <xf numFmtId="0" fontId="17" fillId="11" borderId="18" xfId="0" applyFont="1" applyFill="1" applyBorder="1" applyAlignment="1">
      <alignment horizontal="center" vertical="center" wrapText="1" readingOrder="1"/>
    </xf>
    <xf numFmtId="0" fontId="17" fillId="11" borderId="19" xfId="0" applyFont="1" applyFill="1" applyBorder="1" applyAlignment="1">
      <alignment horizontal="center" vertical="center" wrapText="1" readingOrder="1"/>
    </xf>
    <xf numFmtId="0" fontId="17" fillId="11" borderId="20" xfId="0" applyFont="1" applyFill="1" applyBorder="1" applyAlignment="1">
      <alignment horizontal="center" vertical="center" wrapText="1" readingOrder="1"/>
    </xf>
    <xf numFmtId="0" fontId="17" fillId="13" borderId="13" xfId="0" applyFont="1" applyFill="1" applyBorder="1" applyAlignment="1">
      <alignment horizontal="center" vertical="center" wrapText="1" readingOrder="1"/>
    </xf>
    <xf numFmtId="0" fontId="17" fillId="13" borderId="14" xfId="0" applyFont="1" applyFill="1" applyBorder="1" applyAlignment="1">
      <alignment horizontal="center" vertical="center" wrapText="1" readingOrder="1"/>
    </xf>
    <xf numFmtId="0" fontId="17" fillId="13" borderId="15" xfId="0" applyFont="1" applyFill="1" applyBorder="1" applyAlignment="1">
      <alignment horizontal="center" vertical="center" wrapText="1" readingOrder="1"/>
    </xf>
    <xf numFmtId="0" fontId="17" fillId="13" borderId="16" xfId="0" applyFont="1" applyFill="1" applyBorder="1" applyAlignment="1">
      <alignment horizontal="center" vertical="center" wrapText="1" readingOrder="1"/>
    </xf>
    <xf numFmtId="0" fontId="17" fillId="13" borderId="0" xfId="0" applyFont="1" applyFill="1" applyAlignment="1">
      <alignment horizontal="center" vertical="center" wrapText="1" readingOrder="1"/>
    </xf>
    <xf numFmtId="0" fontId="17" fillId="13" borderId="17" xfId="0" applyFont="1" applyFill="1" applyBorder="1" applyAlignment="1">
      <alignment horizontal="center" vertical="center" wrapText="1" readingOrder="1"/>
    </xf>
    <xf numFmtId="0" fontId="17" fillId="13" borderId="18" xfId="0" applyFont="1" applyFill="1" applyBorder="1" applyAlignment="1">
      <alignment horizontal="center" vertical="center" wrapText="1" readingOrder="1"/>
    </xf>
    <xf numFmtId="0" fontId="17" fillId="13" borderId="19" xfId="0" applyFont="1" applyFill="1" applyBorder="1" applyAlignment="1">
      <alignment horizontal="center" vertical="center" wrapText="1" readingOrder="1"/>
    </xf>
    <xf numFmtId="0" fontId="17" fillId="13" borderId="20" xfId="0" applyFont="1" applyFill="1" applyBorder="1" applyAlignment="1">
      <alignment horizontal="center" vertical="center" wrapText="1" readingOrder="1"/>
    </xf>
    <xf numFmtId="0" fontId="17" fillId="5" borderId="13" xfId="0" applyFont="1" applyFill="1" applyBorder="1" applyAlignment="1">
      <alignment horizontal="center" vertical="center" wrapText="1" readingOrder="1"/>
    </xf>
    <xf numFmtId="0" fontId="17" fillId="5" borderId="14" xfId="0" applyFont="1" applyFill="1" applyBorder="1" applyAlignment="1">
      <alignment horizontal="center" vertical="center" wrapText="1" readingOrder="1"/>
    </xf>
    <xf numFmtId="0" fontId="17" fillId="5" borderId="15" xfId="0" applyFont="1" applyFill="1" applyBorder="1" applyAlignment="1">
      <alignment horizontal="center" vertical="center" wrapText="1" readingOrder="1"/>
    </xf>
    <xf numFmtId="0" fontId="17" fillId="5" borderId="16" xfId="0" applyFont="1" applyFill="1" applyBorder="1" applyAlignment="1">
      <alignment horizontal="center" vertical="center" wrapText="1" readingOrder="1"/>
    </xf>
    <xf numFmtId="0" fontId="17" fillId="5" borderId="0" xfId="0" applyFont="1" applyFill="1" applyAlignment="1">
      <alignment horizontal="center" vertical="center" wrapText="1" readingOrder="1"/>
    </xf>
    <xf numFmtId="0" fontId="17" fillId="5" borderId="17" xfId="0" applyFont="1" applyFill="1" applyBorder="1" applyAlignment="1">
      <alignment horizontal="center" vertical="center" wrapText="1" readingOrder="1"/>
    </xf>
    <xf numFmtId="0" fontId="17" fillId="5" borderId="18" xfId="0" applyFont="1" applyFill="1" applyBorder="1" applyAlignment="1">
      <alignment horizontal="center" vertical="center" wrapText="1" readingOrder="1"/>
    </xf>
    <xf numFmtId="0" fontId="17" fillId="5" borderId="19" xfId="0" applyFont="1" applyFill="1" applyBorder="1" applyAlignment="1">
      <alignment horizontal="center" vertical="center" wrapText="1" readingOrder="1"/>
    </xf>
    <xf numFmtId="0" fontId="17" fillId="5" borderId="20" xfId="0" applyFont="1" applyFill="1" applyBorder="1" applyAlignment="1">
      <alignment horizontal="center" vertical="center" wrapText="1" readingOrder="1"/>
    </xf>
    <xf numFmtId="0" fontId="13" fillId="0" borderId="5" xfId="0" applyFont="1" applyBorder="1" applyAlignment="1">
      <alignment horizontal="center" vertical="center" wrapText="1"/>
    </xf>
    <xf numFmtId="0" fontId="13" fillId="0" borderId="12"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1" xfId="0" applyFont="1" applyBorder="1" applyAlignment="1">
      <alignment horizontal="center" vertical="center"/>
    </xf>
    <xf numFmtId="0" fontId="13" fillId="0" borderId="10" xfId="0" applyFont="1" applyBorder="1" applyAlignment="1">
      <alignment horizontal="center" vertical="center"/>
    </xf>
    <xf numFmtId="0" fontId="16" fillId="11" borderId="0" xfId="0" applyFont="1" applyFill="1" applyAlignment="1" applyProtection="1">
      <alignment horizontal="center" vertical="center" wrapText="1" readingOrder="1"/>
      <protection hidden="1"/>
    </xf>
    <xf numFmtId="0" fontId="16" fillId="11" borderId="8" xfId="0" applyFont="1" applyFill="1" applyBorder="1" applyAlignment="1" applyProtection="1">
      <alignment horizontal="center" vertical="center" wrapText="1" readingOrder="1"/>
      <protection hidden="1"/>
    </xf>
    <xf numFmtId="0" fontId="16" fillId="11" borderId="5" xfId="0" applyFont="1" applyFill="1" applyBorder="1" applyAlignment="1" applyProtection="1">
      <alignment horizontal="center" vertical="center" wrapText="1" readingOrder="1"/>
      <protection hidden="1"/>
    </xf>
    <xf numFmtId="0" fontId="16" fillId="11" borderId="12" xfId="0" applyFont="1" applyFill="1" applyBorder="1" applyAlignment="1" applyProtection="1">
      <alignment horizontal="center" vertical="center" wrapText="1" readingOrder="1"/>
      <protection hidden="1"/>
    </xf>
    <xf numFmtId="0" fontId="16" fillId="11" borderId="7" xfId="0" applyFont="1" applyFill="1" applyBorder="1" applyAlignment="1" applyProtection="1">
      <alignment horizontal="center" vertical="center" wrapText="1" readingOrder="1"/>
      <protection hidden="1"/>
    </xf>
    <xf numFmtId="0" fontId="16" fillId="11" borderId="6" xfId="0" applyFont="1" applyFill="1" applyBorder="1" applyAlignment="1" applyProtection="1">
      <alignment horizontal="center" vertical="center" wrapText="1" readingOrder="1"/>
      <protection hidden="1"/>
    </xf>
    <xf numFmtId="0" fontId="14" fillId="10" borderId="0" xfId="0" applyFont="1" applyFill="1" applyAlignment="1">
      <alignment horizontal="center" vertical="center" wrapText="1" readingOrder="1"/>
    </xf>
    <xf numFmtId="0" fontId="13" fillId="0" borderId="12" xfId="0" applyFont="1" applyBorder="1" applyAlignment="1">
      <alignment horizontal="center" vertical="center" wrapText="1"/>
    </xf>
    <xf numFmtId="0" fontId="16" fillId="11" borderId="9" xfId="0" applyFont="1" applyFill="1" applyBorder="1" applyAlignment="1" applyProtection="1">
      <alignment horizontal="center" vertical="center" wrapText="1" readingOrder="1"/>
      <protection hidden="1"/>
    </xf>
    <xf numFmtId="0" fontId="16" fillId="11" borderId="11" xfId="0" applyFont="1" applyFill="1" applyBorder="1" applyAlignment="1" applyProtection="1">
      <alignment horizontal="center" vertical="center" wrapText="1" readingOrder="1"/>
      <protection hidden="1"/>
    </xf>
    <xf numFmtId="0" fontId="16" fillId="11" borderId="10" xfId="0" applyFont="1" applyFill="1" applyBorder="1" applyAlignment="1" applyProtection="1">
      <alignment horizontal="center" vertical="center" wrapText="1" readingOrder="1"/>
      <protection hidden="1"/>
    </xf>
    <xf numFmtId="0" fontId="16" fillId="12" borderId="7" xfId="0" applyFont="1" applyFill="1" applyBorder="1" applyAlignment="1" applyProtection="1">
      <alignment horizontal="center" wrapText="1" readingOrder="1"/>
      <protection hidden="1"/>
    </xf>
    <xf numFmtId="0" fontId="16" fillId="12" borderId="0" xfId="0" applyFont="1" applyFill="1" applyAlignment="1" applyProtection="1">
      <alignment horizontal="center" wrapText="1" readingOrder="1"/>
      <protection hidden="1"/>
    </xf>
    <xf numFmtId="0" fontId="16" fillId="12" borderId="8" xfId="0" applyFont="1" applyFill="1" applyBorder="1" applyAlignment="1" applyProtection="1">
      <alignment horizontal="center" wrapText="1" readingOrder="1"/>
      <protection hidden="1"/>
    </xf>
    <xf numFmtId="0" fontId="16" fillId="12" borderId="9" xfId="0" applyFont="1" applyFill="1" applyBorder="1" applyAlignment="1" applyProtection="1">
      <alignment horizontal="center" wrapText="1" readingOrder="1"/>
      <protection hidden="1"/>
    </xf>
    <xf numFmtId="0" fontId="16" fillId="12" borderId="11" xfId="0" applyFont="1" applyFill="1" applyBorder="1" applyAlignment="1" applyProtection="1">
      <alignment horizontal="center" wrapText="1" readingOrder="1"/>
      <protection hidden="1"/>
    </xf>
    <xf numFmtId="0" fontId="16" fillId="12" borderId="10" xfId="0" applyFont="1" applyFill="1" applyBorder="1" applyAlignment="1" applyProtection="1">
      <alignment horizontal="center" wrapText="1" readingOrder="1"/>
      <protection hidden="1"/>
    </xf>
    <xf numFmtId="0" fontId="16" fillId="12" borderId="5" xfId="0" applyFont="1" applyFill="1" applyBorder="1" applyAlignment="1" applyProtection="1">
      <alignment horizontal="center" wrapText="1" readingOrder="1"/>
      <protection hidden="1"/>
    </xf>
    <xf numFmtId="0" fontId="16" fillId="12" borderId="12" xfId="0" applyFont="1" applyFill="1" applyBorder="1" applyAlignment="1" applyProtection="1">
      <alignment horizontal="center" wrapText="1" readingOrder="1"/>
      <protection hidden="1"/>
    </xf>
    <xf numFmtId="0" fontId="16" fillId="12" borderId="6" xfId="0" applyFont="1" applyFill="1" applyBorder="1" applyAlignment="1" applyProtection="1">
      <alignment horizontal="center" wrapText="1" readingOrder="1"/>
      <protection hidden="1"/>
    </xf>
    <xf numFmtId="0" fontId="16" fillId="13" borderId="7" xfId="0" applyFont="1" applyFill="1" applyBorder="1" applyAlignment="1" applyProtection="1">
      <alignment horizontal="center" wrapText="1" readingOrder="1"/>
      <protection hidden="1"/>
    </xf>
    <xf numFmtId="0" fontId="16" fillId="13" borderId="0" xfId="0" applyFont="1" applyFill="1" applyAlignment="1" applyProtection="1">
      <alignment horizontal="center" wrapText="1" readingOrder="1"/>
      <protection hidden="1"/>
    </xf>
    <xf numFmtId="0" fontId="16" fillId="13" borderId="8" xfId="0" applyFont="1" applyFill="1" applyBorder="1" applyAlignment="1" applyProtection="1">
      <alignment horizontal="center" wrapText="1" readingOrder="1"/>
      <protection hidden="1"/>
    </xf>
    <xf numFmtId="0" fontId="16" fillId="13" borderId="9" xfId="0" applyFont="1" applyFill="1" applyBorder="1" applyAlignment="1" applyProtection="1">
      <alignment horizontal="center" wrapText="1" readingOrder="1"/>
      <protection hidden="1"/>
    </xf>
    <xf numFmtId="0" fontId="16" fillId="13" borderId="11" xfId="0" applyFont="1" applyFill="1" applyBorder="1" applyAlignment="1" applyProtection="1">
      <alignment horizontal="center" wrapText="1" readingOrder="1"/>
      <protection hidden="1"/>
    </xf>
    <xf numFmtId="0" fontId="16" fillId="13" borderId="10" xfId="0" applyFont="1" applyFill="1" applyBorder="1" applyAlignment="1" applyProtection="1">
      <alignment horizontal="center" wrapText="1" readingOrder="1"/>
      <protection hidden="1"/>
    </xf>
    <xf numFmtId="0" fontId="16" fillId="13" borderId="5" xfId="0" applyFont="1" applyFill="1" applyBorder="1" applyAlignment="1" applyProtection="1">
      <alignment horizontal="center" wrapText="1" readingOrder="1"/>
      <protection hidden="1"/>
    </xf>
    <xf numFmtId="0" fontId="16" fillId="13" borderId="12" xfId="0" applyFont="1" applyFill="1" applyBorder="1" applyAlignment="1" applyProtection="1">
      <alignment horizontal="center" wrapText="1" readingOrder="1"/>
      <protection hidden="1"/>
    </xf>
    <xf numFmtId="0" fontId="16" fillId="13" borderId="6" xfId="0" applyFont="1" applyFill="1" applyBorder="1" applyAlignment="1" applyProtection="1">
      <alignment horizontal="center" wrapText="1" readingOrder="1"/>
      <protection hidden="1"/>
    </xf>
    <xf numFmtId="0" fontId="16" fillId="5" borderId="0" xfId="0" applyFont="1" applyFill="1" applyAlignment="1" applyProtection="1">
      <alignment horizontal="center" wrapText="1" readingOrder="1"/>
      <protection hidden="1"/>
    </xf>
    <xf numFmtId="0" fontId="16" fillId="5" borderId="8" xfId="0" applyFont="1" applyFill="1" applyBorder="1" applyAlignment="1" applyProtection="1">
      <alignment horizontal="center" wrapText="1" readingOrder="1"/>
      <protection hidden="1"/>
    </xf>
    <xf numFmtId="0" fontId="16" fillId="5" borderId="7" xfId="0" applyFont="1" applyFill="1" applyBorder="1" applyAlignment="1" applyProtection="1">
      <alignment horizontal="center" wrapText="1" readingOrder="1"/>
      <protection hidden="1"/>
    </xf>
    <xf numFmtId="0" fontId="16" fillId="5" borderId="9" xfId="0" applyFont="1" applyFill="1" applyBorder="1" applyAlignment="1" applyProtection="1">
      <alignment horizontal="center" wrapText="1" readingOrder="1"/>
      <protection hidden="1"/>
    </xf>
    <xf numFmtId="0" fontId="16" fillId="5" borderId="11" xfId="0" applyFont="1" applyFill="1" applyBorder="1" applyAlignment="1" applyProtection="1">
      <alignment horizontal="center" wrapText="1" readingOrder="1"/>
      <protection hidden="1"/>
    </xf>
    <xf numFmtId="0" fontId="16" fillId="5" borderId="10" xfId="0" applyFont="1" applyFill="1" applyBorder="1" applyAlignment="1" applyProtection="1">
      <alignment horizontal="center" wrapText="1" readingOrder="1"/>
      <protection hidden="1"/>
    </xf>
    <xf numFmtId="0" fontId="16" fillId="5" borderId="5" xfId="0" applyFont="1" applyFill="1" applyBorder="1" applyAlignment="1" applyProtection="1">
      <alignment horizontal="center" wrapText="1" readingOrder="1"/>
      <protection hidden="1"/>
    </xf>
    <xf numFmtId="0" fontId="16" fillId="5" borderId="12" xfId="0" applyFont="1" applyFill="1" applyBorder="1" applyAlignment="1" applyProtection="1">
      <alignment horizontal="center" wrapText="1" readingOrder="1"/>
      <protection hidden="1"/>
    </xf>
    <xf numFmtId="0" fontId="16" fillId="5" borderId="6" xfId="0" applyFont="1" applyFill="1" applyBorder="1" applyAlignment="1" applyProtection="1">
      <alignment horizontal="center" wrapText="1" readingOrder="1"/>
      <protection hidden="1"/>
    </xf>
    <xf numFmtId="0" fontId="20" fillId="22" borderId="0" xfId="0" applyFont="1" applyFill="1" applyAlignment="1">
      <alignment horizontal="center" vertical="center" wrapText="1"/>
    </xf>
    <xf numFmtId="0" fontId="28" fillId="11" borderId="13" xfId="0" applyFont="1" applyFill="1" applyBorder="1" applyAlignment="1">
      <alignment horizontal="center" vertical="center" wrapText="1" readingOrder="1"/>
    </xf>
    <xf numFmtId="0" fontId="28" fillId="11" borderId="14" xfId="0" applyFont="1" applyFill="1" applyBorder="1" applyAlignment="1">
      <alignment horizontal="center" vertical="center" wrapText="1" readingOrder="1"/>
    </xf>
    <xf numFmtId="0" fontId="28" fillId="11" borderId="15" xfId="0" applyFont="1" applyFill="1" applyBorder="1" applyAlignment="1">
      <alignment horizontal="center" vertical="center" wrapText="1" readingOrder="1"/>
    </xf>
    <xf numFmtId="0" fontId="28" fillId="11" borderId="16" xfId="0" applyFont="1" applyFill="1" applyBorder="1" applyAlignment="1">
      <alignment horizontal="center" vertical="center" wrapText="1" readingOrder="1"/>
    </xf>
    <xf numFmtId="0" fontId="28" fillId="11" borderId="0" xfId="0" applyFont="1" applyFill="1" applyAlignment="1">
      <alignment horizontal="center" vertical="center" wrapText="1" readingOrder="1"/>
    </xf>
    <xf numFmtId="0" fontId="28" fillId="11" borderId="17" xfId="0" applyFont="1" applyFill="1" applyBorder="1" applyAlignment="1">
      <alignment horizontal="center" vertical="center" wrapText="1" readingOrder="1"/>
    </xf>
    <xf numFmtId="0" fontId="28" fillId="11" borderId="18" xfId="0" applyFont="1" applyFill="1" applyBorder="1" applyAlignment="1">
      <alignment horizontal="center" vertical="center" wrapText="1" readingOrder="1"/>
    </xf>
    <xf numFmtId="0" fontId="28" fillId="11" borderId="19" xfId="0" applyFont="1" applyFill="1" applyBorder="1" applyAlignment="1">
      <alignment horizontal="center" vertical="center" wrapText="1" readingOrder="1"/>
    </xf>
    <xf numFmtId="0" fontId="28" fillId="11" borderId="20" xfId="0" applyFont="1" applyFill="1" applyBorder="1" applyAlignment="1">
      <alignment horizontal="center" vertical="center" wrapText="1" readingOrder="1"/>
    </xf>
    <xf numFmtId="0" fontId="29" fillId="0" borderId="5" xfId="0" applyFont="1" applyBorder="1" applyAlignment="1">
      <alignment horizontal="center" vertical="center" wrapText="1"/>
    </xf>
    <xf numFmtId="0" fontId="29" fillId="0" borderId="12" xfId="0" applyFont="1" applyBorder="1" applyAlignment="1">
      <alignment horizontal="center" vertical="center"/>
    </xf>
    <xf numFmtId="0" fontId="29" fillId="0" borderId="7" xfId="0" applyFont="1" applyBorder="1" applyAlignment="1">
      <alignment horizontal="center" vertical="center" wrapText="1"/>
    </xf>
    <xf numFmtId="0" fontId="29" fillId="0" borderId="0" xfId="0" applyFont="1" applyAlignment="1">
      <alignment horizontal="center" vertical="center"/>
    </xf>
    <xf numFmtId="0" fontId="29" fillId="0" borderId="7" xfId="0" applyFont="1" applyBorder="1" applyAlignment="1">
      <alignment horizontal="center" vertical="center"/>
    </xf>
    <xf numFmtId="0" fontId="29" fillId="0" borderId="9" xfId="0" applyFont="1" applyBorder="1" applyAlignment="1">
      <alignment horizontal="center" vertical="center"/>
    </xf>
    <xf numFmtId="0" fontId="29" fillId="0" borderId="11" xfId="0" applyFont="1" applyBorder="1" applyAlignment="1">
      <alignment horizontal="center" vertical="center"/>
    </xf>
    <xf numFmtId="0" fontId="28" fillId="12" borderId="13" xfId="0" applyFont="1" applyFill="1" applyBorder="1" applyAlignment="1">
      <alignment horizontal="center" vertical="center" wrapText="1" readingOrder="1"/>
    </xf>
    <xf numFmtId="0" fontId="28" fillId="12" borderId="14" xfId="0" applyFont="1" applyFill="1" applyBorder="1" applyAlignment="1">
      <alignment horizontal="center" vertical="center" wrapText="1" readingOrder="1"/>
    </xf>
    <xf numFmtId="0" fontId="28" fillId="12" borderId="15" xfId="0" applyFont="1" applyFill="1" applyBorder="1" applyAlignment="1">
      <alignment horizontal="center" vertical="center" wrapText="1" readingOrder="1"/>
    </xf>
    <xf numFmtId="0" fontId="28" fillId="12" borderId="16" xfId="0" applyFont="1" applyFill="1" applyBorder="1" applyAlignment="1">
      <alignment horizontal="center" vertical="center" wrapText="1" readingOrder="1"/>
    </xf>
    <xf numFmtId="0" fontId="28" fillId="12" borderId="0" xfId="0" applyFont="1" applyFill="1" applyAlignment="1">
      <alignment horizontal="center" vertical="center" wrapText="1" readingOrder="1"/>
    </xf>
    <xf numFmtId="0" fontId="28" fillId="12" borderId="17" xfId="0" applyFont="1" applyFill="1" applyBorder="1" applyAlignment="1">
      <alignment horizontal="center" vertical="center" wrapText="1" readingOrder="1"/>
    </xf>
    <xf numFmtId="0" fontId="28" fillId="12" borderId="18" xfId="0" applyFont="1" applyFill="1" applyBorder="1" applyAlignment="1">
      <alignment horizontal="center" vertical="center" wrapText="1" readingOrder="1"/>
    </xf>
    <xf numFmtId="0" fontId="28" fillId="12" borderId="19" xfId="0" applyFont="1" applyFill="1" applyBorder="1" applyAlignment="1">
      <alignment horizontal="center" vertical="center" wrapText="1" readingOrder="1"/>
    </xf>
    <xf numFmtId="0" fontId="28" fillId="12" borderId="20" xfId="0" applyFont="1" applyFill="1" applyBorder="1" applyAlignment="1">
      <alignment horizontal="center" vertical="center" wrapText="1" readingOrder="1"/>
    </xf>
    <xf numFmtId="0" fontId="63" fillId="22" borderId="0" xfId="0" applyFont="1" applyFill="1" applyAlignment="1">
      <alignment horizontal="center" vertical="center" wrapText="1"/>
    </xf>
    <xf numFmtId="0" fontId="19" fillId="22" borderId="0" xfId="0" applyFont="1" applyFill="1" applyAlignment="1">
      <alignment horizontal="center" vertical="center" wrapText="1"/>
    </xf>
    <xf numFmtId="0" fontId="29" fillId="0" borderId="6" xfId="0" applyFont="1" applyBorder="1" applyAlignment="1">
      <alignment horizontal="center" vertical="center"/>
    </xf>
    <xf numFmtId="0" fontId="29" fillId="0" borderId="8" xfId="0" applyFont="1" applyBorder="1" applyAlignment="1">
      <alignment horizontal="center" vertical="center"/>
    </xf>
    <xf numFmtId="0" fontId="29" fillId="0" borderId="10" xfId="0" applyFont="1" applyBorder="1" applyAlignment="1">
      <alignment horizontal="center" vertical="center"/>
    </xf>
    <xf numFmtId="0" fontId="28" fillId="5" borderId="13" xfId="0" applyFont="1" applyFill="1" applyBorder="1" applyAlignment="1">
      <alignment horizontal="center" vertical="center" wrapText="1" readingOrder="1"/>
    </xf>
    <xf numFmtId="0" fontId="28" fillId="5" borderId="14" xfId="0" applyFont="1" applyFill="1" applyBorder="1" applyAlignment="1">
      <alignment horizontal="center" vertical="center" wrapText="1" readingOrder="1"/>
    </xf>
    <xf numFmtId="0" fontId="28" fillId="5" borderId="15" xfId="0" applyFont="1" applyFill="1" applyBorder="1" applyAlignment="1">
      <alignment horizontal="center" vertical="center" wrapText="1" readingOrder="1"/>
    </xf>
    <xf numFmtId="0" fontId="28" fillId="5" borderId="16" xfId="0" applyFont="1" applyFill="1" applyBorder="1" applyAlignment="1">
      <alignment horizontal="center" vertical="center" wrapText="1" readingOrder="1"/>
    </xf>
    <xf numFmtId="0" fontId="28" fillId="5" borderId="0" xfId="0" applyFont="1" applyFill="1" applyAlignment="1">
      <alignment horizontal="center" vertical="center" wrapText="1" readingOrder="1"/>
    </xf>
    <xf numFmtId="0" fontId="28" fillId="5" borderId="17" xfId="0" applyFont="1" applyFill="1" applyBorder="1" applyAlignment="1">
      <alignment horizontal="center" vertical="center" wrapText="1" readingOrder="1"/>
    </xf>
    <xf numFmtId="0" fontId="28" fillId="5" borderId="18" xfId="0" applyFont="1" applyFill="1" applyBorder="1" applyAlignment="1">
      <alignment horizontal="center" vertical="center" wrapText="1" readingOrder="1"/>
    </xf>
    <xf numFmtId="0" fontId="28" fillId="5" borderId="19" xfId="0" applyFont="1" applyFill="1" applyBorder="1" applyAlignment="1">
      <alignment horizontal="center" vertical="center" wrapText="1" readingOrder="1"/>
    </xf>
    <xf numFmtId="0" fontId="28" fillId="5" borderId="20" xfId="0" applyFont="1" applyFill="1" applyBorder="1" applyAlignment="1">
      <alignment horizontal="center" vertical="center" wrapText="1" readingOrder="1"/>
    </xf>
    <xf numFmtId="0" fontId="28" fillId="13" borderId="13" xfId="0" applyFont="1" applyFill="1" applyBorder="1" applyAlignment="1">
      <alignment horizontal="center" vertical="center" wrapText="1" readingOrder="1"/>
    </xf>
    <xf numFmtId="0" fontId="28" fillId="13" borderId="14" xfId="0" applyFont="1" applyFill="1" applyBorder="1" applyAlignment="1">
      <alignment horizontal="center" vertical="center" wrapText="1" readingOrder="1"/>
    </xf>
    <xf numFmtId="0" fontId="28" fillId="13" borderId="15" xfId="0" applyFont="1" applyFill="1" applyBorder="1" applyAlignment="1">
      <alignment horizontal="center" vertical="center" wrapText="1" readingOrder="1"/>
    </xf>
    <xf numFmtId="0" fontId="28" fillId="13" borderId="16" xfId="0" applyFont="1" applyFill="1" applyBorder="1" applyAlignment="1">
      <alignment horizontal="center" vertical="center" wrapText="1" readingOrder="1"/>
    </xf>
    <xf numFmtId="0" fontId="28" fillId="13" borderId="0" xfId="0" applyFont="1" applyFill="1" applyAlignment="1">
      <alignment horizontal="center" vertical="center" wrapText="1" readingOrder="1"/>
    </xf>
    <xf numFmtId="0" fontId="28" fillId="13" borderId="17" xfId="0" applyFont="1" applyFill="1" applyBorder="1" applyAlignment="1">
      <alignment horizontal="center" vertical="center" wrapText="1" readingOrder="1"/>
    </xf>
    <xf numFmtId="0" fontId="28" fillId="13" borderId="18" xfId="0" applyFont="1" applyFill="1" applyBorder="1" applyAlignment="1">
      <alignment horizontal="center" vertical="center" wrapText="1" readingOrder="1"/>
    </xf>
    <xf numFmtId="0" fontId="28" fillId="13" borderId="19" xfId="0" applyFont="1" applyFill="1" applyBorder="1" applyAlignment="1">
      <alignment horizontal="center" vertical="center" wrapText="1" readingOrder="1"/>
    </xf>
    <xf numFmtId="0" fontId="28" fillId="13" borderId="20" xfId="0" applyFont="1" applyFill="1" applyBorder="1" applyAlignment="1">
      <alignment horizontal="center" vertical="center" wrapText="1" readingOrder="1"/>
    </xf>
    <xf numFmtId="0" fontId="29" fillId="0" borderId="12" xfId="0" applyFont="1" applyBorder="1" applyAlignment="1">
      <alignment horizontal="center" vertical="center" wrapText="1"/>
    </xf>
    <xf numFmtId="0" fontId="79" fillId="0" borderId="60" xfId="7" applyFont="1" applyBorder="1" applyAlignment="1">
      <alignment horizontal="center" vertical="center"/>
    </xf>
    <xf numFmtId="0" fontId="80" fillId="0" borderId="32" xfId="7" applyFont="1" applyBorder="1" applyAlignment="1">
      <alignment horizontal="center" vertical="center"/>
    </xf>
    <xf numFmtId="0" fontId="80" fillId="0" borderId="0" xfId="7" applyFont="1" applyAlignment="1">
      <alignment horizontal="center" vertical="center"/>
    </xf>
    <xf numFmtId="0" fontId="80" fillId="0" borderId="32" xfId="7" applyFont="1" applyBorder="1" applyAlignment="1">
      <alignment horizontal="left" vertical="center"/>
    </xf>
    <xf numFmtId="0" fontId="54" fillId="0" borderId="23" xfId="0" applyFont="1" applyBorder="1" applyAlignment="1">
      <alignment horizontal="left" vertical="center"/>
    </xf>
    <xf numFmtId="0" fontId="54" fillId="0" borderId="24" xfId="0" applyFont="1" applyBorder="1" applyAlignment="1">
      <alignment horizontal="left" vertical="center"/>
    </xf>
    <xf numFmtId="0" fontId="54" fillId="0" borderId="26" xfId="0" applyFont="1" applyBorder="1" applyAlignment="1">
      <alignment horizontal="left" vertical="center"/>
    </xf>
    <xf numFmtId="0" fontId="80" fillId="0" borderId="0" xfId="7" applyFont="1" applyAlignment="1">
      <alignment horizontal="left" vertical="center"/>
    </xf>
    <xf numFmtId="0" fontId="83" fillId="32" borderId="63" xfId="7" applyFont="1" applyFill="1" applyBorder="1" applyAlignment="1">
      <alignment horizontal="left" vertical="center"/>
    </xf>
    <xf numFmtId="0" fontId="82" fillId="31" borderId="32" xfId="7" applyFont="1" applyFill="1" applyBorder="1" applyAlignment="1" applyProtection="1">
      <alignment horizontal="center" vertical="center" wrapText="1"/>
      <protection locked="0"/>
    </xf>
    <xf numFmtId="0" fontId="82" fillId="31" borderId="0" xfId="7" applyFont="1" applyFill="1" applyAlignment="1">
      <alignment horizontal="left" wrapText="1"/>
    </xf>
    <xf numFmtId="0" fontId="83" fillId="33" borderId="64" xfId="7" applyFont="1" applyFill="1" applyBorder="1" applyAlignment="1">
      <alignment horizontal="center" vertical="center"/>
    </xf>
    <xf numFmtId="0" fontId="83" fillId="34" borderId="64" xfId="7" applyFont="1" applyFill="1" applyBorder="1" applyAlignment="1">
      <alignment horizontal="center" vertical="center"/>
    </xf>
    <xf numFmtId="0" fontId="83" fillId="33" borderId="67" xfId="7" applyFont="1" applyFill="1" applyBorder="1" applyAlignment="1">
      <alignment horizontal="center" vertical="center"/>
    </xf>
    <xf numFmtId="0" fontId="83" fillId="32" borderId="66" xfId="7" applyFont="1" applyFill="1" applyBorder="1" applyAlignment="1">
      <alignment horizontal="center" vertical="center" wrapText="1"/>
    </xf>
    <xf numFmtId="0" fontId="83" fillId="33" borderId="66" xfId="7" applyFont="1" applyFill="1" applyBorder="1" applyAlignment="1">
      <alignment horizontal="center" vertical="center"/>
    </xf>
    <xf numFmtId="0" fontId="83" fillId="32" borderId="61" xfId="7" applyFont="1" applyFill="1" applyBorder="1" applyAlignment="1">
      <alignment horizontal="left" vertical="center"/>
    </xf>
    <xf numFmtId="0" fontId="84" fillId="0" borderId="32" xfId="7" applyFont="1" applyBorder="1" applyAlignment="1" applyProtection="1">
      <alignment horizontal="center" vertical="center"/>
      <protection locked="0"/>
    </xf>
    <xf numFmtId="0" fontId="83" fillId="31" borderId="0" xfId="7" applyFont="1" applyFill="1" applyAlignment="1">
      <alignment horizontal="left" vertical="center"/>
    </xf>
    <xf numFmtId="0" fontId="83" fillId="32" borderId="62" xfId="7" applyFont="1" applyFill="1" applyBorder="1" applyAlignment="1">
      <alignment horizontal="left" vertical="center"/>
    </xf>
    <xf numFmtId="0" fontId="83" fillId="33" borderId="68" xfId="7" applyFont="1" applyFill="1" applyBorder="1" applyAlignment="1">
      <alignment horizontal="center" vertical="center" textRotation="90"/>
    </xf>
    <xf numFmtId="0" fontId="83" fillId="33" borderId="68" xfId="7" applyFont="1" applyFill="1" applyBorder="1" applyAlignment="1">
      <alignment horizontal="center" vertical="center" wrapText="1"/>
    </xf>
    <xf numFmtId="0" fontId="83" fillId="35" borderId="68" xfId="7" applyFont="1" applyFill="1" applyBorder="1" applyAlignment="1">
      <alignment horizontal="center" vertical="center" wrapText="1"/>
    </xf>
    <xf numFmtId="0" fontId="83" fillId="34" borderId="68" xfId="7" applyFont="1" applyFill="1" applyBorder="1" applyAlignment="1">
      <alignment horizontal="center" vertical="center" wrapText="1"/>
    </xf>
    <xf numFmtId="0" fontId="83" fillId="34" borderId="68" xfId="7" applyFont="1" applyFill="1" applyBorder="1" applyAlignment="1">
      <alignment horizontal="center" vertical="center"/>
    </xf>
    <xf numFmtId="0" fontId="83" fillId="32" borderId="66" xfId="7" applyFont="1" applyFill="1" applyBorder="1" applyAlignment="1">
      <alignment horizontal="center" vertical="center"/>
    </xf>
    <xf numFmtId="0" fontId="83" fillId="32" borderId="68" xfId="7" applyFont="1" applyFill="1" applyBorder="1" applyAlignment="1">
      <alignment horizontal="center" vertical="center" textRotation="90" wrapText="1"/>
    </xf>
    <xf numFmtId="0" fontId="83" fillId="33" borderId="68" xfId="7" applyFont="1" applyFill="1" applyBorder="1" applyAlignment="1">
      <alignment horizontal="center" vertical="center" textRotation="90" wrapText="1"/>
    </xf>
    <xf numFmtId="0" fontId="90" fillId="0" borderId="68" xfId="7" applyFont="1" applyBorder="1" applyAlignment="1" applyProtection="1">
      <alignment horizontal="center" vertical="center" wrapText="1"/>
      <protection locked="0"/>
    </xf>
    <xf numFmtId="0" fontId="83" fillId="32" borderId="68" xfId="7" applyFont="1" applyFill="1" applyBorder="1" applyAlignment="1">
      <alignment horizontal="center" vertical="center" wrapText="1"/>
    </xf>
    <xf numFmtId="0" fontId="83" fillId="0" borderId="68" xfId="7" applyFont="1" applyBorder="1" applyAlignment="1">
      <alignment horizontal="center" vertical="center"/>
    </xf>
    <xf numFmtId="0" fontId="82" fillId="0" borderId="68" xfId="7" applyFont="1" applyBorder="1" applyAlignment="1" applyProtection="1">
      <alignment horizontal="center" vertical="center" wrapText="1"/>
      <protection locked="0"/>
    </xf>
    <xf numFmtId="9" fontId="82" fillId="0" borderId="68" xfId="7" applyNumberFormat="1" applyFont="1" applyBorder="1" applyAlignment="1" applyProtection="1">
      <alignment horizontal="center" vertical="center" wrapText="1"/>
      <protection hidden="1"/>
    </xf>
    <xf numFmtId="0" fontId="83" fillId="0" borderId="68" xfId="7" applyFont="1" applyBorder="1" applyAlignment="1" applyProtection="1">
      <alignment horizontal="center" vertical="center" wrapText="1"/>
      <protection hidden="1"/>
    </xf>
    <xf numFmtId="0" fontId="83" fillId="0" borderId="68" xfId="7" applyFont="1" applyBorder="1" applyAlignment="1" applyProtection="1">
      <alignment horizontal="center" vertical="center"/>
      <protection hidden="1"/>
    </xf>
    <xf numFmtId="9" fontId="82" fillId="0" borderId="68" xfId="7" applyNumberFormat="1" applyFont="1" applyBorder="1" applyAlignment="1" applyProtection="1">
      <alignment horizontal="center" vertical="center" wrapText="1"/>
      <protection locked="0"/>
    </xf>
    <xf numFmtId="0" fontId="90" fillId="0" borderId="68" xfId="7" applyFont="1" applyBorder="1" applyAlignment="1" applyProtection="1">
      <alignment horizontal="center" vertical="center"/>
      <protection locked="0"/>
    </xf>
    <xf numFmtId="0" fontId="82" fillId="0" borderId="68" xfId="7" applyFont="1" applyBorder="1" applyAlignment="1" applyProtection="1">
      <alignment horizontal="center" vertical="center"/>
      <protection locked="0"/>
    </xf>
    <xf numFmtId="0" fontId="85" fillId="0" borderId="68" xfId="7" applyFont="1" applyBorder="1" applyAlignment="1" applyProtection="1">
      <alignment horizontal="center" vertical="center" wrapText="1"/>
      <protection locked="0"/>
    </xf>
    <xf numFmtId="0" fontId="82" fillId="0" borderId="70" xfId="7" applyFont="1" applyBorder="1" applyAlignment="1">
      <alignment horizontal="left" vertical="center" wrapText="1"/>
    </xf>
    <xf numFmtId="0" fontId="108" fillId="0" borderId="43" xfId="0" applyFont="1" applyBorder="1" applyAlignment="1">
      <alignment horizontal="center" vertical="center" wrapText="1"/>
    </xf>
    <xf numFmtId="0" fontId="108" fillId="0" borderId="51" xfId="0" applyFont="1" applyBorder="1" applyAlignment="1">
      <alignment horizontal="center" vertical="center" wrapText="1"/>
    </xf>
    <xf numFmtId="0" fontId="108" fillId="0" borderId="44" xfId="0" applyFont="1" applyBorder="1" applyAlignment="1">
      <alignment horizontal="center" vertical="center" wrapText="1"/>
    </xf>
    <xf numFmtId="0" fontId="107" fillId="0" borderId="42" xfId="0" applyFont="1" applyBorder="1" applyAlignment="1" applyProtection="1">
      <alignment horizontal="center" vertical="center"/>
      <protection locked="0"/>
    </xf>
    <xf numFmtId="0" fontId="107" fillId="0" borderId="42" xfId="0" applyFont="1" applyBorder="1" applyAlignment="1" applyProtection="1">
      <alignment horizontal="center" vertical="center" wrapText="1"/>
      <protection locked="0"/>
    </xf>
    <xf numFmtId="0" fontId="107" fillId="0" borderId="43" xfId="0" applyFont="1" applyBorder="1" applyAlignment="1" applyProtection="1">
      <alignment horizontal="center" vertical="center" wrapText="1"/>
      <protection locked="0"/>
    </xf>
    <xf numFmtId="0" fontId="107" fillId="0" borderId="51" xfId="0" applyFont="1" applyBorder="1" applyAlignment="1" applyProtection="1">
      <alignment horizontal="center" vertical="center" wrapText="1"/>
      <protection locked="0"/>
    </xf>
    <xf numFmtId="0" fontId="107" fillId="0" borderId="44" xfId="0" applyFont="1" applyBorder="1" applyAlignment="1" applyProtection="1">
      <alignment horizontal="center" vertical="center" wrapText="1"/>
      <protection locked="0"/>
    </xf>
    <xf numFmtId="0" fontId="56" fillId="19" borderId="42" xfId="0" applyFont="1" applyFill="1" applyBorder="1" applyAlignment="1">
      <alignment horizontal="center" vertical="center"/>
    </xf>
    <xf numFmtId="0" fontId="56" fillId="2" borderId="42" xfId="0" applyFont="1" applyFill="1" applyBorder="1" applyAlignment="1">
      <alignment horizontal="center" vertical="center" textRotation="90" wrapText="1"/>
    </xf>
    <xf numFmtId="0" fontId="56" fillId="2" borderId="42" xfId="0" applyFont="1" applyFill="1" applyBorder="1" applyAlignment="1">
      <alignment horizontal="center" vertical="center" wrapText="1"/>
    </xf>
    <xf numFmtId="0" fontId="56" fillId="2" borderId="52" xfId="0" applyFont="1" applyFill="1" applyBorder="1" applyAlignment="1">
      <alignment horizontal="center" vertical="center"/>
    </xf>
    <xf numFmtId="0" fontId="56" fillId="2" borderId="53" xfId="0" applyFont="1" applyFill="1" applyBorder="1" applyAlignment="1">
      <alignment horizontal="center" vertical="center"/>
    </xf>
    <xf numFmtId="0" fontId="56" fillId="2" borderId="54" xfId="0" applyFont="1" applyFill="1" applyBorder="1" applyAlignment="1">
      <alignment horizontal="center" vertical="center"/>
    </xf>
    <xf numFmtId="0" fontId="56" fillId="2" borderId="42" xfId="0" applyFont="1" applyFill="1" applyBorder="1" applyAlignment="1">
      <alignment horizontal="center" vertical="center" textRotation="90"/>
    </xf>
    <xf numFmtId="0" fontId="56" fillId="2" borderId="42" xfId="0" applyFont="1" applyFill="1" applyBorder="1" applyAlignment="1">
      <alignment horizontal="center" vertical="center"/>
    </xf>
    <xf numFmtId="0" fontId="56" fillId="2" borderId="43" xfId="0" applyFont="1" applyFill="1" applyBorder="1" applyAlignment="1">
      <alignment horizontal="center" vertical="center" wrapText="1"/>
    </xf>
    <xf numFmtId="0" fontId="56" fillId="2" borderId="44" xfId="0" applyFont="1" applyFill="1" applyBorder="1" applyAlignment="1">
      <alignment horizontal="center" vertical="center" wrapText="1"/>
    </xf>
    <xf numFmtId="0" fontId="56" fillId="2" borderId="55" xfId="0" applyFont="1" applyFill="1" applyBorder="1" applyAlignment="1">
      <alignment horizontal="center" vertical="center" wrapText="1"/>
    </xf>
    <xf numFmtId="0" fontId="56" fillId="2" borderId="45" xfId="0" applyFont="1" applyFill="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horizontal="left" vertical="center"/>
    </xf>
    <xf numFmtId="0" fontId="55" fillId="0" borderId="0" xfId="0" applyFont="1"/>
    <xf numFmtId="0" fontId="55" fillId="0" borderId="0" xfId="0" applyFont="1" applyAlignment="1">
      <alignment horizontal="center"/>
    </xf>
    <xf numFmtId="0" fontId="55" fillId="0" borderId="2" xfId="0" applyFont="1" applyBorder="1" applyAlignment="1">
      <alignment horizontal="left" vertical="center" wrapText="1"/>
    </xf>
    <xf numFmtId="0" fontId="55" fillId="0" borderId="21" xfId="0" applyFont="1" applyBorder="1" applyAlignment="1">
      <alignment horizontal="left" vertical="center" wrapText="1"/>
    </xf>
    <xf numFmtId="0" fontId="91" fillId="0" borderId="42" xfId="0" applyFont="1" applyBorder="1" applyAlignment="1" applyProtection="1">
      <alignment horizontal="center" vertical="center" wrapText="1"/>
      <protection locked="0"/>
    </xf>
    <xf numFmtId="0" fontId="55" fillId="0" borderId="42" xfId="0" applyFont="1" applyBorder="1" applyAlignment="1" applyProtection="1">
      <alignment horizontal="left" vertical="center" wrapText="1"/>
      <protection locked="0"/>
    </xf>
    <xf numFmtId="0" fontId="92" fillId="0" borderId="42" xfId="0" applyFont="1" applyBorder="1" applyAlignment="1" applyProtection="1">
      <alignment horizontal="center" vertical="center" wrapText="1"/>
      <protection hidden="1"/>
    </xf>
    <xf numFmtId="9" fontId="93" fillId="0" borderId="42" xfId="0" applyNumberFormat="1" applyFont="1" applyBorder="1" applyAlignment="1" applyProtection="1">
      <alignment horizontal="center" vertical="center" wrapText="1"/>
      <protection hidden="1"/>
    </xf>
    <xf numFmtId="0" fontId="92" fillId="0" borderId="42" xfId="0" applyFont="1" applyBorder="1" applyAlignment="1" applyProtection="1">
      <alignment horizontal="center" vertical="center"/>
      <protection hidden="1"/>
    </xf>
    <xf numFmtId="0" fontId="93" fillId="0" borderId="42" xfId="0" applyFont="1" applyBorder="1" applyAlignment="1" applyProtection="1">
      <alignment horizontal="center" vertical="center"/>
      <protection locked="0"/>
    </xf>
    <xf numFmtId="0" fontId="93" fillId="0" borderId="43" xfId="0" applyFont="1" applyBorder="1" applyAlignment="1" applyProtection="1">
      <alignment horizontal="center" vertical="center" wrapText="1"/>
      <protection locked="0"/>
    </xf>
    <xf numFmtId="0" fontId="93" fillId="0" borderId="51" xfId="0" applyFont="1" applyBorder="1" applyAlignment="1" applyProtection="1">
      <alignment horizontal="center" vertical="center" wrapText="1"/>
      <protection locked="0"/>
    </xf>
    <xf numFmtId="0" fontId="93" fillId="0" borderId="44" xfId="0" applyFont="1" applyBorder="1" applyAlignment="1" applyProtection="1">
      <alignment horizontal="center" vertical="center" wrapText="1"/>
      <protection locked="0"/>
    </xf>
    <xf numFmtId="9" fontId="93" fillId="0" borderId="42" xfId="0" applyNumberFormat="1" applyFont="1" applyBorder="1" applyAlignment="1" applyProtection="1">
      <alignment horizontal="center" vertical="center" wrapText="1"/>
      <protection locked="0"/>
    </xf>
    <xf numFmtId="0" fontId="93" fillId="0" borderId="42" xfId="0" applyFont="1" applyBorder="1" applyAlignment="1" applyProtection="1">
      <alignment horizontal="justify" vertical="center" wrapText="1"/>
      <protection locked="0"/>
    </xf>
    <xf numFmtId="0" fontId="92" fillId="0" borderId="42" xfId="0" applyFont="1" applyBorder="1" applyAlignment="1">
      <alignment horizontal="center" vertical="center"/>
    </xf>
    <xf numFmtId="0" fontId="93" fillId="0" borderId="42" xfId="0" applyFont="1" applyBorder="1" applyAlignment="1" applyProtection="1">
      <alignment horizontal="center" vertical="center" wrapText="1"/>
      <protection locked="0"/>
    </xf>
    <xf numFmtId="0" fontId="61" fillId="0" borderId="42" xfId="0" applyFont="1" applyBorder="1" applyAlignment="1" applyProtection="1">
      <alignment horizontal="justify" vertical="center" wrapText="1"/>
      <protection locked="0"/>
    </xf>
    <xf numFmtId="0" fontId="56" fillId="24" borderId="43" xfId="0" applyFont="1" applyFill="1" applyBorder="1" applyAlignment="1">
      <alignment horizontal="center" vertical="center" wrapText="1"/>
    </xf>
    <xf numFmtId="0" fontId="56" fillId="24" borderId="44" xfId="0" applyFont="1" applyFill="1" applyBorder="1" applyAlignment="1">
      <alignment horizontal="center" vertical="center" wrapText="1"/>
    </xf>
    <xf numFmtId="9" fontId="55" fillId="14" borderId="42" xfId="0" applyNumberFormat="1" applyFont="1" applyFill="1" applyBorder="1" applyAlignment="1" applyProtection="1">
      <alignment horizontal="center" vertical="center" wrapText="1"/>
      <protection hidden="1"/>
    </xf>
    <xf numFmtId="9" fontId="55" fillId="0" borderId="43" xfId="0" applyNumberFormat="1" applyFont="1" applyBorder="1" applyAlignment="1" applyProtection="1">
      <alignment horizontal="center" vertical="center" wrapText="1"/>
      <protection locked="0"/>
    </xf>
    <xf numFmtId="9" fontId="55" fillId="0" borderId="51" xfId="0" applyNumberFormat="1" applyFont="1" applyBorder="1" applyAlignment="1" applyProtection="1">
      <alignment horizontal="center" vertical="center" wrapText="1"/>
      <protection locked="0"/>
    </xf>
    <xf numFmtId="9" fontId="55" fillId="0" borderId="44" xfId="0" applyNumberFormat="1" applyFont="1" applyBorder="1" applyAlignment="1" applyProtection="1">
      <alignment horizontal="center" vertical="center" wrapText="1"/>
      <protection locked="0"/>
    </xf>
    <xf numFmtId="0" fontId="56" fillId="0" borderId="68" xfId="0" applyFont="1" applyBorder="1" applyAlignment="1" applyProtection="1">
      <alignment horizontal="center" vertical="center" wrapText="1"/>
      <protection hidden="1"/>
    </xf>
    <xf numFmtId="9" fontId="55" fillId="0" borderId="68" xfId="0" applyNumberFormat="1" applyFont="1" applyBorder="1" applyAlignment="1" applyProtection="1">
      <alignment horizontal="center" vertical="center" wrapText="1"/>
      <protection hidden="1"/>
    </xf>
    <xf numFmtId="0" fontId="56" fillId="0" borderId="68" xfId="0" applyFont="1" applyBorder="1" applyAlignment="1" applyProtection="1">
      <alignment horizontal="center" vertical="center"/>
      <protection hidden="1"/>
    </xf>
    <xf numFmtId="0" fontId="56" fillId="29" borderId="42" xfId="0" applyFont="1" applyFill="1" applyBorder="1" applyAlignment="1">
      <alignment horizontal="center" vertical="center" wrapText="1"/>
    </xf>
    <xf numFmtId="0" fontId="102" fillId="3" borderId="0" xfId="0" applyFont="1" applyFill="1" applyAlignment="1">
      <alignment horizontal="justify" vertical="center" wrapText="1"/>
    </xf>
    <xf numFmtId="0" fontId="96" fillId="40" borderId="23" xfId="0" applyFont="1" applyFill="1" applyBorder="1" applyAlignment="1">
      <alignment horizontal="center" vertical="center" wrapText="1" readingOrder="1"/>
    </xf>
    <xf numFmtId="0" fontId="96" fillId="40" borderId="24" xfId="0" applyFont="1" applyFill="1" applyBorder="1" applyAlignment="1">
      <alignment horizontal="center" vertical="center" wrapText="1" readingOrder="1"/>
    </xf>
    <xf numFmtId="0" fontId="96" fillId="40" borderId="26" xfId="0" applyFont="1" applyFill="1" applyBorder="1" applyAlignment="1">
      <alignment horizontal="center" vertical="center" wrapText="1" readingOrder="1"/>
    </xf>
    <xf numFmtId="0" fontId="98" fillId="40" borderId="25" xfId="0" applyFont="1" applyFill="1" applyBorder="1" applyAlignment="1">
      <alignment horizontal="center" vertical="center" wrapText="1" readingOrder="1"/>
    </xf>
    <xf numFmtId="0" fontId="98" fillId="40" borderId="74" xfId="0" applyFont="1" applyFill="1" applyBorder="1" applyAlignment="1">
      <alignment horizontal="center" vertical="center" wrapText="1" readingOrder="1"/>
    </xf>
    <xf numFmtId="0" fontId="98" fillId="3" borderId="76" xfId="0" applyFont="1" applyFill="1" applyBorder="1" applyAlignment="1">
      <alignment horizontal="center" vertical="center" wrapText="1" readingOrder="1"/>
    </xf>
    <xf numFmtId="0" fontId="98" fillId="3" borderId="79" xfId="0" applyFont="1" applyFill="1" applyBorder="1" applyAlignment="1">
      <alignment horizontal="center" vertical="center" wrapText="1" readingOrder="1"/>
    </xf>
    <xf numFmtId="0" fontId="98" fillId="3" borderId="77" xfId="0" applyFont="1" applyFill="1" applyBorder="1" applyAlignment="1">
      <alignment horizontal="center" vertical="center" wrapText="1" readingOrder="1"/>
    </xf>
    <xf numFmtId="0" fontId="98" fillId="3" borderId="22" xfId="0" applyFont="1" applyFill="1" applyBorder="1" applyAlignment="1">
      <alignment horizontal="center" vertical="center" wrapText="1" readingOrder="1"/>
    </xf>
    <xf numFmtId="0" fontId="98" fillId="3" borderId="81" xfId="0" applyFont="1" applyFill="1" applyBorder="1" applyAlignment="1">
      <alignment horizontal="center" vertical="center" wrapText="1" readingOrder="1"/>
    </xf>
    <xf numFmtId="0" fontId="98" fillId="3" borderId="82" xfId="0" applyFont="1" applyFill="1" applyBorder="1" applyAlignment="1">
      <alignment horizontal="center" vertical="center" wrapText="1" readingOrder="1"/>
    </xf>
    <xf numFmtId="0" fontId="75" fillId="0" borderId="0" xfId="0" applyFont="1" applyAlignment="1">
      <alignment horizontal="center" vertical="center"/>
    </xf>
    <xf numFmtId="0" fontId="30" fillId="0" borderId="0" xfId="0" applyFont="1" applyAlignment="1">
      <alignment horizontal="center" vertical="center"/>
    </xf>
    <xf numFmtId="0" fontId="19" fillId="0" borderId="0" xfId="0" applyFont="1" applyAlignment="1">
      <alignment horizontal="center" vertical="center"/>
    </xf>
  </cellXfs>
  <cellStyles count="9">
    <cellStyle name="Moneda" xfId="5" builtinId="4"/>
    <cellStyle name="Moneda 2" xfId="6" xr:uid="{EB2D9614-327D-41C4-8635-16D31BAE2C4D}"/>
    <cellStyle name="Normal" xfId="0" builtinId="0"/>
    <cellStyle name="Normal - Style1 2" xfId="2" xr:uid="{00000000-0005-0000-0000-000002000000}"/>
    <cellStyle name="Normal 2" xfId="4" xr:uid="{00000000-0005-0000-0000-000003000000}"/>
    <cellStyle name="Normal 2 2" xfId="3" xr:uid="{00000000-0005-0000-0000-000004000000}"/>
    <cellStyle name="Normal 3" xfId="7" xr:uid="{1776AD55-DBD4-4E32-A89E-80CE87E27448}"/>
    <cellStyle name="Porcentaje" xfId="1" builtinId="5"/>
    <cellStyle name="Porcentaje 2" xfId="8" xr:uid="{ABFBF614-BB5B-44EC-B142-3BE8A35DF02D}"/>
  </cellStyles>
  <dxfs count="883">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92D050"/>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ont>
        <color rgb="FF9C0006"/>
      </font>
      <fill>
        <patternFill>
          <bgColor rgb="FFFFC7CE"/>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FF66"/>
        </patternFill>
      </fill>
    </dxf>
    <dxf>
      <fill>
        <patternFill>
          <bgColor rgb="FF00B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FFFF00"/>
        </patternFill>
      </fill>
    </dxf>
    <dxf>
      <fill>
        <patternFill>
          <bgColor rgb="FFE46C0A"/>
        </patternFill>
      </fill>
    </dxf>
    <dxf>
      <fill>
        <patternFill>
          <bgColor rgb="FFC0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46C0A"/>
        </patternFill>
      </fill>
    </dxf>
    <dxf>
      <fill>
        <patternFill>
          <bgColor rgb="FFC00000"/>
        </patternFill>
      </fill>
    </dxf>
    <dxf>
      <font>
        <sz val="11"/>
        <color rgb="FFCC0000"/>
        <name val="Calibri"/>
        <family val="2"/>
        <charset val="1"/>
      </font>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24994659260841701"/>
        </patternFill>
      </fill>
    </dxf>
    <dxf>
      <fill>
        <patternFill>
          <bgColor rgb="FFE26B0A"/>
        </patternFill>
      </fill>
    </dxf>
    <dxf>
      <fill>
        <patternFill>
          <bgColor rgb="FFFFFF00"/>
        </patternFill>
      </fill>
    </dxf>
    <dxf>
      <fill>
        <patternFill>
          <bgColor rgb="FFC00000"/>
        </patternFill>
      </fill>
    </dxf>
    <dxf>
      <fill>
        <patternFill>
          <bgColor rgb="FF92D050"/>
        </patternFill>
      </fill>
    </dxf>
    <dxf>
      <fill>
        <patternFill>
          <bgColor theme="9" tint="-0.24994659260841701"/>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FFFF00"/>
        </patternFill>
      </fill>
    </dxf>
    <dxf>
      <fill>
        <patternFill>
          <bgColor rgb="FFC00000"/>
        </patternFill>
      </fill>
    </dxf>
    <dxf>
      <fill>
        <patternFill>
          <bgColor rgb="FF92D05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rgb="FFFFFF66"/>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rgb="FFFF0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alignment wrapText="1" readingOrder="0"/>
    </dxf>
    <dxf>
      <alignment vertical="center" readingOrder="0"/>
    </dxf>
    <dxf>
      <alignment wrapText="1" readingOrder="0"/>
    </dxf>
    <dxf>
      <alignment wrapText="1" readingOrder="0"/>
    </dxf>
  </dxfs>
  <tableStyles count="0" defaultTableStyle="TableStyleMedium2" defaultPivotStyle="PivotStyleLight16"/>
  <colors>
    <mruColors>
      <color rgb="FFFFCC00"/>
      <color rgb="FFFFFF66"/>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pivotCacheDefinition" Target="pivotCache/pivotCacheDefinition1.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12</xdr:row>
      <xdr:rowOff>97695</xdr:rowOff>
    </xdr:from>
    <xdr:to>
      <xdr:col>19</xdr:col>
      <xdr:colOff>33704</xdr:colOff>
      <xdr:row>38</xdr:row>
      <xdr:rowOff>278780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srcRect l="6821" t="55142" r="5500" b="13845"/>
        <a:stretch/>
      </xdr:blipFill>
      <xdr:spPr>
        <a:xfrm>
          <a:off x="0" y="24186420"/>
          <a:ext cx="38333729" cy="88488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190500</xdr:colOff>
      <xdr:row>0</xdr:row>
      <xdr:rowOff>68036</xdr:rowOff>
    </xdr:from>
    <xdr:ext cx="1403803" cy="1123950"/>
    <xdr:pic>
      <xdr:nvPicPr>
        <xdr:cNvPr id="2" name="Imagen 1" descr="escudo negro">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929" y="68036"/>
          <a:ext cx="1403803" cy="1123950"/>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190440</xdr:colOff>
      <xdr:row>0</xdr:row>
      <xdr:rowOff>68040</xdr:rowOff>
    </xdr:from>
    <xdr:to>
      <xdr:col>2</xdr:col>
      <xdr:colOff>1965</xdr:colOff>
      <xdr:row>3</xdr:row>
      <xdr:rowOff>305930</xdr:rowOff>
    </xdr:to>
    <xdr:pic>
      <xdr:nvPicPr>
        <xdr:cNvPr id="2" name="Imagen 1" descr="escudo negro">
          <a:extLst>
            <a:ext uri="{FF2B5EF4-FFF2-40B4-BE49-F238E27FC236}">
              <a16:creationId xmlns:a16="http://schemas.microsoft.com/office/drawing/2014/main" id="{63BE60AD-C6DB-49E4-926A-A7BA194B8990}"/>
            </a:ext>
          </a:extLst>
        </xdr:cNvPr>
        <xdr:cNvPicPr/>
      </xdr:nvPicPr>
      <xdr:blipFill>
        <a:blip xmlns:r="http://schemas.openxmlformats.org/officeDocument/2006/relationships" r:embed="rId1"/>
        <a:stretch/>
      </xdr:blipFill>
      <xdr:spPr>
        <a:xfrm>
          <a:off x="628590" y="68040"/>
          <a:ext cx="1326000" cy="1136415"/>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2</xdr:col>
      <xdr:colOff>190500</xdr:colOff>
      <xdr:row>0</xdr:row>
      <xdr:rowOff>68036</xdr:rowOff>
    </xdr:from>
    <xdr:ext cx="1403803" cy="1123950"/>
    <xdr:pic>
      <xdr:nvPicPr>
        <xdr:cNvPr id="2" name="Imagen 1" descr="escudo negro">
          <a:extLst>
            <a:ext uri="{FF2B5EF4-FFF2-40B4-BE49-F238E27FC236}">
              <a16:creationId xmlns:a16="http://schemas.microsoft.com/office/drawing/2014/main" id="{31A2CA80-2697-4C3A-A809-799253ABDA3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0" y="68036"/>
          <a:ext cx="1403803" cy="1123950"/>
        </a:xfrm>
        <a:prstGeom prst="rect">
          <a:avLst/>
        </a:prstGeom>
        <a:noFill/>
        <a:ln>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2</xdr:col>
      <xdr:colOff>190500</xdr:colOff>
      <xdr:row>0</xdr:row>
      <xdr:rowOff>68036</xdr:rowOff>
    </xdr:from>
    <xdr:ext cx="1403803" cy="1123950"/>
    <xdr:pic>
      <xdr:nvPicPr>
        <xdr:cNvPr id="2" name="Imagen 1" descr="escudo negro">
          <a:extLst>
            <a:ext uri="{FF2B5EF4-FFF2-40B4-BE49-F238E27FC236}">
              <a16:creationId xmlns:a16="http://schemas.microsoft.com/office/drawing/2014/main" id="{C67C3BA5-B5E7-4FAE-86FF-FB5D6E5BD35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6950" y="68036"/>
          <a:ext cx="1403803" cy="1123950"/>
        </a:xfrm>
        <a:prstGeom prst="rect">
          <a:avLst/>
        </a:prstGeom>
        <a:noFill/>
        <a:ln>
          <a:no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2</xdr:col>
      <xdr:colOff>190500</xdr:colOff>
      <xdr:row>0</xdr:row>
      <xdr:rowOff>68036</xdr:rowOff>
    </xdr:from>
    <xdr:ext cx="1403803" cy="1123950"/>
    <xdr:pic>
      <xdr:nvPicPr>
        <xdr:cNvPr id="2" name="Imagen 1" descr="escudo negro">
          <a:extLst>
            <a:ext uri="{FF2B5EF4-FFF2-40B4-BE49-F238E27FC236}">
              <a16:creationId xmlns:a16="http://schemas.microsoft.com/office/drawing/2014/main" id="{7F3DDCB8-44CD-4D77-9E81-9F7286C4298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4550" y="68036"/>
          <a:ext cx="1403803" cy="112395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gela.cifuentes/Downloads/DESI-FM-018-V9_Formato_Mapa_de_Riesgos_de_Proceso.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Riesgos%202025/9.20%20Mapa%20Riesgos%20SMCT%202025%2022%20de%20enero.xlsx" TargetMode="External"/><Relationship Id="rId1" Type="http://schemas.openxmlformats.org/officeDocument/2006/relationships/externalLinkPath" Target="Riesgos%202025/9.20%20Mapa%20Riesgos%20SMCT%202025%2022%20de%20enero.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Riesgos%202025/Mapa%20Riesgos%20proyecto%208055.xlsx" TargetMode="External"/><Relationship Id="rId1" Type="http://schemas.openxmlformats.org/officeDocument/2006/relationships/externalLinkPath" Target="Riesgos%202025/Mapa%20Riesgos%20proyecto%208055.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Riesgos%202025/Mapa%20Riesgos%20proyecto%208081.xlsx" TargetMode="External"/><Relationship Id="rId1" Type="http://schemas.openxmlformats.org/officeDocument/2006/relationships/externalLinkPath" Target="Riesgos%202025/Mapa%20Riesgos%20proyecto%20808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2.%20Mapa%20de%20Riesgos%20Institucional%202025.xlsx" TargetMode="External"/><Relationship Id="rId1" Type="http://schemas.openxmlformats.org/officeDocument/2006/relationships/externalLinkPath" Target="2.%20Mapa%20de%20Riesgos%20Institucional%2020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4.%20Mapa%20de%20Riesgos%20Institucional%202025%20gesti&#243;n.xlsx" TargetMode="External"/><Relationship Id="rId1" Type="http://schemas.openxmlformats.org/officeDocument/2006/relationships/externalLinkPath" Target="4.%20Mapa%20de%20Riesgos%20Institucional%202025%20gesti&#243;n.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Riesgos%202025/9.13%20Mapa%20de%20Riesgos%20GREF%2023%20dic.xlsx" TargetMode="External"/><Relationship Id="rId1" Type="http://schemas.openxmlformats.org/officeDocument/2006/relationships/externalLinkPath" Target="Riesgos%202025/9.13%20Mapa%20de%20Riesgos%20GREF%2023%20dic.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3.%20Mapa%20de%20Riesgos%20Institucional%202025.xlsx" TargetMode="External"/><Relationship Id="rId1" Type="http://schemas.openxmlformats.org/officeDocument/2006/relationships/externalLinkPath" Target="3.%20Mapa%20de%20Riesgos%20Institucional%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Riesgos%202025/9.16%20Mapa%20Riesgos%20GDOC%202025.xlsx" TargetMode="External"/><Relationship Id="rId1" Type="http://schemas.openxmlformats.org/officeDocument/2006/relationships/externalLinkPath" Target="Riesgos%202025/9.16%20Mapa%20Riesgos%20GDOC%20202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natis\Downloads\DES-FM-018-V2%20Formato%20mapa%20riesgos%20de%20proceso%20GTHU%202025.xlsx" TargetMode="External"/><Relationship Id="rId1" Type="http://schemas.openxmlformats.org/officeDocument/2006/relationships/externalLinkPath" Target="file:///C:\Users\natis\Downloads\DES-FM-018-V2%20Formato%20mapa%20riesgos%20de%20proceso%20GTHU%202025.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Riesgos%202025/9.18%20Mapa%20Riesgos%20CODI%202025%2022dic.xlsx" TargetMode="External"/><Relationship Id="rId1" Type="http://schemas.openxmlformats.org/officeDocument/2006/relationships/externalLinkPath" Target="Riesgos%202025/9.18%20Mapa%20Riesgos%20CODI%202025%2022dic.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https://d.docs.live.net/4592eb41938d7ffb/Documentos/UMV/2025/a%20Enero/5.%20Mapa%20de%20Riesgos%20Institucional%202025%20gesti&#243;n.xlsx" TargetMode="External"/><Relationship Id="rId1" Type="http://schemas.openxmlformats.org/officeDocument/2006/relationships/externalLinkPath" Target="5.%20Mapa%20de%20Riesgos%20Institucional%202025%20gest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S"/>
      <sheetName val="MAPA DE RIESGOS PROCESOS"/>
      <sheetName val="TIPOLOGÍA DE RIESGOS"/>
      <sheetName val="PROBABILIDAD"/>
      <sheetName val="IMPACTO GESTIÓN"/>
      <sheetName val="IMPACTO SEGURIDAD I"/>
      <sheetName val="IMPACTO CORRUPCIÓN"/>
      <sheetName val="IMPACTO SOBORNO"/>
      <sheetName val="EJEMPLO CONTROLES"/>
      <sheetName val="OPCIONES DE MANEJO DEL RIESGO"/>
      <sheetName val="MAPA DE CALOR"/>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control cambio"/>
      <sheetName val="Revisión DOFA"/>
      <sheetName val="Listas"/>
      <sheetName val="Riesgos de Gestión"/>
      <sheetName val="Matriz Calor Inherente"/>
      <sheetName val="Matriz Calor Residual"/>
      <sheetName val="Riesgos Fiscales"/>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control cambio"/>
      <sheetName val="Revisión DOFA"/>
      <sheetName val="Riesgos de Gestión"/>
      <sheetName val="Matriz Calor Inherente"/>
      <sheetName val="Matriz Calor Residual"/>
      <sheetName val="Riesgos Fiscales"/>
      <sheetName val="Riesgos de Corrupción"/>
      <sheetName val="Riesgos de Seguridad "/>
      <sheetName val="Impacto Corrupción "/>
      <sheetName val="Riesgos de LA FT "/>
      <sheetName val="Impacto LA-FT"/>
      <sheetName val="Listas"/>
      <sheetName val="Tabla Impacto"/>
      <sheetName val="Tabla probabilidad"/>
      <sheetName val="Clasificación de riesgos"/>
      <sheetName val="Amenazas"/>
      <sheetName val="Ejemplos de riesgos"/>
      <sheetName val="Tabla Valoración controle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control cambio"/>
      <sheetName val="Revisión DOFA"/>
      <sheetName val="Riesgos de Gestión"/>
      <sheetName val="Matriz Calor Inherente"/>
      <sheetName val="Matriz Calor Residual"/>
      <sheetName val="Riesgos Fiscales"/>
      <sheetName val="Riesgos de Corrupción"/>
      <sheetName val="Listas"/>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ón DOFA"/>
      <sheetName val="Listas"/>
      <sheetName val="Riesgos de Gestión"/>
      <sheetName val="Matriz Calor Inherente"/>
      <sheetName val="Matriz Calor Residual"/>
      <sheetName val="Riesgos de Corrupción"/>
      <sheetName val="Riesgos Fiscales"/>
      <sheetName val="Riesgos de Seguridad "/>
      <sheetName val="Riesgos de LA FT "/>
      <sheetName val="Tabla Valoración controles"/>
      <sheetName val="Impacto LA-FT"/>
      <sheetName val="Tabla Impacto"/>
      <sheetName val="Tabla probabilidad"/>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ón DOFA"/>
      <sheetName val="Listas"/>
      <sheetName val="Riesgos de Gestión"/>
      <sheetName val="Matriz Calor Inherente"/>
      <sheetName val="Matriz Calor Residual"/>
      <sheetName val="Riesgos de Corrupción"/>
      <sheetName val="Riesgos Fiscales"/>
      <sheetName val="Riesgos de Seguridad "/>
      <sheetName val="Riesgos de LA FT "/>
      <sheetName val="Tabla Valoración controles"/>
      <sheetName val="Impacto LA-FT"/>
      <sheetName val="Tabla Impacto"/>
      <sheetName val="Tabla probabilidad"/>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35">
          <cell r="F235" t="str">
            <v xml:space="preserve">     El riesgo afecta la imagen de la entidad con algunos usuarios de relevancia frente al logro de los objetivos</v>
          </cell>
        </row>
        <row r="236">
          <cell r="F236" t="str">
            <v xml:space="preserve">     El riesgo afecta la imagen de de la entidad con efecto publicitario sostenido a nivel de sector administrativo, nivel departamental o municipal</v>
          </cell>
        </row>
        <row r="237">
          <cell r="F237" t="str">
            <v xml:space="preserve">     El riesgo afecta la imagen de la entidad a nivel nacional, con efecto publicitarios sostenible a nivel país</v>
          </cell>
        </row>
        <row r="240">
          <cell r="F240" t="str">
            <v>Reputacional</v>
          </cell>
        </row>
        <row r="241">
          <cell r="F241" t="str">
            <v>EL riesgo afecta la imagen de alguna dependencia de la entidad</v>
          </cell>
          <cell r="G241" t="str">
            <v>Leve</v>
          </cell>
        </row>
        <row r="242">
          <cell r="F242" t="str">
            <v>EL riesgo afecta la imagen de   la entidad internamente, de conocimiento general nivel interno, de junta directiva y/o proveedores</v>
          </cell>
          <cell r="G242" t="str">
            <v>Menor</v>
          </cell>
        </row>
        <row r="243">
          <cell r="F243" t="str">
            <v>EL riesgo afecta la imagen de   la entidad con algunos usuarios de relevancia frente al logro de los objetivos</v>
          </cell>
          <cell r="G243" t="str">
            <v>Moderado</v>
          </cell>
        </row>
        <row r="244">
          <cell r="F244" t="str">
            <v>EL riesgo afecta la imagen de   la entidad con efecto publicitario sostenido a nivel sector</v>
          </cell>
          <cell r="G244" t="str">
            <v>Mayor</v>
          </cell>
        </row>
        <row r="245">
          <cell r="F245" t="str">
            <v>EL riesgo afecta la imagen de   la entidad a nivel nacional, con efecto publicitario sostenido a nivel País</v>
          </cell>
          <cell r="G245" t="str">
            <v>Catastrófico</v>
          </cell>
        </row>
        <row r="246">
          <cell r="B246" t="str">
            <v>Reputacional</v>
          </cell>
          <cell r="F246" t="str">
            <v>Legal</v>
          </cell>
        </row>
        <row r="247">
          <cell r="B247" t="str">
            <v>Legal</v>
          </cell>
          <cell r="F247" t="str">
            <v>Cumplimiento parcial de procesos, procedimientos y políticas operacionales</v>
          </cell>
          <cell r="G247" t="str">
            <v>Leve</v>
          </cell>
        </row>
        <row r="248">
          <cell r="B248" t="str">
            <v>Operativo</v>
          </cell>
          <cell r="F248" t="str">
            <v xml:space="preserve">Cumplimiento parcial de normas internas establecidas (Resoluciones, Circulares y otras directrices)    </v>
          </cell>
          <cell r="G248" t="str">
            <v>Menor</v>
          </cell>
        </row>
        <row r="249">
          <cell r="B249" t="str">
            <v>Contagio</v>
          </cell>
          <cell r="F249" t="str">
            <v>Cumplimiento parcial de legislación vigente aplicable a la Entidad</v>
          </cell>
          <cell r="G249" t="str">
            <v>Moderado</v>
          </cell>
        </row>
        <row r="250">
          <cell r="F250" t="str">
            <v>Incumplimiento de legislación vigente aplicable a la Entidad</v>
          </cell>
          <cell r="G250" t="str">
            <v>Mayor</v>
          </cell>
        </row>
        <row r="251">
          <cell r="F251" t="str">
            <v>Incumplimiento de acuerdos u obligaciones nacionales o internacionales</v>
          </cell>
          <cell r="G251" t="str">
            <v>Catastrófico</v>
          </cell>
        </row>
        <row r="252">
          <cell r="F252" t="str">
            <v>Operativo</v>
          </cell>
        </row>
        <row r="253">
          <cell r="F253" t="str">
            <v>Afecta levemente las operaciones de una dependencia o grupo de la entidad</v>
          </cell>
          <cell r="G253" t="str">
            <v>Leve</v>
          </cell>
        </row>
        <row r="254">
          <cell r="F254" t="str">
            <v>Sustancialmente afecta la operaciones de una dependencia o grupo de la entidad</v>
          </cell>
          <cell r="G254" t="str">
            <v>Menor</v>
          </cell>
        </row>
        <row r="255">
          <cell r="F255" t="str">
            <v>Afecta durante un día la prestación de servicio ofrecido por la entidad</v>
          </cell>
          <cell r="G255" t="str">
            <v>Moderado</v>
          </cell>
        </row>
        <row r="256">
          <cell r="F256" t="str">
            <v>Afecta la continuidad de las operaciones de una dependencia o un grupo de la entidad durante 15 días</v>
          </cell>
          <cell r="G256" t="str">
            <v>Mayor</v>
          </cell>
        </row>
        <row r="257">
          <cell r="F257" t="str">
            <v>Afecta la continuidad de las operaciones de una dependencia o un grupo de la entidad por un mes</v>
          </cell>
          <cell r="G257" t="str">
            <v>Catastrófico</v>
          </cell>
        </row>
        <row r="258">
          <cell r="F258" t="str">
            <v>Contagio</v>
          </cell>
        </row>
        <row r="259">
          <cell r="F259" t="str">
            <v>Causado por un tercero interesado en un contrato con la entidad</v>
          </cell>
          <cell r="G259" t="str">
            <v>Leve</v>
          </cell>
        </row>
        <row r="260">
          <cell r="F260" t="str">
            <v>Causado por un usuario de la entidad</v>
          </cell>
          <cell r="G260" t="str">
            <v>Menor</v>
          </cell>
        </row>
        <row r="261">
          <cell r="F261" t="str">
            <v>Causado por un proveedor, contratista o funcionario de la entidad</v>
          </cell>
          <cell r="G261" t="str">
            <v>Moderado</v>
          </cell>
        </row>
        <row r="262">
          <cell r="F262" t="str">
            <v>Causado por un Director, Subdirector o funcionario de libre nombramiento y remoción de la entidad</v>
          </cell>
          <cell r="G262" t="str">
            <v>Mayor</v>
          </cell>
        </row>
        <row r="263">
          <cell r="F263" t="str">
            <v>Causado por un Gerente publico o Adminitración del Distrito Capital de la entidad</v>
          </cell>
          <cell r="G263" t="str">
            <v>Catastrófico</v>
          </cell>
        </row>
      </sheetData>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Fiscales"/>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ón DOFA"/>
      <sheetName val="Listas"/>
      <sheetName val="Riesgos de Gestión"/>
      <sheetName val="Matriz Calor Inherente"/>
      <sheetName val="Matriz Calor Residual"/>
      <sheetName val="Riesgos de Corrupción"/>
      <sheetName val="Riesgos Fiscales"/>
      <sheetName val="Riesgos de Seguridad "/>
      <sheetName val="Riesgos de LA FT "/>
      <sheetName val="Tabla Valoración controles"/>
      <sheetName val="Impacto LA-FT"/>
      <sheetName val="Tabla Impacto"/>
      <sheetName val="Tabla probabilidad"/>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control cambio"/>
      <sheetName val="Revisión DOFA"/>
      <sheetName val="Listas"/>
      <sheetName val="Riesgos de Gestión"/>
      <sheetName val="Matriz Calor Inherente"/>
      <sheetName val="Matriz Calor Residual"/>
      <sheetName val="Riesgos Fiscales"/>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LA FT "/>
      <sheetName val="Riesgos Fiscales"/>
      <sheetName val="Riesgos de Seguridad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row r="248">
          <cell r="B248" t="str">
            <v>Operativo</v>
          </cell>
        </row>
        <row r="249">
          <cell r="B249" t="str">
            <v>Contagio</v>
          </cell>
        </row>
      </sheetData>
      <sheetData sheetId="13"/>
      <sheetData sheetId="14"/>
      <sheetData sheetId="15"/>
      <sheetData sheetId="16"/>
      <sheetData sheetId="17"/>
      <sheetData sheetId="1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control cambio"/>
      <sheetName val="Revisión DOFA"/>
      <sheetName val="Listas"/>
      <sheetName val="Riesgos de Gestión"/>
      <sheetName val="Matriz Calor Inherente"/>
      <sheetName val="Matriz Calor Residual"/>
      <sheetName val="Riesgos Fiscales"/>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ón DOFA"/>
      <sheetName val="Listas"/>
      <sheetName val="Riesgos de Gestión"/>
      <sheetName val="Matriz Calor Inherente"/>
      <sheetName val="Matriz Calor Residual"/>
      <sheetName val="Riesgos de Corrupción"/>
      <sheetName val="Riesgos Fiscales"/>
      <sheetName val="Riesgos de Seguridad "/>
      <sheetName val="Riesgos de LA FT "/>
      <sheetName val="Tabla Valoración controles"/>
      <sheetName val="Impacto LA-FT"/>
      <sheetName val="Tabla Impacto"/>
      <sheetName val="Tabla probabilidad"/>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Norato Mora" refreshedDate="44522.492354513888" createdVersion="6" refreshedVersion="6" minRefreshableVersion="3" recordCount="10" xr:uid="{00000000-000A-0000-FFFF-FFFF04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5">
        <s v="Afectación menor a 130 SMLMV ."/>
        <s v="Entre 130 y 650 SMLMV "/>
        <s v="Entre 650 y 1300 SMLMV "/>
        <s v="Entre 1300 y 6500 SMLMV "/>
        <s v="Mayor a 6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 v="Entre 100 y 500 SMLMV " u="1"/>
        <s v="Mayor a 500 SMLMV " u="1"/>
        <s v="Entre 50 y 100 SMLMV " u="1"/>
        <s v="Entre 10 y 50 SMLMV " u="1"/>
        <s v="Afectación menor a 10 SMLMV ."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Dinámica1" cacheId="23"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10:E222" firstHeaderRow="1" firstDataRow="1" firstDataCol="2"/>
  <pivotFields count="2">
    <pivotField axis="axisRow" compact="0" showAll="0" defaultSubtotal="0">
      <items count="2">
        <item x="0"/>
        <item x="1"/>
      </items>
    </pivotField>
    <pivotField axis="axisRow" compact="0" showAll="0" defaultSubtotal="0">
      <items count="15">
        <item m="1" x="14"/>
        <item x="5"/>
        <item x="6"/>
        <item x="7"/>
        <item x="8"/>
        <item x="9"/>
        <item m="1" x="13"/>
        <item m="1" x="12"/>
        <item m="1" x="10"/>
        <item m="1" x="11"/>
        <item n="Afectación menor a 130 SMLMV" x="0"/>
        <item n="Entre 130 y 650 SMLMV" x="1"/>
        <item n="Entre 650 y 1300 SMLMV" x="2"/>
        <item n="Entre 1300 y 6500 SMLMV" x="3"/>
        <item n="Mayor a 6500 SMLMV" x="4"/>
      </items>
    </pivotField>
  </pivotFields>
  <rowFields count="2">
    <field x="0"/>
    <field x="1"/>
  </rowFields>
  <rowItems count="12">
    <i>
      <x/>
    </i>
    <i r="1">
      <x v="10"/>
    </i>
    <i r="1">
      <x v="11"/>
    </i>
    <i r="1">
      <x v="12"/>
    </i>
    <i r="1">
      <x v="13"/>
    </i>
    <i r="1">
      <x v="14"/>
    </i>
    <i>
      <x v="1"/>
    </i>
    <i r="1">
      <x v="1"/>
    </i>
    <i r="1">
      <x v="2"/>
    </i>
    <i r="1">
      <x v="3"/>
    </i>
    <i r="1">
      <x v="4"/>
    </i>
    <i r="1">
      <x v="5"/>
    </i>
  </rowItems>
  <colItems count="1">
    <i/>
  </colItems>
  <formats count="4">
    <format dxfId="882">
      <pivotArea dataOnly="0" labelOnly="1" outline="0" fieldPosition="0">
        <references count="1">
          <reference field="0" count="1">
            <x v="1"/>
          </reference>
        </references>
      </pivotArea>
    </format>
    <format dxfId="881">
      <pivotArea dataOnly="0" labelOnly="1" outline="0" fieldPosition="0">
        <references count="2">
          <reference field="0" count="1" selected="0">
            <x v="1"/>
          </reference>
          <reference field="1" count="5">
            <x v="1"/>
            <x v="2"/>
            <x v="3"/>
            <x v="4"/>
            <x v="5"/>
          </reference>
        </references>
      </pivotArea>
    </format>
    <format dxfId="880">
      <pivotArea dataOnly="0" labelOnly="1" outline="0" fieldPosition="0">
        <references count="2">
          <reference field="0" count="1" selected="0">
            <x v="1"/>
          </reference>
          <reference field="1" count="5">
            <x v="1"/>
            <x v="2"/>
            <x v="3"/>
            <x v="4"/>
            <x v="5"/>
          </reference>
        </references>
      </pivotArea>
    </format>
    <format dxfId="879">
      <pivotArea dataOnly="0" labelOnly="1" outline="0" fieldPosition="0">
        <references count="1">
          <reference field="0"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10:C220" totalsRowShown="0" headerRowDxfId="878" dataDxfId="877">
  <autoFilter ref="B210:C220" xr:uid="{00000000-0009-0000-0100-000001000000}"/>
  <tableColumns count="2">
    <tableColumn id="1" xr3:uid="{00000000-0010-0000-0000-000001000000}" name="Criterios" dataDxfId="876"/>
    <tableColumn id="2" xr3:uid="{00000000-0010-0000-0000-000002000000}" name="Subcriterios" dataDxfId="87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9"/>
  <sheetViews>
    <sheetView topLeftCell="B1" zoomScale="50" zoomScaleNormal="50" workbookViewId="0">
      <selection activeCell="I4" sqref="I4"/>
    </sheetView>
  </sheetViews>
  <sheetFormatPr baseColWidth="10" defaultColWidth="11.42578125" defaultRowHeight="26.25" x14ac:dyDescent="0.35"/>
  <cols>
    <col min="1" max="1" width="11.85546875" style="83" customWidth="1"/>
    <col min="2" max="2" width="7.42578125" style="84" customWidth="1"/>
    <col min="3" max="3" width="36.85546875" style="85" customWidth="1"/>
    <col min="4" max="4" width="150" style="111" customWidth="1"/>
    <col min="5" max="5" width="168" style="85" customWidth="1"/>
    <col min="6" max="6" width="51.7109375" style="83" customWidth="1"/>
    <col min="7" max="16384" width="11.42578125" style="83"/>
  </cols>
  <sheetData>
    <row r="1" spans="1:6" x14ac:dyDescent="0.35">
      <c r="D1" s="86"/>
      <c r="E1" s="87"/>
    </row>
    <row r="2" spans="1:6" ht="40.5" customHeight="1" thickBot="1" x14ac:dyDescent="0.3">
      <c r="A2" s="88"/>
      <c r="B2" s="387" t="s">
        <v>5</v>
      </c>
      <c r="C2" s="387"/>
      <c r="D2" s="387"/>
      <c r="E2" s="388"/>
      <c r="F2" s="392" t="s">
        <v>6</v>
      </c>
    </row>
    <row r="3" spans="1:6" s="93" customFormat="1" ht="40.5" customHeight="1" thickBot="1" x14ac:dyDescent="0.4">
      <c r="A3" s="89"/>
      <c r="B3" s="389" t="s">
        <v>7</v>
      </c>
      <c r="C3" s="90" t="s">
        <v>8</v>
      </c>
      <c r="D3" s="91" t="s">
        <v>9</v>
      </c>
      <c r="E3" s="92" t="s">
        <v>10</v>
      </c>
      <c r="F3" s="393"/>
    </row>
    <row r="4" spans="1:6" s="93" customFormat="1" ht="228.75" customHeight="1" thickBot="1" x14ac:dyDescent="0.4">
      <c r="A4" s="89"/>
      <c r="B4" s="390"/>
      <c r="C4" s="94" t="s">
        <v>11</v>
      </c>
      <c r="D4" s="95" t="s">
        <v>12</v>
      </c>
      <c r="E4" s="115" t="s">
        <v>13</v>
      </c>
      <c r="F4" s="120" t="s">
        <v>14</v>
      </c>
    </row>
    <row r="5" spans="1:6" s="93" customFormat="1" ht="289.5" thickBot="1" x14ac:dyDescent="0.4">
      <c r="A5" s="89"/>
      <c r="B5" s="390"/>
      <c r="C5" s="96" t="s">
        <v>15</v>
      </c>
      <c r="D5" s="97" t="s">
        <v>16</v>
      </c>
      <c r="E5" s="116" t="s">
        <v>17</v>
      </c>
      <c r="F5" s="119" t="s">
        <v>18</v>
      </c>
    </row>
    <row r="6" spans="1:6" s="93" customFormat="1" ht="237" thickBot="1" x14ac:dyDescent="0.4">
      <c r="A6" s="89"/>
      <c r="B6" s="390"/>
      <c r="C6" s="98" t="s">
        <v>19</v>
      </c>
      <c r="D6" s="99" t="s">
        <v>20</v>
      </c>
      <c r="E6" s="117" t="s">
        <v>21</v>
      </c>
      <c r="F6" s="119"/>
    </row>
    <row r="7" spans="1:6" s="93" customFormat="1" ht="154.5" customHeight="1" thickBot="1" x14ac:dyDescent="0.4">
      <c r="A7" s="89"/>
      <c r="B7" s="390"/>
      <c r="C7" s="100" t="s">
        <v>22</v>
      </c>
      <c r="D7" s="101"/>
      <c r="E7" s="116"/>
      <c r="F7" s="119"/>
    </row>
    <row r="8" spans="1:6" s="93" customFormat="1" ht="187.5" thickBot="1" x14ac:dyDescent="0.4">
      <c r="A8" s="89"/>
      <c r="B8" s="390"/>
      <c r="C8" s="102" t="s">
        <v>23</v>
      </c>
      <c r="D8" s="99" t="s">
        <v>24</v>
      </c>
      <c r="E8" s="118" t="s">
        <v>25</v>
      </c>
      <c r="F8" s="119"/>
    </row>
    <row r="9" spans="1:6" s="93" customFormat="1" ht="183" thickBot="1" x14ac:dyDescent="0.4">
      <c r="A9" s="89"/>
      <c r="B9" s="390"/>
      <c r="C9" s="100" t="s">
        <v>26</v>
      </c>
      <c r="D9" s="97" t="s">
        <v>27</v>
      </c>
      <c r="E9" s="118" t="s">
        <v>28</v>
      </c>
      <c r="F9" s="119"/>
    </row>
    <row r="10" spans="1:6" s="105" customFormat="1" ht="263.25" thickBot="1" x14ac:dyDescent="0.4">
      <c r="A10" s="103"/>
      <c r="B10" s="390"/>
      <c r="C10" s="104" t="s">
        <v>29</v>
      </c>
      <c r="D10" s="97" t="s">
        <v>30</v>
      </c>
      <c r="E10" s="117" t="s">
        <v>31</v>
      </c>
      <c r="F10" s="121"/>
    </row>
    <row r="11" spans="1:6" s="105" customFormat="1" ht="28.5" thickBot="1" x14ac:dyDescent="0.4">
      <c r="A11" s="103"/>
      <c r="B11" s="391"/>
      <c r="C11" s="106"/>
      <c r="D11" s="107"/>
      <c r="E11" s="108"/>
    </row>
    <row r="12" spans="1:6" ht="27" x14ac:dyDescent="0.35">
      <c r="D12" s="109"/>
      <c r="E12" s="110"/>
    </row>
    <row r="17" spans="4:4" x14ac:dyDescent="0.35">
      <c r="D17" s="86"/>
    </row>
    <row r="18" spans="4:4" x14ac:dyDescent="0.35">
      <c r="D18" s="86"/>
    </row>
    <row r="19" spans="4:4" x14ac:dyDescent="0.35">
      <c r="D19" s="86"/>
    </row>
  </sheetData>
  <mergeCells count="3">
    <mergeCell ref="B2:E2"/>
    <mergeCell ref="B3:B11"/>
    <mergeCell ref="F2:F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FF4BF-D1B1-49B9-AA80-D1E6DBAA872D}">
  <sheetPr>
    <tabColor theme="7" tint="-0.249977111117893"/>
  </sheetPr>
  <dimension ref="B1:F16"/>
  <sheetViews>
    <sheetView workbookViewId="0">
      <selection activeCell="B1" sqref="B1:F1"/>
    </sheetView>
  </sheetViews>
  <sheetFormatPr baseColWidth="10" defaultColWidth="14.28515625" defaultRowHeight="12.75" x14ac:dyDescent="0.2"/>
  <cols>
    <col min="1" max="2" width="14.28515625" style="315"/>
    <col min="3" max="3" width="17" style="315" customWidth="1"/>
    <col min="4" max="4" width="14.28515625" style="315"/>
    <col min="5" max="5" width="46" style="315" customWidth="1"/>
    <col min="6" max="16384" width="14.28515625" style="315"/>
  </cols>
  <sheetData>
    <row r="1" spans="2:6" ht="24" customHeight="1" thickBot="1" x14ac:dyDescent="0.25">
      <c r="B1" s="722" t="s">
        <v>652</v>
      </c>
      <c r="C1" s="723"/>
      <c r="D1" s="723"/>
      <c r="E1" s="723"/>
      <c r="F1" s="724"/>
    </row>
    <row r="2" spans="2:6" ht="16.5" thickBot="1" x14ac:dyDescent="0.3">
      <c r="B2" s="316"/>
      <c r="C2" s="316"/>
      <c r="D2" s="316"/>
      <c r="E2" s="316"/>
      <c r="F2" s="316"/>
    </row>
    <row r="3" spans="2:6" ht="16.5" thickBot="1" x14ac:dyDescent="0.25">
      <c r="B3" s="725" t="s">
        <v>653</v>
      </c>
      <c r="C3" s="726"/>
      <c r="D3" s="726"/>
      <c r="E3" s="317" t="s">
        <v>654</v>
      </c>
      <c r="F3" s="318" t="s">
        <v>655</v>
      </c>
    </row>
    <row r="4" spans="2:6" ht="31.5" x14ac:dyDescent="0.2">
      <c r="B4" s="727" t="s">
        <v>656</v>
      </c>
      <c r="C4" s="729" t="s">
        <v>385</v>
      </c>
      <c r="D4" s="319" t="s">
        <v>398</v>
      </c>
      <c r="E4" s="320" t="s">
        <v>657</v>
      </c>
      <c r="F4" s="321">
        <v>0.25</v>
      </c>
    </row>
    <row r="5" spans="2:6" ht="47.25" x14ac:dyDescent="0.2">
      <c r="B5" s="728"/>
      <c r="C5" s="730"/>
      <c r="D5" s="322" t="s">
        <v>393</v>
      </c>
      <c r="E5" s="323" t="s">
        <v>658</v>
      </c>
      <c r="F5" s="324">
        <v>0.15</v>
      </c>
    </row>
    <row r="6" spans="2:6" ht="47.25" x14ac:dyDescent="0.2">
      <c r="B6" s="728"/>
      <c r="C6" s="730"/>
      <c r="D6" s="322" t="s">
        <v>419</v>
      </c>
      <c r="E6" s="323" t="s">
        <v>659</v>
      </c>
      <c r="F6" s="324">
        <v>0.1</v>
      </c>
    </row>
    <row r="7" spans="2:6" ht="63" x14ac:dyDescent="0.2">
      <c r="B7" s="728"/>
      <c r="C7" s="730" t="s">
        <v>386</v>
      </c>
      <c r="D7" s="322" t="s">
        <v>420</v>
      </c>
      <c r="E7" s="323" t="s">
        <v>660</v>
      </c>
      <c r="F7" s="324">
        <v>0.25</v>
      </c>
    </row>
    <row r="8" spans="2:6" ht="31.5" x14ac:dyDescent="0.2">
      <c r="B8" s="728"/>
      <c r="C8" s="730"/>
      <c r="D8" s="322" t="s">
        <v>394</v>
      </c>
      <c r="E8" s="323" t="s">
        <v>661</v>
      </c>
      <c r="F8" s="324">
        <v>0.15</v>
      </c>
    </row>
    <row r="9" spans="2:6" ht="47.25" x14ac:dyDescent="0.2">
      <c r="B9" s="728" t="s">
        <v>662</v>
      </c>
      <c r="C9" s="730" t="s">
        <v>388</v>
      </c>
      <c r="D9" s="322" t="s">
        <v>395</v>
      </c>
      <c r="E9" s="323" t="s">
        <v>663</v>
      </c>
      <c r="F9" s="325" t="s">
        <v>664</v>
      </c>
    </row>
    <row r="10" spans="2:6" ht="63" x14ac:dyDescent="0.2">
      <c r="B10" s="728"/>
      <c r="C10" s="730"/>
      <c r="D10" s="322" t="s">
        <v>421</v>
      </c>
      <c r="E10" s="323" t="s">
        <v>665</v>
      </c>
      <c r="F10" s="325" t="s">
        <v>664</v>
      </c>
    </row>
    <row r="11" spans="2:6" ht="47.25" x14ac:dyDescent="0.2">
      <c r="B11" s="728"/>
      <c r="C11" s="730" t="s">
        <v>389</v>
      </c>
      <c r="D11" s="322" t="s">
        <v>396</v>
      </c>
      <c r="E11" s="323" t="s">
        <v>666</v>
      </c>
      <c r="F11" s="325" t="s">
        <v>664</v>
      </c>
    </row>
    <row r="12" spans="2:6" ht="47.25" x14ac:dyDescent="0.2">
      <c r="B12" s="728"/>
      <c r="C12" s="730"/>
      <c r="D12" s="322" t="s">
        <v>541</v>
      </c>
      <c r="E12" s="323" t="s">
        <v>667</v>
      </c>
      <c r="F12" s="325" t="s">
        <v>664</v>
      </c>
    </row>
    <row r="13" spans="2:6" ht="31.5" x14ac:dyDescent="0.2">
      <c r="B13" s="728"/>
      <c r="C13" s="730" t="s">
        <v>390</v>
      </c>
      <c r="D13" s="322" t="s">
        <v>397</v>
      </c>
      <c r="E13" s="323" t="s">
        <v>668</v>
      </c>
      <c r="F13" s="325" t="s">
        <v>664</v>
      </c>
    </row>
    <row r="14" spans="2:6" ht="32.25" thickBot="1" x14ac:dyDescent="0.25">
      <c r="B14" s="731"/>
      <c r="C14" s="732"/>
      <c r="D14" s="326" t="s">
        <v>422</v>
      </c>
      <c r="E14" s="327" t="s">
        <v>669</v>
      </c>
      <c r="F14" s="328" t="s">
        <v>664</v>
      </c>
    </row>
    <row r="15" spans="2:6" ht="49.5" customHeight="1" x14ac:dyDescent="0.2">
      <c r="B15" s="721" t="s">
        <v>670</v>
      </c>
      <c r="C15" s="721"/>
      <c r="D15" s="721"/>
      <c r="E15" s="721"/>
      <c r="F15" s="721"/>
    </row>
    <row r="16" spans="2:6" ht="27" customHeight="1" x14ac:dyDescent="0.25">
      <c r="B16" s="329"/>
    </row>
  </sheetData>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942C6-347D-49AE-A709-DC063B46F950}">
  <sheetPr>
    <tabColor theme="9" tint="-0.249977111117893"/>
  </sheetPr>
  <dimension ref="B2:F9"/>
  <sheetViews>
    <sheetView topLeftCell="A2" workbookViewId="0">
      <selection activeCell="B3" sqref="B3"/>
    </sheetView>
  </sheetViews>
  <sheetFormatPr baseColWidth="10" defaultColWidth="11.42578125" defaultRowHeight="12.75" x14ac:dyDescent="0.2"/>
  <cols>
    <col min="1" max="1" width="3.5703125" style="193" customWidth="1"/>
    <col min="2" max="2" width="14.28515625" style="1" customWidth="1"/>
    <col min="3" max="6" width="19.85546875" style="1" customWidth="1"/>
    <col min="7" max="16384" width="11.42578125" style="193"/>
  </cols>
  <sheetData>
    <row r="2" spans="2:6" x14ac:dyDescent="0.2">
      <c r="B2" s="733"/>
      <c r="C2" s="733"/>
      <c r="D2" s="733"/>
      <c r="E2" s="733"/>
      <c r="F2" s="733"/>
    </row>
    <row r="3" spans="2:6" x14ac:dyDescent="0.2">
      <c r="B3" s="216"/>
      <c r="C3" s="217"/>
      <c r="D3" s="217"/>
      <c r="E3" s="217"/>
      <c r="F3" s="217"/>
    </row>
    <row r="4" spans="2:6" ht="22.5" customHeight="1" x14ac:dyDescent="0.2">
      <c r="B4" s="218" t="s">
        <v>464</v>
      </c>
      <c r="C4" s="218" t="s">
        <v>465</v>
      </c>
      <c r="D4" s="219" t="s">
        <v>466</v>
      </c>
      <c r="E4" s="219" t="s">
        <v>467</v>
      </c>
      <c r="F4" s="219" t="s">
        <v>468</v>
      </c>
    </row>
    <row r="5" spans="2:6" ht="51" x14ac:dyDescent="0.2">
      <c r="B5" s="220" t="s">
        <v>469</v>
      </c>
      <c r="C5" s="221" t="s">
        <v>470</v>
      </c>
      <c r="D5" s="222" t="s">
        <v>471</v>
      </c>
      <c r="E5" s="223" t="s">
        <v>462</v>
      </c>
      <c r="F5" s="224" t="s">
        <v>472</v>
      </c>
    </row>
    <row r="6" spans="2:6" ht="76.5" x14ac:dyDescent="0.2">
      <c r="B6" s="225" t="s">
        <v>473</v>
      </c>
      <c r="C6" s="221" t="s">
        <v>474</v>
      </c>
      <c r="D6" s="222" t="s">
        <v>463</v>
      </c>
      <c r="E6" s="223" t="s">
        <v>475</v>
      </c>
      <c r="F6" s="224" t="s">
        <v>476</v>
      </c>
    </row>
    <row r="7" spans="2:6" ht="63.75" x14ac:dyDescent="0.2">
      <c r="B7" s="226" t="s">
        <v>477</v>
      </c>
      <c r="C7" s="221" t="s">
        <v>478</v>
      </c>
      <c r="D7" s="222" t="s">
        <v>479</v>
      </c>
      <c r="E7" s="223" t="s">
        <v>480</v>
      </c>
      <c r="F7" s="224" t="s">
        <v>481</v>
      </c>
    </row>
    <row r="8" spans="2:6" ht="51" x14ac:dyDescent="0.2">
      <c r="B8" s="227" t="s">
        <v>482</v>
      </c>
      <c r="C8" s="221" t="s">
        <v>483</v>
      </c>
      <c r="D8" s="222" t="s">
        <v>484</v>
      </c>
      <c r="E8" s="223" t="s">
        <v>485</v>
      </c>
      <c r="F8" s="224" t="s">
        <v>486</v>
      </c>
    </row>
    <row r="9" spans="2:6" ht="63.75" x14ac:dyDescent="0.2">
      <c r="B9" s="228" t="s">
        <v>487</v>
      </c>
      <c r="C9" s="221" t="s">
        <v>488</v>
      </c>
      <c r="D9" s="222" t="s">
        <v>489</v>
      </c>
      <c r="E9" s="223" t="s">
        <v>490</v>
      </c>
      <c r="F9" s="224" t="s">
        <v>491</v>
      </c>
    </row>
  </sheetData>
  <mergeCells count="1">
    <mergeCell ref="B2:F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U263"/>
  <sheetViews>
    <sheetView topLeftCell="C237" zoomScale="60" zoomScaleNormal="60" workbookViewId="0">
      <selection activeCell="D221" sqref="D221"/>
    </sheetView>
  </sheetViews>
  <sheetFormatPr baseColWidth="10" defaultColWidth="11.42578125" defaultRowHeight="15" x14ac:dyDescent="0.25"/>
  <cols>
    <col min="1" max="1" width="5.28515625" customWidth="1"/>
    <col min="2" max="2" width="56.85546875" customWidth="1"/>
    <col min="3" max="3" width="75.140625" customWidth="1"/>
    <col min="4" max="4" width="87.5703125" customWidth="1"/>
    <col min="5" max="5" width="46.42578125" customWidth="1"/>
    <col min="6" max="6" width="98.5703125" style="206" customWidth="1"/>
    <col min="7" max="7" width="26.85546875" customWidth="1"/>
    <col min="11" max="11" width="48.28515625" customWidth="1"/>
  </cols>
  <sheetData>
    <row r="2" spans="1:21" s="123" customFormat="1" ht="45.75" customHeight="1" x14ac:dyDescent="0.25">
      <c r="A2" s="122"/>
      <c r="B2" s="734" t="s">
        <v>492</v>
      </c>
      <c r="C2" s="734"/>
      <c r="D2" s="734"/>
      <c r="E2" s="734"/>
      <c r="F2" s="202"/>
      <c r="G2" s="122"/>
      <c r="H2" s="122"/>
      <c r="I2" s="122"/>
      <c r="J2" s="122"/>
      <c r="K2" s="122"/>
      <c r="L2" s="122"/>
      <c r="M2" s="122"/>
      <c r="N2" s="122"/>
      <c r="O2" s="122"/>
      <c r="P2" s="122"/>
      <c r="Q2" s="122"/>
      <c r="R2" s="122"/>
      <c r="S2" s="122"/>
      <c r="T2" s="122"/>
      <c r="U2" s="122"/>
    </row>
    <row r="3" spans="1:21" s="123" customFormat="1" ht="18.75" customHeight="1" x14ac:dyDescent="0.25">
      <c r="A3" s="122"/>
      <c r="B3" s="124"/>
      <c r="C3" s="122"/>
      <c r="D3" s="122"/>
      <c r="E3" s="122"/>
      <c r="F3" s="202"/>
      <c r="G3" s="122"/>
      <c r="H3" s="122"/>
      <c r="I3" s="122"/>
      <c r="J3" s="122"/>
      <c r="K3" s="122"/>
      <c r="L3" s="122"/>
      <c r="M3" s="122"/>
      <c r="N3" s="122"/>
      <c r="O3" s="122"/>
      <c r="P3" s="122"/>
      <c r="Q3" s="122"/>
      <c r="R3" s="122"/>
      <c r="S3" s="122"/>
      <c r="T3" s="122"/>
      <c r="U3" s="122"/>
    </row>
    <row r="4" spans="1:21" ht="67.5" customHeight="1" x14ac:dyDescent="0.25">
      <c r="A4" s="66"/>
      <c r="B4" s="74"/>
      <c r="C4" s="21" t="s">
        <v>493</v>
      </c>
      <c r="D4" s="21" t="s">
        <v>494</v>
      </c>
      <c r="E4" s="21" t="s">
        <v>495</v>
      </c>
      <c r="F4" s="203"/>
      <c r="G4" s="66"/>
      <c r="H4" s="66"/>
      <c r="I4" s="66"/>
      <c r="J4" s="66"/>
      <c r="K4" s="66"/>
      <c r="L4" s="66"/>
      <c r="M4" s="66"/>
      <c r="N4" s="66"/>
      <c r="O4" s="66"/>
      <c r="P4" s="66"/>
      <c r="Q4" s="66"/>
      <c r="R4" s="66"/>
      <c r="S4" s="66"/>
      <c r="T4" s="66"/>
      <c r="U4" s="66"/>
    </row>
    <row r="5" spans="1:21" ht="67.5" customHeight="1" x14ac:dyDescent="0.25">
      <c r="A5" s="68" t="s">
        <v>496</v>
      </c>
      <c r="B5" s="22" t="s">
        <v>469</v>
      </c>
      <c r="C5" s="27" t="s">
        <v>497</v>
      </c>
      <c r="D5" s="72" t="s">
        <v>498</v>
      </c>
      <c r="E5" s="155">
        <f>908526*130</f>
        <v>118108380</v>
      </c>
      <c r="F5" s="204"/>
      <c r="G5" s="66"/>
      <c r="H5" s="66"/>
      <c r="I5" s="66"/>
      <c r="J5" s="66"/>
      <c r="K5" s="66"/>
      <c r="L5" s="66"/>
      <c r="M5" s="66"/>
      <c r="N5" s="66"/>
      <c r="O5" s="66"/>
      <c r="P5" s="66"/>
      <c r="Q5" s="66"/>
      <c r="R5" s="66"/>
      <c r="S5" s="66"/>
      <c r="T5" s="66"/>
      <c r="U5" s="66"/>
    </row>
    <row r="6" spans="1:21" ht="129" customHeight="1" x14ac:dyDescent="0.25">
      <c r="A6" s="68" t="s">
        <v>499</v>
      </c>
      <c r="B6" s="23" t="s">
        <v>473</v>
      </c>
      <c r="C6" s="28" t="s">
        <v>500</v>
      </c>
      <c r="D6" s="73" t="s">
        <v>501</v>
      </c>
      <c r="E6" s="155">
        <f>908526*650</f>
        <v>590541900</v>
      </c>
      <c r="F6" s="204"/>
      <c r="G6" s="66"/>
      <c r="H6" s="66"/>
      <c r="I6" s="66"/>
      <c r="J6" s="66"/>
      <c r="K6" s="66"/>
      <c r="L6" s="66"/>
      <c r="M6" s="66"/>
      <c r="N6" s="66"/>
      <c r="O6" s="66"/>
      <c r="P6" s="66"/>
      <c r="Q6" s="66"/>
      <c r="R6" s="66"/>
      <c r="S6" s="66"/>
      <c r="T6" s="66"/>
      <c r="U6" s="66"/>
    </row>
    <row r="7" spans="1:21" ht="101.25" x14ac:dyDescent="0.25">
      <c r="A7" s="68" t="s">
        <v>406</v>
      </c>
      <c r="B7" s="24" t="s">
        <v>477</v>
      </c>
      <c r="C7" s="28" t="s">
        <v>502</v>
      </c>
      <c r="D7" s="73" t="s">
        <v>460</v>
      </c>
      <c r="E7" s="155">
        <f>908526*1300</f>
        <v>1181083800</v>
      </c>
      <c r="F7" s="204"/>
      <c r="G7" s="66"/>
      <c r="H7" s="66"/>
      <c r="I7" s="66"/>
      <c r="J7" s="66"/>
      <c r="K7" s="66"/>
      <c r="L7" s="66"/>
      <c r="M7" s="66"/>
      <c r="N7" s="66"/>
      <c r="O7" s="66"/>
      <c r="P7" s="66"/>
      <c r="Q7" s="66"/>
      <c r="R7" s="66"/>
      <c r="S7" s="66"/>
      <c r="T7" s="66"/>
      <c r="U7" s="66"/>
    </row>
    <row r="8" spans="1:21" ht="135" x14ac:dyDescent="0.25">
      <c r="A8" s="68" t="s">
        <v>503</v>
      </c>
      <c r="B8" s="25" t="s">
        <v>482</v>
      </c>
      <c r="C8" s="28" t="s">
        <v>504</v>
      </c>
      <c r="D8" s="73" t="s">
        <v>505</v>
      </c>
      <c r="E8" s="155">
        <f>908526*6500</f>
        <v>5905419000</v>
      </c>
      <c r="F8" s="204"/>
      <c r="G8" s="66"/>
      <c r="H8" s="66"/>
      <c r="I8" s="66"/>
      <c r="J8" s="66"/>
      <c r="K8" s="66"/>
      <c r="L8" s="66"/>
      <c r="M8" s="66"/>
      <c r="N8" s="66"/>
      <c r="O8" s="66"/>
      <c r="P8" s="66"/>
      <c r="Q8" s="66"/>
      <c r="R8" s="66"/>
      <c r="S8" s="66"/>
      <c r="T8" s="66"/>
      <c r="U8" s="66"/>
    </row>
    <row r="9" spans="1:21" ht="101.25" x14ac:dyDescent="0.25">
      <c r="A9" s="68" t="s">
        <v>506</v>
      </c>
      <c r="B9" s="26" t="s">
        <v>487</v>
      </c>
      <c r="C9" s="28" t="s">
        <v>507</v>
      </c>
      <c r="D9" s="73" t="s">
        <v>508</v>
      </c>
      <c r="E9" s="155"/>
      <c r="F9" s="205"/>
      <c r="G9" s="75"/>
      <c r="H9" s="66"/>
      <c r="I9" s="66"/>
      <c r="J9" s="66"/>
      <c r="K9" s="66"/>
      <c r="L9" s="66"/>
      <c r="M9" s="66"/>
      <c r="N9" s="66"/>
      <c r="O9" s="66"/>
      <c r="P9" s="66"/>
      <c r="Q9" s="66"/>
      <c r="R9" s="66"/>
      <c r="S9" s="66"/>
      <c r="T9" s="66"/>
      <c r="U9" s="66"/>
    </row>
    <row r="10" spans="1:21" s="78" customFormat="1" ht="20.25" x14ac:dyDescent="0.25">
      <c r="A10" s="76"/>
      <c r="B10" s="76"/>
      <c r="C10" s="77"/>
      <c r="D10" s="77"/>
      <c r="E10" s="76"/>
      <c r="F10" s="199"/>
      <c r="G10" s="76"/>
      <c r="H10" s="76"/>
      <c r="I10" s="76"/>
      <c r="J10" s="76"/>
      <c r="K10" s="76"/>
      <c r="L10" s="76"/>
      <c r="M10" s="76"/>
      <c r="N10" s="76"/>
      <c r="O10" s="76"/>
      <c r="P10" s="76"/>
      <c r="Q10" s="76"/>
      <c r="R10" s="76"/>
      <c r="S10" s="76"/>
      <c r="T10" s="76"/>
      <c r="U10" s="76"/>
    </row>
    <row r="11" spans="1:21" s="78" customFormat="1" ht="16.5" x14ac:dyDescent="0.25">
      <c r="A11" s="76"/>
      <c r="B11" s="79"/>
      <c r="C11" s="79"/>
      <c r="D11" s="79"/>
      <c r="E11" s="76"/>
      <c r="F11" s="199"/>
      <c r="G11" s="76"/>
      <c r="H11" s="76"/>
      <c r="I11" s="76"/>
      <c r="J11" s="76"/>
      <c r="K11" s="76"/>
      <c r="L11" s="76"/>
      <c r="M11" s="76"/>
      <c r="N11" s="76"/>
      <c r="O11" s="76"/>
      <c r="P11" s="76"/>
      <c r="Q11" s="76"/>
      <c r="R11" s="76"/>
      <c r="S11" s="76"/>
      <c r="T11" s="76"/>
      <c r="U11" s="76"/>
    </row>
    <row r="12" spans="1:21" s="78" customFormat="1" x14ac:dyDescent="0.25">
      <c r="A12" s="76"/>
      <c r="B12" s="76" t="s">
        <v>509</v>
      </c>
      <c r="C12" s="76" t="s">
        <v>510</v>
      </c>
      <c r="D12" s="76" t="s">
        <v>392</v>
      </c>
      <c r="E12" s="76"/>
      <c r="F12" s="199"/>
      <c r="G12" s="76"/>
      <c r="H12" s="76"/>
      <c r="I12" s="76"/>
      <c r="J12" s="76"/>
      <c r="K12" s="76"/>
      <c r="L12" s="76"/>
      <c r="M12" s="76"/>
      <c r="N12" s="76"/>
      <c r="O12" s="76"/>
      <c r="P12" s="76"/>
      <c r="Q12" s="76"/>
      <c r="R12" s="76"/>
      <c r="S12" s="76"/>
      <c r="T12" s="76"/>
      <c r="U12" s="76"/>
    </row>
    <row r="13" spans="1:21" s="78" customFormat="1" x14ac:dyDescent="0.25">
      <c r="A13" s="76"/>
      <c r="B13" s="76" t="s">
        <v>511</v>
      </c>
      <c r="C13" s="76" t="s">
        <v>512</v>
      </c>
      <c r="D13" s="76" t="s">
        <v>513</v>
      </c>
      <c r="E13" s="76"/>
      <c r="F13" s="199"/>
      <c r="G13" s="76"/>
      <c r="H13" s="76"/>
      <c r="I13" s="76"/>
      <c r="J13" s="76"/>
      <c r="K13" s="76"/>
      <c r="L13" s="76"/>
      <c r="M13" s="76"/>
      <c r="N13" s="76"/>
      <c r="O13" s="76"/>
      <c r="P13" s="76"/>
      <c r="Q13" s="76"/>
      <c r="R13" s="76"/>
      <c r="S13" s="76"/>
      <c r="T13" s="76"/>
      <c r="U13" s="76"/>
    </row>
    <row r="14" spans="1:21" s="78" customFormat="1" x14ac:dyDescent="0.25">
      <c r="A14" s="76"/>
      <c r="B14" s="76"/>
      <c r="C14" s="76" t="s">
        <v>418</v>
      </c>
      <c r="D14" s="76" t="s">
        <v>428</v>
      </c>
      <c r="E14" s="76"/>
      <c r="F14" s="199"/>
      <c r="G14" s="76"/>
      <c r="H14" s="76"/>
      <c r="I14" s="76"/>
      <c r="J14" s="76"/>
      <c r="K14" s="76"/>
      <c r="L14" s="76"/>
      <c r="M14" s="76"/>
      <c r="N14" s="76"/>
      <c r="O14" s="76"/>
      <c r="P14" s="76"/>
      <c r="Q14" s="76"/>
      <c r="R14" s="76"/>
      <c r="S14" s="76"/>
      <c r="T14" s="76"/>
      <c r="U14" s="76"/>
    </row>
    <row r="15" spans="1:21" s="78" customFormat="1" x14ac:dyDescent="0.25">
      <c r="A15" s="76"/>
      <c r="B15" s="76"/>
      <c r="C15" s="76" t="s">
        <v>514</v>
      </c>
      <c r="D15" s="76" t="s">
        <v>427</v>
      </c>
      <c r="E15" s="76"/>
      <c r="F15" s="199"/>
      <c r="G15" s="76"/>
      <c r="H15" s="76"/>
      <c r="I15" s="76"/>
      <c r="J15" s="76"/>
      <c r="K15" s="76"/>
      <c r="L15" s="76"/>
      <c r="M15" s="76"/>
      <c r="N15" s="76"/>
      <c r="O15" s="76"/>
      <c r="P15" s="76"/>
      <c r="Q15" s="76"/>
      <c r="R15" s="76"/>
      <c r="S15" s="76"/>
      <c r="T15" s="76"/>
      <c r="U15" s="76"/>
    </row>
    <row r="16" spans="1:21" s="78" customFormat="1" x14ac:dyDescent="0.25">
      <c r="A16" s="76"/>
      <c r="B16" s="76"/>
      <c r="C16" s="76" t="s">
        <v>515</v>
      </c>
      <c r="D16" s="76" t="s">
        <v>429</v>
      </c>
      <c r="E16" s="76"/>
      <c r="F16" s="199"/>
      <c r="G16" s="76"/>
      <c r="H16" s="76"/>
      <c r="I16" s="76"/>
      <c r="J16" s="76"/>
      <c r="K16" s="76"/>
      <c r="L16" s="76"/>
      <c r="M16" s="76"/>
      <c r="N16" s="76"/>
      <c r="O16" s="76"/>
      <c r="P16" s="76"/>
      <c r="Q16" s="76"/>
      <c r="R16" s="76"/>
      <c r="S16" s="76"/>
      <c r="T16" s="76"/>
      <c r="U16" s="76"/>
    </row>
    <row r="17" spans="1:15" s="78" customFormat="1" x14ac:dyDescent="0.25">
      <c r="A17" s="76"/>
      <c r="B17" s="76"/>
      <c r="C17" s="76"/>
      <c r="D17" s="76"/>
      <c r="E17" s="76"/>
      <c r="F17" s="199"/>
      <c r="G17" s="76"/>
      <c r="H17" s="76"/>
      <c r="I17" s="76"/>
      <c r="J17" s="76"/>
      <c r="K17" s="76"/>
      <c r="L17" s="76"/>
      <c r="M17" s="76"/>
      <c r="N17" s="76"/>
      <c r="O17" s="76"/>
    </row>
    <row r="18" spans="1:15" s="78" customFormat="1" x14ac:dyDescent="0.25">
      <c r="A18" s="76"/>
      <c r="B18" s="76"/>
      <c r="C18" s="76"/>
      <c r="D18" s="76"/>
      <c r="E18" s="76"/>
      <c r="F18" s="199"/>
      <c r="G18" s="76"/>
      <c r="H18" s="76"/>
      <c r="I18" s="76"/>
      <c r="J18" s="76"/>
      <c r="K18" s="76"/>
      <c r="L18" s="76"/>
      <c r="M18" s="76"/>
      <c r="N18" s="76"/>
      <c r="O18" s="76"/>
    </row>
    <row r="19" spans="1:15" s="78" customFormat="1" x14ac:dyDescent="0.25">
      <c r="A19" s="76"/>
      <c r="B19" s="76"/>
      <c r="C19" s="76"/>
      <c r="D19" s="76"/>
      <c r="E19" s="76"/>
      <c r="F19" s="199"/>
      <c r="G19" s="76"/>
      <c r="H19" s="76"/>
      <c r="I19" s="76"/>
      <c r="J19" s="76"/>
      <c r="K19" s="76"/>
      <c r="L19" s="76"/>
      <c r="M19" s="76"/>
      <c r="N19" s="76"/>
      <c r="O19" s="76"/>
    </row>
    <row r="20" spans="1:15" s="78" customFormat="1" x14ac:dyDescent="0.25">
      <c r="A20" s="76"/>
      <c r="B20" s="76"/>
      <c r="C20" s="76"/>
      <c r="D20" s="76"/>
      <c r="E20" s="76"/>
      <c r="F20" s="199"/>
      <c r="G20" s="76"/>
      <c r="H20" s="76"/>
      <c r="I20" s="76"/>
      <c r="J20" s="76"/>
      <c r="K20" s="76"/>
      <c r="L20" s="76"/>
      <c r="M20" s="76"/>
      <c r="N20" s="76"/>
      <c r="O20" s="76"/>
    </row>
    <row r="21" spans="1:15" s="78" customFormat="1" x14ac:dyDescent="0.25">
      <c r="A21" s="76"/>
      <c r="B21" s="76"/>
      <c r="C21" s="76"/>
      <c r="D21" s="76"/>
      <c r="E21" s="76"/>
      <c r="F21" s="200"/>
      <c r="G21" s="76"/>
      <c r="H21" s="76"/>
      <c r="I21" s="76"/>
      <c r="J21" s="76"/>
      <c r="K21" s="76"/>
      <c r="L21" s="76"/>
      <c r="M21" s="76"/>
      <c r="N21" s="76"/>
      <c r="O21" s="76"/>
    </row>
    <row r="22" spans="1:15" s="78" customFormat="1" x14ac:dyDescent="0.25">
      <c r="A22" s="76"/>
      <c r="B22" s="76"/>
      <c r="C22" s="76"/>
      <c r="D22" s="76"/>
      <c r="E22" s="76"/>
      <c r="F22" s="200"/>
      <c r="G22" s="76"/>
      <c r="H22" s="76"/>
      <c r="I22" s="76"/>
      <c r="J22" s="76"/>
      <c r="K22" s="76"/>
      <c r="L22" s="76"/>
      <c r="M22" s="76"/>
      <c r="N22" s="76"/>
      <c r="O22" s="76"/>
    </row>
    <row r="23" spans="1:15" s="78" customFormat="1" ht="20.25" x14ac:dyDescent="0.25">
      <c r="A23" s="76"/>
      <c r="B23" s="76"/>
      <c r="C23" s="77"/>
      <c r="D23" s="77"/>
      <c r="E23" s="76"/>
      <c r="F23" s="200"/>
      <c r="G23" s="76"/>
      <c r="H23" s="76"/>
      <c r="I23" s="76"/>
      <c r="J23" s="76"/>
      <c r="K23" s="76"/>
      <c r="L23" s="76"/>
      <c r="M23" s="76"/>
      <c r="N23" s="76"/>
      <c r="O23" s="76"/>
    </row>
    <row r="24" spans="1:15" s="78" customFormat="1" ht="20.25" x14ac:dyDescent="0.25">
      <c r="A24" s="76"/>
      <c r="B24" s="76"/>
      <c r="C24" s="77"/>
      <c r="D24" s="77"/>
      <c r="E24" s="76"/>
      <c r="F24" s="200"/>
      <c r="G24" s="76"/>
      <c r="H24" s="76"/>
      <c r="I24" s="76"/>
      <c r="J24" s="76"/>
      <c r="K24" s="76"/>
      <c r="L24" s="76"/>
      <c r="M24" s="76"/>
      <c r="N24" s="76"/>
      <c r="O24" s="76"/>
    </row>
    <row r="25" spans="1:15" s="78" customFormat="1" ht="20.25" x14ac:dyDescent="0.25">
      <c r="A25" s="76"/>
      <c r="B25" s="76"/>
      <c r="C25" s="77"/>
      <c r="D25" s="77"/>
      <c r="E25" s="76"/>
      <c r="F25" s="200"/>
      <c r="G25" s="76"/>
      <c r="H25" s="76"/>
      <c r="I25" s="76"/>
      <c r="J25" s="76"/>
      <c r="K25" s="76"/>
      <c r="L25" s="76"/>
      <c r="M25" s="76"/>
      <c r="N25" s="76"/>
      <c r="O25" s="76"/>
    </row>
    <row r="26" spans="1:15" s="78" customFormat="1" ht="20.25" x14ac:dyDescent="0.25">
      <c r="A26" s="76"/>
      <c r="B26" s="76"/>
      <c r="C26" s="77"/>
      <c r="D26" s="77"/>
      <c r="E26" s="76"/>
      <c r="F26" s="200"/>
      <c r="G26" s="76"/>
      <c r="H26" s="76"/>
      <c r="I26" s="76"/>
      <c r="J26" s="76"/>
      <c r="K26" s="76"/>
      <c r="L26" s="76"/>
      <c r="M26" s="76"/>
      <c r="N26" s="76"/>
      <c r="O26" s="76"/>
    </row>
    <row r="27" spans="1:15" s="78" customFormat="1" ht="20.25" x14ac:dyDescent="0.25">
      <c r="A27" s="76"/>
      <c r="B27" s="76"/>
      <c r="C27" s="77"/>
      <c r="D27" s="77"/>
      <c r="E27" s="76"/>
      <c r="F27" s="200"/>
      <c r="G27" s="76"/>
      <c r="H27" s="76"/>
      <c r="I27" s="76"/>
      <c r="J27" s="76"/>
      <c r="K27" s="76"/>
      <c r="L27" s="76"/>
      <c r="M27" s="76"/>
      <c r="N27" s="76"/>
      <c r="O27" s="76"/>
    </row>
    <row r="28" spans="1:15" s="78" customFormat="1" ht="20.25" x14ac:dyDescent="0.25">
      <c r="A28" s="76"/>
      <c r="B28" s="76"/>
      <c r="C28" s="77"/>
      <c r="D28" s="77"/>
      <c r="E28" s="76"/>
      <c r="F28" s="200"/>
      <c r="G28" s="76"/>
      <c r="H28" s="76"/>
      <c r="I28" s="76"/>
      <c r="J28" s="76"/>
      <c r="K28" s="76"/>
      <c r="L28" s="76"/>
      <c r="M28" s="76"/>
      <c r="N28" s="76"/>
      <c r="O28" s="76"/>
    </row>
    <row r="29" spans="1:15" s="78" customFormat="1" ht="20.25" x14ac:dyDescent="0.25">
      <c r="A29" s="76"/>
      <c r="B29" s="76"/>
      <c r="C29" s="77"/>
      <c r="D29" s="77"/>
      <c r="E29" s="76"/>
      <c r="F29" s="200"/>
      <c r="G29" s="76"/>
      <c r="H29" s="76"/>
      <c r="I29" s="76"/>
      <c r="J29" s="76"/>
      <c r="K29" s="76"/>
      <c r="L29" s="76"/>
      <c r="M29" s="76"/>
      <c r="N29" s="76"/>
      <c r="O29" s="76"/>
    </row>
    <row r="30" spans="1:15" s="78" customFormat="1" ht="20.25" x14ac:dyDescent="0.25">
      <c r="A30" s="76"/>
      <c r="B30" s="76"/>
      <c r="C30" s="77"/>
      <c r="D30" s="77"/>
      <c r="E30" s="76"/>
      <c r="F30" s="200"/>
      <c r="G30" s="76"/>
      <c r="H30" s="76"/>
      <c r="I30" s="76"/>
      <c r="J30" s="76"/>
      <c r="K30" s="76"/>
      <c r="L30" s="76"/>
      <c r="M30" s="76"/>
      <c r="N30" s="76"/>
      <c r="O30" s="76"/>
    </row>
    <row r="31" spans="1:15" s="78" customFormat="1" ht="20.25" x14ac:dyDescent="0.25">
      <c r="A31" s="76"/>
      <c r="B31" s="76"/>
      <c r="C31" s="77"/>
      <c r="D31" s="77"/>
      <c r="E31" s="76"/>
      <c r="F31" s="200"/>
      <c r="G31" s="76"/>
      <c r="H31" s="76"/>
      <c r="I31" s="76"/>
      <c r="J31" s="76"/>
      <c r="K31" s="76"/>
      <c r="L31" s="76"/>
      <c r="M31" s="76"/>
      <c r="N31" s="76"/>
      <c r="O31" s="76"/>
    </row>
    <row r="32" spans="1:15" s="78" customFormat="1" ht="20.25" x14ac:dyDescent="0.25">
      <c r="A32" s="76"/>
      <c r="B32" s="76"/>
      <c r="C32" s="77"/>
      <c r="D32" s="77"/>
      <c r="E32" s="76"/>
      <c r="F32" s="200"/>
      <c r="G32" s="76"/>
      <c r="H32" s="76"/>
      <c r="I32" s="76"/>
      <c r="J32" s="76"/>
      <c r="K32" s="76"/>
      <c r="L32" s="76"/>
      <c r="M32" s="76"/>
      <c r="N32" s="76"/>
      <c r="O32" s="76"/>
    </row>
    <row r="33" spans="1:15" s="78" customFormat="1" ht="20.25" x14ac:dyDescent="0.25">
      <c r="A33" s="76"/>
      <c r="B33" s="76"/>
      <c r="C33" s="77"/>
      <c r="D33" s="77"/>
      <c r="E33" s="76"/>
      <c r="F33" s="200"/>
      <c r="G33" s="76"/>
      <c r="H33" s="76"/>
      <c r="I33" s="76"/>
      <c r="J33" s="76"/>
      <c r="K33" s="76"/>
      <c r="L33" s="76"/>
      <c r="M33" s="76"/>
      <c r="N33" s="76"/>
      <c r="O33" s="76"/>
    </row>
    <row r="34" spans="1:15" s="78" customFormat="1" ht="20.25" x14ac:dyDescent="0.25">
      <c r="A34" s="76"/>
      <c r="B34" s="76"/>
      <c r="C34" s="77"/>
      <c r="D34" s="77"/>
      <c r="E34" s="76"/>
      <c r="F34" s="200"/>
      <c r="G34" s="76"/>
      <c r="H34" s="76"/>
      <c r="I34" s="76"/>
      <c r="J34" s="76"/>
      <c r="K34" s="76"/>
      <c r="L34" s="76"/>
      <c r="M34" s="76"/>
      <c r="N34" s="76"/>
      <c r="O34" s="76"/>
    </row>
    <row r="35" spans="1:15" s="78" customFormat="1" ht="20.25" x14ac:dyDescent="0.25">
      <c r="A35" s="76"/>
      <c r="B35" s="76"/>
      <c r="C35" s="77"/>
      <c r="D35" s="77"/>
      <c r="E35" s="76"/>
      <c r="F35" s="200"/>
      <c r="G35" s="76"/>
      <c r="H35" s="76"/>
      <c r="I35" s="76"/>
      <c r="J35" s="76"/>
      <c r="K35" s="76"/>
      <c r="L35" s="76"/>
      <c r="M35" s="76"/>
      <c r="N35" s="76"/>
      <c r="O35" s="76"/>
    </row>
    <row r="36" spans="1:15" s="78" customFormat="1" ht="20.25" x14ac:dyDescent="0.25">
      <c r="A36" s="76"/>
      <c r="B36" s="76"/>
      <c r="C36" s="77"/>
      <c r="D36" s="77"/>
      <c r="E36" s="76"/>
      <c r="F36" s="200"/>
      <c r="G36" s="76"/>
      <c r="H36" s="76"/>
      <c r="I36" s="76"/>
      <c r="J36" s="76"/>
      <c r="K36" s="76"/>
      <c r="L36" s="76"/>
      <c r="M36" s="76"/>
      <c r="N36" s="76"/>
      <c r="O36" s="76"/>
    </row>
    <row r="37" spans="1:15" s="78" customFormat="1" ht="20.25" x14ac:dyDescent="0.25">
      <c r="A37" s="76"/>
      <c r="B37" s="76"/>
      <c r="C37" s="77"/>
      <c r="D37" s="77"/>
      <c r="E37" s="76"/>
      <c r="F37" s="200"/>
      <c r="G37" s="76"/>
      <c r="H37" s="76"/>
      <c r="I37" s="76"/>
      <c r="J37" s="76"/>
      <c r="K37" s="76"/>
      <c r="L37" s="76"/>
      <c r="M37" s="76"/>
      <c r="N37" s="76"/>
      <c r="O37" s="76"/>
    </row>
    <row r="38" spans="1:15" s="78" customFormat="1" ht="20.25" x14ac:dyDescent="0.25">
      <c r="A38" s="76"/>
      <c r="B38" s="76"/>
      <c r="C38" s="77"/>
      <c r="D38" s="77"/>
      <c r="E38" s="76"/>
      <c r="F38" s="200"/>
      <c r="G38" s="76"/>
      <c r="H38" s="76"/>
      <c r="I38" s="76"/>
      <c r="J38" s="76"/>
      <c r="K38" s="76"/>
      <c r="L38" s="76"/>
      <c r="M38" s="76"/>
      <c r="N38" s="76"/>
      <c r="O38" s="76"/>
    </row>
    <row r="39" spans="1:15" s="78" customFormat="1" ht="20.25" x14ac:dyDescent="0.25">
      <c r="A39" s="76"/>
      <c r="B39" s="76"/>
      <c r="C39" s="77"/>
      <c r="D39" s="77"/>
      <c r="E39" s="76"/>
      <c r="F39" s="200"/>
      <c r="G39" s="76"/>
      <c r="H39" s="76"/>
      <c r="I39" s="76"/>
      <c r="J39" s="76"/>
      <c r="K39" s="76"/>
      <c r="L39" s="76"/>
      <c r="M39" s="76"/>
      <c r="N39" s="76"/>
      <c r="O39" s="76"/>
    </row>
    <row r="40" spans="1:15" s="78" customFormat="1" ht="20.25" x14ac:dyDescent="0.25">
      <c r="A40" s="76"/>
      <c r="B40" s="76"/>
      <c r="C40" s="77"/>
      <c r="D40" s="77"/>
      <c r="E40" s="76"/>
      <c r="F40" s="200"/>
      <c r="G40" s="76"/>
      <c r="H40" s="76"/>
      <c r="I40" s="76"/>
      <c r="J40" s="76"/>
      <c r="K40" s="76"/>
      <c r="L40" s="76"/>
      <c r="M40" s="76"/>
      <c r="N40" s="76"/>
      <c r="O40" s="76"/>
    </row>
    <row r="41" spans="1:15" s="78" customFormat="1" ht="20.25" x14ac:dyDescent="0.25">
      <c r="A41" s="76"/>
      <c r="B41" s="76"/>
      <c r="C41" s="77"/>
      <c r="D41" s="77"/>
      <c r="E41" s="76"/>
      <c r="F41" s="200"/>
      <c r="G41" s="76"/>
      <c r="H41" s="76"/>
      <c r="I41" s="76"/>
      <c r="J41" s="76"/>
      <c r="K41" s="76"/>
      <c r="L41" s="76"/>
      <c r="M41" s="76"/>
      <c r="N41" s="76"/>
      <c r="O41" s="76"/>
    </row>
    <row r="42" spans="1:15" s="78" customFormat="1" ht="20.25" x14ac:dyDescent="0.25">
      <c r="A42" s="76"/>
      <c r="B42" s="76"/>
      <c r="C42" s="77"/>
      <c r="D42" s="77"/>
      <c r="E42" s="76"/>
      <c r="F42" s="200"/>
      <c r="G42" s="76"/>
      <c r="H42" s="76"/>
      <c r="I42" s="76"/>
      <c r="J42" s="76"/>
      <c r="K42" s="76"/>
      <c r="L42" s="76"/>
      <c r="M42" s="76"/>
      <c r="N42" s="76"/>
      <c r="O42" s="76"/>
    </row>
    <row r="43" spans="1:15" s="78" customFormat="1" ht="20.25" x14ac:dyDescent="0.25">
      <c r="A43" s="76"/>
      <c r="B43" s="76"/>
      <c r="C43" s="77"/>
      <c r="D43" s="77"/>
      <c r="E43" s="76"/>
      <c r="F43" s="200"/>
      <c r="G43" s="76"/>
      <c r="H43" s="76"/>
      <c r="I43" s="76"/>
      <c r="J43" s="76"/>
      <c r="K43" s="76"/>
      <c r="L43" s="76"/>
      <c r="M43" s="76"/>
      <c r="N43" s="76"/>
      <c r="O43" s="76"/>
    </row>
    <row r="44" spans="1:15" s="78" customFormat="1" ht="20.25" x14ac:dyDescent="0.25">
      <c r="A44" s="76"/>
      <c r="B44" s="76"/>
      <c r="C44" s="77"/>
      <c r="D44" s="77"/>
      <c r="E44" s="76"/>
      <c r="F44" s="200"/>
      <c r="G44" s="76"/>
      <c r="H44" s="76"/>
      <c r="I44" s="76"/>
      <c r="J44" s="76"/>
      <c r="K44" s="76"/>
      <c r="L44" s="76"/>
      <c r="M44" s="76"/>
      <c r="N44" s="76"/>
      <c r="O44" s="76"/>
    </row>
    <row r="45" spans="1:15" s="78" customFormat="1" ht="20.25" x14ac:dyDescent="0.25">
      <c r="A45" s="76"/>
      <c r="B45" s="76"/>
      <c r="C45" s="77"/>
      <c r="D45" s="77"/>
      <c r="E45" s="76"/>
      <c r="F45" s="200"/>
      <c r="G45" s="76"/>
      <c r="H45" s="76"/>
      <c r="I45" s="76"/>
      <c r="J45" s="76"/>
      <c r="K45" s="76"/>
      <c r="L45" s="76"/>
      <c r="M45" s="76"/>
      <c r="N45" s="76"/>
      <c r="O45" s="76"/>
    </row>
    <row r="46" spans="1:15" s="78" customFormat="1" ht="20.25" x14ac:dyDescent="0.25">
      <c r="A46" s="76"/>
      <c r="B46" s="76"/>
      <c r="C46" s="77"/>
      <c r="D46" s="77"/>
      <c r="E46" s="76"/>
      <c r="F46" s="200"/>
      <c r="G46" s="76"/>
      <c r="H46" s="76"/>
      <c r="I46" s="76"/>
      <c r="J46" s="76"/>
      <c r="K46" s="76"/>
      <c r="L46" s="76"/>
      <c r="M46" s="76"/>
      <c r="N46" s="76"/>
      <c r="O46" s="76"/>
    </row>
    <row r="47" spans="1:15" ht="20.25" x14ac:dyDescent="0.25">
      <c r="A47" s="68"/>
      <c r="B47" s="68"/>
      <c r="C47" s="69"/>
      <c r="D47" s="69"/>
      <c r="E47" s="66"/>
      <c r="F47" s="203"/>
      <c r="G47" s="66"/>
      <c r="H47" s="66"/>
      <c r="I47" s="66"/>
      <c r="J47" s="66"/>
      <c r="K47" s="66"/>
      <c r="L47" s="66"/>
      <c r="M47" s="66"/>
      <c r="N47" s="66"/>
      <c r="O47" s="66"/>
    </row>
    <row r="48" spans="1:15" ht="20.25" x14ac:dyDescent="0.25">
      <c r="A48" s="68"/>
      <c r="B48" s="68"/>
      <c r="C48" s="69"/>
      <c r="D48" s="69"/>
      <c r="E48" s="66"/>
      <c r="F48" s="203"/>
      <c r="G48" s="66"/>
      <c r="H48" s="66"/>
      <c r="I48" s="66"/>
      <c r="J48" s="66"/>
      <c r="K48" s="66"/>
      <c r="L48" s="66"/>
      <c r="M48" s="66"/>
      <c r="N48" s="66"/>
      <c r="O48" s="66"/>
    </row>
    <row r="49" spans="1:15" ht="20.25" x14ac:dyDescent="0.25">
      <c r="A49" s="68"/>
      <c r="B49" s="68"/>
      <c r="C49" s="69"/>
      <c r="D49" s="69"/>
      <c r="E49" s="66"/>
      <c r="F49" s="203"/>
      <c r="G49" s="66"/>
      <c r="H49" s="66"/>
      <c r="I49" s="66"/>
      <c r="J49" s="66"/>
      <c r="K49" s="66"/>
      <c r="L49" s="66"/>
      <c r="M49" s="66"/>
      <c r="N49" s="66"/>
      <c r="O49" s="66"/>
    </row>
    <row r="50" spans="1:15" ht="20.25" x14ac:dyDescent="0.25">
      <c r="A50" s="68"/>
      <c r="B50" s="68"/>
      <c r="C50" s="69"/>
      <c r="D50" s="69"/>
      <c r="E50" s="66"/>
      <c r="F50" s="203"/>
      <c r="G50" s="66"/>
      <c r="H50" s="66"/>
      <c r="I50" s="66"/>
      <c r="J50" s="66"/>
      <c r="K50" s="66"/>
      <c r="L50" s="66"/>
      <c r="M50" s="66"/>
      <c r="N50" s="66"/>
      <c r="O50" s="66"/>
    </row>
    <row r="51" spans="1:15" ht="20.25" x14ac:dyDescent="0.25">
      <c r="A51" s="68"/>
      <c r="B51" s="68"/>
      <c r="C51" s="69"/>
      <c r="D51" s="69"/>
      <c r="E51" s="66"/>
      <c r="F51" s="203"/>
      <c r="G51" s="66"/>
      <c r="H51" s="66"/>
      <c r="I51" s="66"/>
      <c r="J51" s="66"/>
      <c r="K51" s="66"/>
      <c r="L51" s="66"/>
      <c r="M51" s="66"/>
      <c r="N51" s="66"/>
      <c r="O51" s="66"/>
    </row>
    <row r="52" spans="1:15" ht="20.25" x14ac:dyDescent="0.25">
      <c r="A52" s="68"/>
      <c r="B52" s="68"/>
      <c r="C52" s="69"/>
      <c r="D52" s="69"/>
      <c r="E52" s="66"/>
      <c r="F52" s="203"/>
      <c r="G52" s="66"/>
      <c r="H52" s="66"/>
      <c r="I52" s="66"/>
      <c r="J52" s="66"/>
      <c r="K52" s="66"/>
      <c r="L52" s="66"/>
      <c r="M52" s="66"/>
      <c r="N52" s="66"/>
      <c r="O52" s="66"/>
    </row>
    <row r="53" spans="1:15" ht="20.25" x14ac:dyDescent="0.25">
      <c r="A53" s="68"/>
      <c r="B53" s="15"/>
      <c r="C53" s="20"/>
      <c r="D53" s="20"/>
    </row>
    <row r="54" spans="1:15" ht="20.25" x14ac:dyDescent="0.25">
      <c r="A54" s="68"/>
      <c r="B54" s="15"/>
      <c r="C54" s="20"/>
      <c r="D54" s="20"/>
    </row>
    <row r="55" spans="1:15" ht="20.25" x14ac:dyDescent="0.25">
      <c r="A55" s="68"/>
      <c r="B55" s="15"/>
      <c r="C55" s="20"/>
      <c r="D55" s="20"/>
    </row>
    <row r="56" spans="1:15" ht="20.25" x14ac:dyDescent="0.25">
      <c r="A56" s="68"/>
      <c r="B56" s="15"/>
      <c r="C56" s="20"/>
      <c r="D56" s="20"/>
    </row>
    <row r="57" spans="1:15" ht="20.25" x14ac:dyDescent="0.25">
      <c r="A57" s="68"/>
      <c r="B57" s="15"/>
      <c r="C57" s="20"/>
      <c r="D57" s="20"/>
    </row>
    <row r="58" spans="1:15" ht="20.25" x14ac:dyDescent="0.25">
      <c r="A58" s="68"/>
      <c r="B58" s="15"/>
      <c r="C58" s="20"/>
      <c r="D58" s="20"/>
    </row>
    <row r="59" spans="1:15" ht="20.25" x14ac:dyDescent="0.25">
      <c r="A59" s="68"/>
      <c r="B59" s="15"/>
      <c r="C59" s="20"/>
      <c r="D59" s="20"/>
    </row>
    <row r="60" spans="1:15" ht="20.25" x14ac:dyDescent="0.25">
      <c r="A60" s="68"/>
      <c r="B60" s="15"/>
      <c r="C60" s="20"/>
      <c r="D60" s="20"/>
    </row>
    <row r="61" spans="1:15" ht="20.25" x14ac:dyDescent="0.25">
      <c r="A61" s="68"/>
      <c r="B61" s="15"/>
      <c r="C61" s="20"/>
      <c r="D61" s="20"/>
    </row>
    <row r="62" spans="1:15" ht="20.25" x14ac:dyDescent="0.25">
      <c r="A62" s="68"/>
      <c r="B62" s="15"/>
      <c r="C62" s="20"/>
      <c r="D62" s="20"/>
    </row>
    <row r="63" spans="1:15" ht="20.25" x14ac:dyDescent="0.25">
      <c r="A63" s="68"/>
      <c r="B63" s="15"/>
      <c r="C63" s="20"/>
      <c r="D63" s="20"/>
    </row>
    <row r="64" spans="1:15" ht="20.25" x14ac:dyDescent="0.25">
      <c r="A64" s="68"/>
      <c r="B64" s="15"/>
      <c r="C64" s="20"/>
      <c r="D64" s="20"/>
    </row>
    <row r="65" spans="1:4" ht="20.25" x14ac:dyDescent="0.25">
      <c r="A65" s="68"/>
      <c r="B65" s="15"/>
      <c r="C65" s="20"/>
      <c r="D65" s="20"/>
    </row>
    <row r="66" spans="1:4" ht="20.25" x14ac:dyDescent="0.25">
      <c r="A66" s="68"/>
      <c r="B66" s="15"/>
      <c r="C66" s="20"/>
      <c r="D66" s="20"/>
    </row>
    <row r="67" spans="1:4" ht="20.25" x14ac:dyDescent="0.25">
      <c r="A67" s="68"/>
      <c r="B67" s="15"/>
      <c r="C67" s="20"/>
      <c r="D67" s="20"/>
    </row>
    <row r="68" spans="1:4" ht="20.25" x14ac:dyDescent="0.25">
      <c r="A68" s="68"/>
      <c r="B68" s="15"/>
      <c r="C68" s="20"/>
      <c r="D68" s="20"/>
    </row>
    <row r="69" spans="1:4" ht="20.25" x14ac:dyDescent="0.25">
      <c r="A69" s="68"/>
      <c r="B69" s="15"/>
      <c r="C69" s="20"/>
      <c r="D69" s="20"/>
    </row>
    <row r="70" spans="1:4" ht="20.25" x14ac:dyDescent="0.25">
      <c r="A70" s="68"/>
      <c r="B70" s="15"/>
      <c r="C70" s="20"/>
      <c r="D70" s="20"/>
    </row>
    <row r="71" spans="1:4" ht="20.25" x14ac:dyDescent="0.25">
      <c r="A71" s="68"/>
      <c r="B71" s="15"/>
      <c r="C71" s="20"/>
      <c r="D71" s="20"/>
    </row>
    <row r="72" spans="1:4" ht="20.25" x14ac:dyDescent="0.25">
      <c r="A72" s="68"/>
      <c r="B72" s="15"/>
      <c r="C72" s="20"/>
      <c r="D72" s="20"/>
    </row>
    <row r="73" spans="1:4" ht="20.25" x14ac:dyDescent="0.25">
      <c r="A73" s="68"/>
      <c r="B73" s="15"/>
      <c r="C73" s="20"/>
      <c r="D73" s="20"/>
    </row>
    <row r="74" spans="1:4" ht="20.25" x14ac:dyDescent="0.25">
      <c r="A74" s="68"/>
      <c r="B74" s="15"/>
      <c r="C74" s="20"/>
      <c r="D74" s="20"/>
    </row>
    <row r="75" spans="1:4" ht="20.25" x14ac:dyDescent="0.25">
      <c r="A75" s="68"/>
      <c r="B75" s="15"/>
      <c r="C75" s="20"/>
      <c r="D75" s="20"/>
    </row>
    <row r="76" spans="1:4" ht="20.25" x14ac:dyDescent="0.25">
      <c r="A76" s="68"/>
      <c r="B76" s="15"/>
      <c r="C76" s="20"/>
      <c r="D76" s="20"/>
    </row>
    <row r="77" spans="1:4" ht="20.25" x14ac:dyDescent="0.25">
      <c r="A77" s="68"/>
      <c r="B77" s="15"/>
      <c r="C77" s="20"/>
      <c r="D77" s="20"/>
    </row>
    <row r="78" spans="1:4" ht="20.25" x14ac:dyDescent="0.25">
      <c r="A78" s="68"/>
      <c r="B78" s="15"/>
      <c r="C78" s="20"/>
      <c r="D78" s="20"/>
    </row>
    <row r="79" spans="1:4" ht="20.25" x14ac:dyDescent="0.25">
      <c r="A79" s="68"/>
      <c r="B79" s="15"/>
      <c r="C79" s="20"/>
      <c r="D79" s="20"/>
    </row>
    <row r="80" spans="1:4" ht="20.25" x14ac:dyDescent="0.25">
      <c r="A80" s="68"/>
      <c r="B80" s="15"/>
      <c r="C80" s="20"/>
      <c r="D80" s="20"/>
    </row>
    <row r="81" spans="1:4" ht="20.25" x14ac:dyDescent="0.25">
      <c r="A81" s="68"/>
      <c r="B81" s="15"/>
      <c r="C81" s="20"/>
      <c r="D81" s="20"/>
    </row>
    <row r="82" spans="1:4" ht="20.25" x14ac:dyDescent="0.25">
      <c r="A82" s="68"/>
      <c r="B82" s="15"/>
      <c r="C82" s="20"/>
      <c r="D82" s="20"/>
    </row>
    <row r="83" spans="1:4" ht="20.25" x14ac:dyDescent="0.25">
      <c r="A83" s="68"/>
      <c r="B83" s="15"/>
      <c r="C83" s="20"/>
      <c r="D83" s="20"/>
    </row>
    <row r="84" spans="1:4" ht="20.25" x14ac:dyDescent="0.25">
      <c r="A84" s="68"/>
      <c r="B84" s="15"/>
      <c r="C84" s="20"/>
      <c r="D84" s="20"/>
    </row>
    <row r="85" spans="1:4" ht="20.25" x14ac:dyDescent="0.25">
      <c r="A85" s="68"/>
      <c r="B85" s="15"/>
      <c r="C85" s="20"/>
      <c r="D85" s="20"/>
    </row>
    <row r="86" spans="1:4" ht="20.25" x14ac:dyDescent="0.25">
      <c r="A86" s="68"/>
      <c r="B86" s="15"/>
      <c r="C86" s="20"/>
      <c r="D86" s="20"/>
    </row>
    <row r="87" spans="1:4" ht="20.25" x14ac:dyDescent="0.25">
      <c r="A87" s="68"/>
      <c r="B87" s="15"/>
      <c r="C87" s="20"/>
      <c r="D87" s="20"/>
    </row>
    <row r="88" spans="1:4" ht="20.25" x14ac:dyDescent="0.25">
      <c r="A88" s="68"/>
      <c r="B88" s="15"/>
      <c r="C88" s="20"/>
      <c r="D88" s="20"/>
    </row>
    <row r="89" spans="1:4" ht="20.25" x14ac:dyDescent="0.25">
      <c r="A89" s="68"/>
      <c r="B89" s="15"/>
      <c r="C89" s="20"/>
      <c r="D89" s="20"/>
    </row>
    <row r="90" spans="1:4" ht="20.25" x14ac:dyDescent="0.25">
      <c r="A90" s="68"/>
      <c r="B90" s="15"/>
      <c r="C90" s="20"/>
      <c r="D90" s="20"/>
    </row>
    <row r="91" spans="1:4" ht="20.25" x14ac:dyDescent="0.25">
      <c r="A91" s="68"/>
      <c r="B91" s="15"/>
      <c r="C91" s="20"/>
      <c r="D91" s="20"/>
    </row>
    <row r="92" spans="1:4" ht="20.25" x14ac:dyDescent="0.25">
      <c r="A92" s="68"/>
      <c r="B92" s="15"/>
      <c r="C92" s="20"/>
      <c r="D92" s="20"/>
    </row>
    <row r="93" spans="1:4" ht="20.25" x14ac:dyDescent="0.25">
      <c r="A93" s="68"/>
      <c r="B93" s="15"/>
      <c r="C93" s="20"/>
      <c r="D93" s="20"/>
    </row>
    <row r="94" spans="1:4" ht="20.25" x14ac:dyDescent="0.25">
      <c r="A94" s="68"/>
      <c r="B94" s="15"/>
      <c r="C94" s="20"/>
      <c r="D94" s="20"/>
    </row>
    <row r="95" spans="1:4" ht="20.25" x14ac:dyDescent="0.25">
      <c r="A95" s="68"/>
      <c r="B95" s="15"/>
      <c r="C95" s="20"/>
      <c r="D95" s="20"/>
    </row>
    <row r="96" spans="1:4" ht="20.25" x14ac:dyDescent="0.25">
      <c r="A96" s="68"/>
      <c r="B96" s="15"/>
      <c r="C96" s="20"/>
      <c r="D96" s="20"/>
    </row>
    <row r="97" spans="1:4" ht="20.25" x14ac:dyDescent="0.25">
      <c r="A97" s="68"/>
      <c r="B97" s="15"/>
      <c r="C97" s="20"/>
      <c r="D97" s="20"/>
    </row>
    <row r="98" spans="1:4" ht="20.25" x14ac:dyDescent="0.25">
      <c r="A98" s="68"/>
      <c r="B98" s="15"/>
      <c r="C98" s="20"/>
      <c r="D98" s="20"/>
    </row>
    <row r="99" spans="1:4" ht="20.25" x14ac:dyDescent="0.25">
      <c r="A99" s="68"/>
      <c r="B99" s="15"/>
      <c r="C99" s="20"/>
      <c r="D99" s="20"/>
    </row>
    <row r="100" spans="1:4" ht="20.25" x14ac:dyDescent="0.25">
      <c r="A100" s="68"/>
      <c r="B100" s="15"/>
      <c r="C100" s="20"/>
      <c r="D100" s="20"/>
    </row>
    <row r="101" spans="1:4" ht="20.25" x14ac:dyDescent="0.25">
      <c r="A101" s="68"/>
      <c r="B101" s="15"/>
      <c r="C101" s="20"/>
      <c r="D101" s="20"/>
    </row>
    <row r="102" spans="1:4" ht="20.25" x14ac:dyDescent="0.25">
      <c r="A102" s="68"/>
      <c r="B102" s="15"/>
      <c r="C102" s="20"/>
      <c r="D102" s="20"/>
    </row>
    <row r="103" spans="1:4" ht="20.25" x14ac:dyDescent="0.25">
      <c r="A103" s="68"/>
      <c r="B103" s="15"/>
      <c r="C103" s="20"/>
      <c r="D103" s="20"/>
    </row>
    <row r="104" spans="1:4" ht="20.25" x14ac:dyDescent="0.25">
      <c r="A104" s="68"/>
      <c r="B104" s="15"/>
      <c r="C104" s="20"/>
      <c r="D104" s="20"/>
    </row>
    <row r="105" spans="1:4" ht="20.25" x14ac:dyDescent="0.25">
      <c r="A105" s="68"/>
      <c r="B105" s="15"/>
      <c r="C105" s="20"/>
      <c r="D105" s="20"/>
    </row>
    <row r="106" spans="1:4" ht="20.25" x14ac:dyDescent="0.25">
      <c r="A106" s="68"/>
      <c r="B106" s="15"/>
      <c r="C106" s="20"/>
      <c r="D106" s="20"/>
    </row>
    <row r="107" spans="1:4" ht="20.25" x14ac:dyDescent="0.25">
      <c r="A107" s="68"/>
      <c r="B107" s="15"/>
      <c r="C107" s="20"/>
      <c r="D107" s="20"/>
    </row>
    <row r="108" spans="1:4" ht="20.25" x14ac:dyDescent="0.25">
      <c r="A108" s="68"/>
      <c r="B108" s="15"/>
      <c r="C108" s="20"/>
      <c r="D108" s="20"/>
    </row>
    <row r="109" spans="1:4" ht="20.25" x14ac:dyDescent="0.25">
      <c r="A109" s="68"/>
      <c r="B109" s="15"/>
      <c r="C109" s="20"/>
      <c r="D109" s="20"/>
    </row>
    <row r="110" spans="1:4" ht="20.25" x14ac:dyDescent="0.25">
      <c r="A110" s="68"/>
      <c r="B110" s="15"/>
      <c r="C110" s="20"/>
      <c r="D110" s="20"/>
    </row>
    <row r="111" spans="1:4" ht="20.25" x14ac:dyDescent="0.25">
      <c r="A111" s="68"/>
      <c r="B111" s="15"/>
      <c r="C111" s="20"/>
      <c r="D111" s="20"/>
    </row>
    <row r="112" spans="1:4" ht="20.25" x14ac:dyDescent="0.25">
      <c r="A112" s="68"/>
      <c r="B112" s="15"/>
      <c r="C112" s="20"/>
      <c r="D112" s="20"/>
    </row>
    <row r="113" spans="1:4" ht="20.25" x14ac:dyDescent="0.25">
      <c r="A113" s="68"/>
      <c r="B113" s="15"/>
      <c r="C113" s="20"/>
      <c r="D113" s="20"/>
    </row>
    <row r="114" spans="1:4" ht="20.25" x14ac:dyDescent="0.25">
      <c r="A114" s="68"/>
      <c r="B114" s="15"/>
      <c r="C114" s="20"/>
      <c r="D114" s="20"/>
    </row>
    <row r="115" spans="1:4" ht="20.25" x14ac:dyDescent="0.25">
      <c r="A115" s="68"/>
      <c r="B115" s="15"/>
      <c r="C115" s="20"/>
      <c r="D115" s="20"/>
    </row>
    <row r="116" spans="1:4" ht="20.25" x14ac:dyDescent="0.25">
      <c r="A116" s="68"/>
      <c r="B116" s="15"/>
      <c r="C116" s="20"/>
      <c r="D116" s="20"/>
    </row>
    <row r="117" spans="1:4" ht="20.25" x14ac:dyDescent="0.25">
      <c r="A117" s="68"/>
      <c r="B117" s="15"/>
      <c r="C117" s="20"/>
      <c r="D117" s="20"/>
    </row>
    <row r="118" spans="1:4" ht="20.25" x14ac:dyDescent="0.25">
      <c r="A118" s="68"/>
      <c r="B118" s="15"/>
      <c r="C118" s="20"/>
      <c r="D118" s="20"/>
    </row>
    <row r="119" spans="1:4" ht="20.25" x14ac:dyDescent="0.25">
      <c r="A119" s="68"/>
      <c r="B119" s="15"/>
      <c r="C119" s="20"/>
      <c r="D119" s="20"/>
    </row>
    <row r="120" spans="1:4" ht="20.25" x14ac:dyDescent="0.25">
      <c r="A120" s="68"/>
      <c r="B120" s="15"/>
      <c r="C120" s="20"/>
      <c r="D120" s="20"/>
    </row>
    <row r="121" spans="1:4" ht="20.25" x14ac:dyDescent="0.25">
      <c r="A121" s="68"/>
      <c r="B121" s="15"/>
      <c r="C121" s="20"/>
      <c r="D121" s="20"/>
    </row>
    <row r="122" spans="1:4" ht="20.25" x14ac:dyDescent="0.25">
      <c r="A122" s="68"/>
      <c r="B122" s="15"/>
      <c r="C122" s="20"/>
      <c r="D122" s="20"/>
    </row>
    <row r="123" spans="1:4" ht="20.25" x14ac:dyDescent="0.25">
      <c r="A123" s="68"/>
      <c r="B123" s="15"/>
      <c r="C123" s="20"/>
      <c r="D123" s="20"/>
    </row>
    <row r="124" spans="1:4" ht="20.25" x14ac:dyDescent="0.25">
      <c r="A124" s="68"/>
      <c r="B124" s="15"/>
      <c r="C124" s="20"/>
      <c r="D124" s="20"/>
    </row>
    <row r="125" spans="1:4" ht="20.25" x14ac:dyDescent="0.25">
      <c r="A125" s="68"/>
      <c r="B125" s="15"/>
      <c r="C125" s="20"/>
      <c r="D125" s="20"/>
    </row>
    <row r="126" spans="1:4" ht="20.25" x14ac:dyDescent="0.25">
      <c r="A126" s="68"/>
      <c r="B126" s="15"/>
      <c r="C126" s="20"/>
      <c r="D126" s="20"/>
    </row>
    <row r="127" spans="1:4" ht="20.25" x14ac:dyDescent="0.25">
      <c r="A127" s="68"/>
      <c r="B127" s="15"/>
      <c r="C127" s="20"/>
      <c r="D127" s="20"/>
    </row>
    <row r="128" spans="1:4" ht="20.25" x14ac:dyDescent="0.25">
      <c r="A128" s="68"/>
      <c r="B128" s="15"/>
      <c r="C128" s="20"/>
      <c r="D128" s="20"/>
    </row>
    <row r="129" spans="1:4" ht="20.25" x14ac:dyDescent="0.25">
      <c r="A129" s="68"/>
      <c r="B129" s="15"/>
      <c r="C129" s="20"/>
      <c r="D129" s="20"/>
    </row>
    <row r="130" spans="1:4" ht="20.25" x14ac:dyDescent="0.25">
      <c r="A130" s="68"/>
      <c r="B130" s="15"/>
      <c r="C130" s="20"/>
      <c r="D130" s="20"/>
    </row>
    <row r="131" spans="1:4" ht="20.25" x14ac:dyDescent="0.25">
      <c r="A131" s="68"/>
      <c r="B131" s="15"/>
      <c r="C131" s="20"/>
      <c r="D131" s="20"/>
    </row>
    <row r="132" spans="1:4" ht="20.25" x14ac:dyDescent="0.25">
      <c r="A132" s="68"/>
      <c r="B132" s="15"/>
      <c r="C132" s="20"/>
      <c r="D132" s="20"/>
    </row>
    <row r="133" spans="1:4" ht="20.25" x14ac:dyDescent="0.25">
      <c r="A133" s="68"/>
      <c r="B133" s="15"/>
      <c r="C133" s="20"/>
      <c r="D133" s="20"/>
    </row>
    <row r="134" spans="1:4" ht="20.25" x14ac:dyDescent="0.25">
      <c r="A134" s="68"/>
      <c r="B134" s="15"/>
      <c r="C134" s="20"/>
      <c r="D134" s="20"/>
    </row>
    <row r="135" spans="1:4" ht="20.25" x14ac:dyDescent="0.25">
      <c r="A135" s="68"/>
      <c r="B135" s="15"/>
      <c r="C135" s="20"/>
      <c r="D135" s="20"/>
    </row>
    <row r="136" spans="1:4" ht="20.25" x14ac:dyDescent="0.25">
      <c r="A136" s="68"/>
      <c r="B136" s="15"/>
      <c r="C136" s="20"/>
      <c r="D136" s="20"/>
    </row>
    <row r="137" spans="1:4" ht="20.25" x14ac:dyDescent="0.25">
      <c r="A137" s="68"/>
      <c r="B137" s="15"/>
      <c r="C137" s="20"/>
      <c r="D137" s="20"/>
    </row>
    <row r="138" spans="1:4" ht="20.25" x14ac:dyDescent="0.25">
      <c r="A138" s="68"/>
      <c r="B138" s="15"/>
      <c r="C138" s="20"/>
      <c r="D138" s="20"/>
    </row>
    <row r="139" spans="1:4" ht="20.25" x14ac:dyDescent="0.25">
      <c r="A139" s="68"/>
      <c r="B139" s="15"/>
      <c r="C139" s="20"/>
      <c r="D139" s="20"/>
    </row>
    <row r="140" spans="1:4" ht="20.25" x14ac:dyDescent="0.25">
      <c r="A140" s="68"/>
      <c r="B140" s="15"/>
      <c r="C140" s="20"/>
      <c r="D140" s="20"/>
    </row>
    <row r="141" spans="1:4" ht="20.25" x14ac:dyDescent="0.25">
      <c r="A141" s="68"/>
      <c r="B141" s="15"/>
      <c r="C141" s="20"/>
      <c r="D141" s="20"/>
    </row>
    <row r="142" spans="1:4" ht="20.25" x14ac:dyDescent="0.25">
      <c r="A142" s="68"/>
      <c r="B142" s="15"/>
      <c r="C142" s="20"/>
      <c r="D142" s="20"/>
    </row>
    <row r="143" spans="1:4" ht="20.25" x14ac:dyDescent="0.25">
      <c r="A143" s="68"/>
      <c r="B143" s="15"/>
      <c r="C143" s="20"/>
      <c r="D143" s="20"/>
    </row>
    <row r="144" spans="1:4" ht="20.25" x14ac:dyDescent="0.25">
      <c r="A144" s="68"/>
      <c r="B144" s="15"/>
      <c r="C144" s="20"/>
      <c r="D144" s="20"/>
    </row>
    <row r="145" spans="1:4" ht="20.25" x14ac:dyDescent="0.25">
      <c r="A145" s="68"/>
      <c r="B145" s="15"/>
      <c r="C145" s="20"/>
      <c r="D145" s="20"/>
    </row>
    <row r="146" spans="1:4" ht="20.25" x14ac:dyDescent="0.25">
      <c r="A146" s="68"/>
      <c r="B146" s="15"/>
      <c r="C146" s="20"/>
      <c r="D146" s="20"/>
    </row>
    <row r="147" spans="1:4" ht="20.25" x14ac:dyDescent="0.25">
      <c r="A147" s="68"/>
      <c r="B147" s="15"/>
      <c r="C147" s="20"/>
      <c r="D147" s="20"/>
    </row>
    <row r="148" spans="1:4" ht="20.25" x14ac:dyDescent="0.25">
      <c r="A148" s="68"/>
      <c r="B148" s="15"/>
      <c r="C148" s="20"/>
      <c r="D148" s="20"/>
    </row>
    <row r="149" spans="1:4" ht="20.25" x14ac:dyDescent="0.25">
      <c r="A149" s="68"/>
      <c r="B149" s="15"/>
      <c r="C149" s="20"/>
      <c r="D149" s="20"/>
    </row>
    <row r="150" spans="1:4" ht="20.25" x14ac:dyDescent="0.25">
      <c r="A150" s="68"/>
      <c r="B150" s="15"/>
      <c r="C150" s="20"/>
      <c r="D150" s="20"/>
    </row>
    <row r="151" spans="1:4" ht="20.25" x14ac:dyDescent="0.25">
      <c r="A151" s="68"/>
      <c r="B151" s="15"/>
      <c r="C151" s="20"/>
      <c r="D151" s="20"/>
    </row>
    <row r="152" spans="1:4" ht="20.25" x14ac:dyDescent="0.25">
      <c r="A152" s="68"/>
      <c r="B152" s="15"/>
      <c r="C152" s="20"/>
      <c r="D152" s="20"/>
    </row>
    <row r="153" spans="1:4" ht="20.25" x14ac:dyDescent="0.25">
      <c r="A153" s="68"/>
      <c r="B153" s="15"/>
      <c r="C153" s="20"/>
      <c r="D153" s="20"/>
    </row>
    <row r="154" spans="1:4" ht="20.25" x14ac:dyDescent="0.25">
      <c r="A154" s="68"/>
      <c r="B154" s="15"/>
      <c r="C154" s="20"/>
      <c r="D154" s="20"/>
    </row>
    <row r="155" spans="1:4" ht="20.25" x14ac:dyDescent="0.25">
      <c r="A155" s="68"/>
      <c r="B155" s="15"/>
      <c r="C155" s="20"/>
      <c r="D155" s="20"/>
    </row>
    <row r="156" spans="1:4" ht="20.25" x14ac:dyDescent="0.25">
      <c r="A156" s="68"/>
      <c r="B156" s="15"/>
      <c r="C156" s="20"/>
      <c r="D156" s="20"/>
    </row>
    <row r="157" spans="1:4" ht="20.25" x14ac:dyDescent="0.25">
      <c r="A157" s="68"/>
      <c r="B157" s="15"/>
      <c r="C157" s="20"/>
      <c r="D157" s="20"/>
    </row>
    <row r="158" spans="1:4" ht="20.25" x14ac:dyDescent="0.25">
      <c r="A158" s="68"/>
      <c r="B158" s="15"/>
      <c r="C158" s="20"/>
      <c r="D158" s="20"/>
    </row>
    <row r="159" spans="1:4" ht="20.25" x14ac:dyDescent="0.25">
      <c r="A159" s="68"/>
      <c r="B159" s="15"/>
      <c r="C159" s="20"/>
      <c r="D159" s="20"/>
    </row>
    <row r="160" spans="1:4" ht="20.25" x14ac:dyDescent="0.25">
      <c r="A160" s="68"/>
      <c r="B160" s="15"/>
      <c r="C160" s="20"/>
      <c r="D160" s="20"/>
    </row>
    <row r="161" spans="1:4" ht="20.25" x14ac:dyDescent="0.25">
      <c r="A161" s="68"/>
      <c r="B161" s="15"/>
      <c r="C161" s="20"/>
      <c r="D161" s="20"/>
    </row>
    <row r="162" spans="1:4" ht="20.25" x14ac:dyDescent="0.25">
      <c r="A162" s="68"/>
      <c r="B162" s="15"/>
      <c r="C162" s="20"/>
      <c r="D162" s="20"/>
    </row>
    <row r="163" spans="1:4" ht="20.25" x14ac:dyDescent="0.25">
      <c r="A163" s="68"/>
      <c r="B163" s="15"/>
      <c r="C163" s="20"/>
      <c r="D163" s="20"/>
    </row>
    <row r="164" spans="1:4" ht="20.25" x14ac:dyDescent="0.25">
      <c r="A164" s="68"/>
      <c r="B164" s="15"/>
      <c r="C164" s="20"/>
      <c r="D164" s="20"/>
    </row>
    <row r="165" spans="1:4" ht="20.25" x14ac:dyDescent="0.25">
      <c r="A165" s="68"/>
      <c r="B165" s="15"/>
      <c r="C165" s="20"/>
      <c r="D165" s="20"/>
    </row>
    <row r="166" spans="1:4" ht="20.25" x14ac:dyDescent="0.25">
      <c r="A166" s="68"/>
      <c r="B166" s="15"/>
      <c r="C166" s="20"/>
      <c r="D166" s="20"/>
    </row>
    <row r="167" spans="1:4" ht="20.25" x14ac:dyDescent="0.25">
      <c r="A167" s="68"/>
      <c r="B167" s="15"/>
      <c r="C167" s="20"/>
      <c r="D167" s="20"/>
    </row>
    <row r="168" spans="1:4" ht="20.25" x14ac:dyDescent="0.25">
      <c r="A168" s="68"/>
      <c r="B168" s="15"/>
      <c r="C168" s="20"/>
      <c r="D168" s="20"/>
    </row>
    <row r="169" spans="1:4" ht="20.25" x14ac:dyDescent="0.25">
      <c r="A169" s="68"/>
      <c r="B169" s="15"/>
      <c r="C169" s="20"/>
      <c r="D169" s="20"/>
    </row>
    <row r="170" spans="1:4" ht="20.25" x14ac:dyDescent="0.25">
      <c r="A170" s="68"/>
      <c r="B170" s="15"/>
      <c r="C170" s="20"/>
      <c r="D170" s="20"/>
    </row>
    <row r="171" spans="1:4" ht="20.25" x14ac:dyDescent="0.25">
      <c r="A171" s="68"/>
      <c r="B171" s="15"/>
      <c r="C171" s="20"/>
      <c r="D171" s="20"/>
    </row>
    <row r="172" spans="1:4" ht="20.25" x14ac:dyDescent="0.25">
      <c r="A172" s="68"/>
      <c r="B172" s="15"/>
      <c r="C172" s="20"/>
      <c r="D172" s="20"/>
    </row>
    <row r="173" spans="1:4" ht="20.25" x14ac:dyDescent="0.25">
      <c r="A173" s="68"/>
      <c r="B173" s="15"/>
      <c r="C173" s="20"/>
      <c r="D173" s="20"/>
    </row>
    <row r="174" spans="1:4" ht="20.25" x14ac:dyDescent="0.25">
      <c r="A174" s="68"/>
      <c r="B174" s="15"/>
      <c r="C174" s="20"/>
      <c r="D174" s="20"/>
    </row>
    <row r="175" spans="1:4" ht="20.25" x14ac:dyDescent="0.25">
      <c r="A175" s="68"/>
      <c r="B175" s="15"/>
      <c r="C175" s="20"/>
      <c r="D175" s="20"/>
    </row>
    <row r="176" spans="1:4" ht="20.25" x14ac:dyDescent="0.25">
      <c r="A176" s="68"/>
      <c r="B176" s="15"/>
      <c r="C176" s="20"/>
      <c r="D176" s="20"/>
    </row>
    <row r="177" spans="1:4" ht="20.25" x14ac:dyDescent="0.25">
      <c r="A177" s="68"/>
      <c r="B177" s="15"/>
      <c r="C177" s="20"/>
      <c r="D177" s="20"/>
    </row>
    <row r="178" spans="1:4" ht="20.25" x14ac:dyDescent="0.25">
      <c r="A178" s="68"/>
      <c r="B178" s="15"/>
      <c r="C178" s="20"/>
      <c r="D178" s="20"/>
    </row>
    <row r="179" spans="1:4" ht="20.25" x14ac:dyDescent="0.25">
      <c r="A179" s="68"/>
      <c r="B179" s="15"/>
      <c r="C179" s="20"/>
      <c r="D179" s="20"/>
    </row>
    <row r="180" spans="1:4" ht="20.25" x14ac:dyDescent="0.25">
      <c r="A180" s="68"/>
      <c r="B180" s="15"/>
      <c r="C180" s="20"/>
      <c r="D180" s="20"/>
    </row>
    <row r="181" spans="1:4" ht="20.25" x14ac:dyDescent="0.25">
      <c r="A181" s="68"/>
      <c r="B181" s="15"/>
      <c r="C181" s="20"/>
      <c r="D181" s="20"/>
    </row>
    <row r="182" spans="1:4" ht="20.25" x14ac:dyDescent="0.25">
      <c r="A182" s="68"/>
      <c r="B182" s="15"/>
      <c r="C182" s="20"/>
      <c r="D182" s="20"/>
    </row>
    <row r="183" spans="1:4" ht="20.25" x14ac:dyDescent="0.25">
      <c r="A183" s="68"/>
      <c r="B183" s="15"/>
      <c r="C183" s="20"/>
      <c r="D183" s="20"/>
    </row>
    <row r="184" spans="1:4" ht="20.25" x14ac:dyDescent="0.25">
      <c r="A184" s="68"/>
      <c r="B184" s="15"/>
      <c r="C184" s="20"/>
      <c r="D184" s="20"/>
    </row>
    <row r="185" spans="1:4" ht="20.25" x14ac:dyDescent="0.25">
      <c r="A185" s="68"/>
      <c r="B185" s="15"/>
      <c r="C185" s="20"/>
      <c r="D185" s="20"/>
    </row>
    <row r="186" spans="1:4" ht="20.25" x14ac:dyDescent="0.25">
      <c r="A186" s="68"/>
      <c r="B186" s="15"/>
      <c r="C186" s="20"/>
      <c r="D186" s="20"/>
    </row>
    <row r="187" spans="1:4" ht="20.25" x14ac:dyDescent="0.25">
      <c r="A187" s="68"/>
      <c r="B187" s="15"/>
      <c r="C187" s="20"/>
      <c r="D187" s="20"/>
    </row>
    <row r="188" spans="1:4" ht="20.25" x14ac:dyDescent="0.25">
      <c r="A188" s="68"/>
      <c r="B188" s="15"/>
      <c r="C188" s="20"/>
      <c r="D188" s="20"/>
    </row>
    <row r="189" spans="1:4" ht="20.25" x14ac:dyDescent="0.25">
      <c r="A189" s="68"/>
      <c r="B189" s="15"/>
      <c r="C189" s="20"/>
      <c r="D189" s="20"/>
    </row>
    <row r="190" spans="1:4" ht="20.25" x14ac:dyDescent="0.25">
      <c r="A190" s="68"/>
      <c r="B190" s="15"/>
      <c r="C190" s="20"/>
      <c r="D190" s="20"/>
    </row>
    <row r="191" spans="1:4" ht="20.25" x14ac:dyDescent="0.25">
      <c r="A191" s="68"/>
      <c r="B191" s="15"/>
      <c r="C191" s="20"/>
      <c r="D191" s="20"/>
    </row>
    <row r="192" spans="1:4" ht="20.25" x14ac:dyDescent="0.25">
      <c r="A192" s="68"/>
      <c r="B192" s="15"/>
      <c r="C192" s="20"/>
      <c r="D192" s="20"/>
    </row>
    <row r="193" spans="1:6" ht="20.25" x14ac:dyDescent="0.25">
      <c r="A193" s="68"/>
      <c r="B193" s="15"/>
      <c r="C193" s="20"/>
      <c r="D193" s="20"/>
    </row>
    <row r="194" spans="1:6" ht="20.25" x14ac:dyDescent="0.25">
      <c r="A194" s="68"/>
      <c r="B194" s="15"/>
      <c r="C194" s="20"/>
      <c r="D194" s="20"/>
    </row>
    <row r="195" spans="1:6" ht="20.25" x14ac:dyDescent="0.25">
      <c r="A195" s="68"/>
      <c r="B195" s="15"/>
      <c r="C195" s="20"/>
      <c r="D195" s="20"/>
    </row>
    <row r="196" spans="1:6" ht="20.25" x14ac:dyDescent="0.25">
      <c r="A196" s="68"/>
      <c r="B196" s="15"/>
      <c r="C196" s="20"/>
      <c r="D196" s="20"/>
    </row>
    <row r="197" spans="1:6" ht="20.25" x14ac:dyDescent="0.25">
      <c r="A197" s="68"/>
      <c r="B197" s="15"/>
      <c r="C197" s="20"/>
      <c r="D197" s="20"/>
    </row>
    <row r="198" spans="1:6" ht="20.25" x14ac:dyDescent="0.25">
      <c r="A198" s="68"/>
      <c r="B198" s="15"/>
      <c r="C198" s="20"/>
      <c r="D198" s="20"/>
    </row>
    <row r="199" spans="1:6" ht="20.25" x14ac:dyDescent="0.25">
      <c r="A199" s="68"/>
      <c r="B199" s="15"/>
      <c r="C199" s="20"/>
      <c r="D199" s="20"/>
    </row>
    <row r="200" spans="1:6" ht="20.25" x14ac:dyDescent="0.25">
      <c r="A200" s="68"/>
      <c r="B200" s="15"/>
      <c r="C200" s="20"/>
      <c r="D200" s="20"/>
    </row>
    <row r="201" spans="1:6" ht="20.25" x14ac:dyDescent="0.25">
      <c r="A201" s="68"/>
      <c r="B201" s="15"/>
      <c r="C201" s="20"/>
      <c r="D201" s="20"/>
    </row>
    <row r="202" spans="1:6" ht="20.25" x14ac:dyDescent="0.25">
      <c r="A202" s="68"/>
      <c r="B202" s="15"/>
      <c r="C202" s="20"/>
      <c r="D202" s="20"/>
    </row>
    <row r="203" spans="1:6" ht="20.25" x14ac:dyDescent="0.25">
      <c r="A203" s="68"/>
      <c r="B203" s="15"/>
      <c r="C203" s="20"/>
      <c r="D203" s="20"/>
    </row>
    <row r="204" spans="1:6" ht="20.25" x14ac:dyDescent="0.25">
      <c r="A204" s="68"/>
      <c r="B204" s="15"/>
      <c r="C204" s="20"/>
      <c r="D204" s="20"/>
    </row>
    <row r="205" spans="1:6" ht="20.25" x14ac:dyDescent="0.25">
      <c r="A205" s="68"/>
      <c r="B205" s="15"/>
      <c r="C205" s="20"/>
      <c r="D205" s="20"/>
    </row>
    <row r="206" spans="1:6" ht="20.25" x14ac:dyDescent="0.25">
      <c r="A206" s="68"/>
      <c r="B206" s="15"/>
      <c r="C206" s="20"/>
      <c r="D206" s="20"/>
    </row>
    <row r="207" spans="1:6" ht="20.25" x14ac:dyDescent="0.25">
      <c r="A207" s="68"/>
      <c r="B207" s="15"/>
      <c r="C207" s="20"/>
      <c r="D207" s="20"/>
    </row>
    <row r="208" spans="1:6" ht="20.25" x14ac:dyDescent="0.25">
      <c r="A208" s="68"/>
      <c r="B208" s="15"/>
      <c r="C208" s="20"/>
      <c r="D208" s="20"/>
      <c r="F208" s="206" t="s">
        <v>406</v>
      </c>
    </row>
    <row r="209" spans="1:8" x14ac:dyDescent="0.25">
      <c r="A209" s="66"/>
      <c r="B209" s="15"/>
      <c r="C209" s="15"/>
      <c r="D209" s="15"/>
      <c r="F209" s="206" t="s">
        <v>503</v>
      </c>
    </row>
    <row r="210" spans="1:8" ht="20.25" x14ac:dyDescent="0.25">
      <c r="A210" s="66"/>
      <c r="B210" s="16" t="s">
        <v>516</v>
      </c>
      <c r="C210" s="16" t="s">
        <v>517</v>
      </c>
      <c r="D210" s="19" t="s">
        <v>516</v>
      </c>
      <c r="E210" s="19" t="s">
        <v>517</v>
      </c>
      <c r="F210" s="206" t="s">
        <v>518</v>
      </c>
    </row>
    <row r="211" spans="1:8" ht="21" x14ac:dyDescent="0.35">
      <c r="A211" s="66"/>
      <c r="B211" s="17" t="s">
        <v>519</v>
      </c>
      <c r="C211" s="81" t="s">
        <v>520</v>
      </c>
      <c r="D211" s="80" t="s">
        <v>519</v>
      </c>
      <c r="F211" s="206" t="str">
        <f>IF(NOT(ISBLANK(D211)),D211,IF(NOT(ISBLANK(E211)),"     "&amp;E211,FALSE))</f>
        <v>Afectación Económica o presupuestal</v>
      </c>
      <c r="G211" t="s">
        <v>519</v>
      </c>
      <c r="H211" t="str">
        <f>IF(NOT(ISERROR(MATCH(G211,_xlfn.ANCHORARRAY(B245),0))),F224&amp;"Por favor no seleccionar los criterios de impacto",G211)</f>
        <v>Afectación Económica o presupuestal</v>
      </c>
    </row>
    <row r="212" spans="1:8" ht="21" x14ac:dyDescent="0.35">
      <c r="A212" s="66"/>
      <c r="B212" s="17" t="s">
        <v>519</v>
      </c>
      <c r="C212" s="81" t="s">
        <v>500</v>
      </c>
      <c r="E212" t="s">
        <v>521</v>
      </c>
      <c r="F212" s="206" t="str">
        <f t="shared" ref="F212:F222" si="0">IF(NOT(ISBLANK(D212)),D212,IF(NOT(ISBLANK(E212)),"     "&amp;E212,FALSE))</f>
        <v xml:space="preserve">     Afectación menor a 130 SMLMV</v>
      </c>
    </row>
    <row r="213" spans="1:8" ht="21" x14ac:dyDescent="0.35">
      <c r="A213" s="66"/>
      <c r="B213" s="17" t="s">
        <v>519</v>
      </c>
      <c r="C213" s="81" t="s">
        <v>502</v>
      </c>
      <c r="E213" t="s">
        <v>522</v>
      </c>
      <c r="F213" s="206" t="str">
        <f t="shared" si="0"/>
        <v xml:space="preserve">     Entre 130 y 650 SMLMV</v>
      </c>
    </row>
    <row r="214" spans="1:8" ht="21" x14ac:dyDescent="0.35">
      <c r="A214" s="66"/>
      <c r="B214" s="17" t="s">
        <v>519</v>
      </c>
      <c r="C214" s="81" t="s">
        <v>504</v>
      </c>
      <c r="E214" t="s">
        <v>523</v>
      </c>
      <c r="F214" s="206" t="str">
        <f t="shared" si="0"/>
        <v xml:space="preserve">     Entre 650 y 1300 SMLMV</v>
      </c>
    </row>
    <row r="215" spans="1:8" ht="21" x14ac:dyDescent="0.35">
      <c r="A215" s="66"/>
      <c r="B215" s="17" t="s">
        <v>519</v>
      </c>
      <c r="C215" s="81" t="s">
        <v>507</v>
      </c>
      <c r="E215" t="s">
        <v>524</v>
      </c>
      <c r="F215" s="206" t="str">
        <f t="shared" si="0"/>
        <v xml:space="preserve">     Entre 1300 y 6500 SMLMV</v>
      </c>
    </row>
    <row r="216" spans="1:8" ht="21" x14ac:dyDescent="0.35">
      <c r="A216" s="66"/>
      <c r="B216" s="17" t="s">
        <v>494</v>
      </c>
      <c r="C216" s="81" t="s">
        <v>498</v>
      </c>
      <c r="E216" t="s">
        <v>459</v>
      </c>
      <c r="F216" s="206" t="str">
        <f t="shared" si="0"/>
        <v xml:space="preserve">     Mayor a 6500 SMLMV</v>
      </c>
    </row>
    <row r="217" spans="1:8" ht="63" x14ac:dyDescent="0.35">
      <c r="A217" s="66"/>
      <c r="B217" s="17" t="s">
        <v>494</v>
      </c>
      <c r="C217" s="81" t="s">
        <v>501</v>
      </c>
      <c r="D217" s="80" t="s">
        <v>494</v>
      </c>
      <c r="F217" s="206" t="str">
        <f t="shared" si="0"/>
        <v>Pérdida Reputacional</v>
      </c>
    </row>
    <row r="218" spans="1:8" ht="42" x14ac:dyDescent="0.35">
      <c r="A218" s="66"/>
      <c r="B218" s="17" t="s">
        <v>494</v>
      </c>
      <c r="C218" s="81" t="s">
        <v>460</v>
      </c>
      <c r="D218" s="80"/>
      <c r="E218" s="82" t="s">
        <v>498</v>
      </c>
      <c r="F218" s="206" t="str">
        <f t="shared" si="0"/>
        <v xml:space="preserve">     El riesgo afecta la imagen de alguna área de la organización</v>
      </c>
    </row>
    <row r="219" spans="1:8" ht="63" x14ac:dyDescent="0.35">
      <c r="A219" s="66"/>
      <c r="B219" s="17" t="s">
        <v>494</v>
      </c>
      <c r="C219" s="81" t="s">
        <v>525</v>
      </c>
      <c r="D219" s="80"/>
      <c r="E219" s="82" t="s">
        <v>501</v>
      </c>
      <c r="F219" s="206" t="str">
        <f t="shared" si="0"/>
        <v xml:space="preserve">     El riesgo afecta la imagen de la entidad internamente, de conocimiento general, nivel interno, de junta dircetiva y accionistas y/o de provedores</v>
      </c>
    </row>
    <row r="220" spans="1:8" ht="45" x14ac:dyDescent="0.35">
      <c r="A220" s="66"/>
      <c r="B220" s="17" t="s">
        <v>494</v>
      </c>
      <c r="C220" s="81" t="s">
        <v>508</v>
      </c>
      <c r="D220" s="80"/>
      <c r="E220" s="82" t="s">
        <v>460</v>
      </c>
      <c r="F220" s="206" t="str">
        <f t="shared" si="0"/>
        <v xml:space="preserve">     El riesgo afecta la imagen de la entidad con algunos usuarios de relevancia frente al logro de los objetivos</v>
      </c>
    </row>
    <row r="221" spans="1:8" ht="45" x14ac:dyDescent="0.25">
      <c r="A221" s="66"/>
      <c r="B221" s="18"/>
      <c r="C221" s="18"/>
      <c r="D221" s="80"/>
      <c r="E221" s="82" t="s">
        <v>525</v>
      </c>
      <c r="F221" s="206" t="str">
        <f t="shared" si="0"/>
        <v xml:space="preserve">     El riesgo afecta la imagen de de la entidad con efecto publicitario sostenido a nivel de sector administrativo, nivel departamental o municipal</v>
      </c>
    </row>
    <row r="222" spans="1:8" ht="58.5" customHeight="1" x14ac:dyDescent="0.25">
      <c r="A222" s="66"/>
      <c r="C222" s="18"/>
      <c r="D222" s="80"/>
      <c r="E222" s="82" t="s">
        <v>508</v>
      </c>
      <c r="F222" s="206" t="str">
        <f t="shared" si="0"/>
        <v xml:space="preserve">     El riesgo afecta la imagen de la entidad a nivel nacional, con efecto publicitarios sostenible a nivel país</v>
      </c>
    </row>
    <row r="223" spans="1:8" x14ac:dyDescent="0.25">
      <c r="A223" s="66"/>
      <c r="C223" s="18"/>
    </row>
    <row r="224" spans="1:8" x14ac:dyDescent="0.25">
      <c r="C224" s="18"/>
      <c r="F224" s="207" t="s">
        <v>526</v>
      </c>
    </row>
    <row r="225" spans="2:6" x14ac:dyDescent="0.25">
      <c r="B225" s="14"/>
      <c r="C225" s="14"/>
      <c r="F225" s="207" t="s">
        <v>527</v>
      </c>
    </row>
    <row r="226" spans="2:6" x14ac:dyDescent="0.25">
      <c r="B226" s="14"/>
      <c r="C226" s="14"/>
    </row>
    <row r="227" spans="2:6" x14ac:dyDescent="0.25">
      <c r="B227" s="14"/>
      <c r="C227" s="14"/>
    </row>
    <row r="228" spans="2:6" x14ac:dyDescent="0.25">
      <c r="B228" s="14"/>
      <c r="C228" s="14"/>
      <c r="D228" s="14"/>
      <c r="F228" s="201" t="s">
        <v>519</v>
      </c>
    </row>
    <row r="229" spans="2:6" ht="18" x14ac:dyDescent="0.25">
      <c r="B229" s="14"/>
      <c r="C229" s="14"/>
      <c r="D229" s="14"/>
      <c r="E229" s="194" t="s">
        <v>469</v>
      </c>
      <c r="F229" s="206" t="s">
        <v>510</v>
      </c>
    </row>
    <row r="230" spans="2:6" ht="18" x14ac:dyDescent="0.25">
      <c r="B230" s="14"/>
      <c r="C230" s="14"/>
      <c r="D230" s="14"/>
      <c r="E230" s="195" t="s">
        <v>473</v>
      </c>
      <c r="F230" s="206" t="s">
        <v>512</v>
      </c>
    </row>
    <row r="231" spans="2:6" ht="18" x14ac:dyDescent="0.25">
      <c r="B231" s="14"/>
      <c r="C231" s="14"/>
      <c r="D231" s="14"/>
      <c r="E231" s="196" t="s">
        <v>477</v>
      </c>
      <c r="F231" s="206" t="s">
        <v>418</v>
      </c>
    </row>
    <row r="232" spans="2:6" ht="18" x14ac:dyDescent="0.25">
      <c r="B232" s="14"/>
      <c r="C232" s="14"/>
      <c r="D232" s="14"/>
      <c r="E232" s="197" t="s">
        <v>482</v>
      </c>
      <c r="F232" s="206" t="s">
        <v>514</v>
      </c>
    </row>
    <row r="233" spans="2:6" ht="18" x14ac:dyDescent="0.25">
      <c r="B233" s="14"/>
      <c r="C233" s="14"/>
      <c r="D233" s="14"/>
      <c r="E233" s="198" t="s">
        <v>487</v>
      </c>
      <c r="F233" s="206" t="s">
        <v>515</v>
      </c>
    </row>
    <row r="234" spans="2:6" x14ac:dyDescent="0.25">
      <c r="F234" s="201" t="s">
        <v>494</v>
      </c>
    </row>
    <row r="235" spans="2:6" ht="30" x14ac:dyDescent="0.25">
      <c r="F235" s="208" t="s">
        <v>428</v>
      </c>
    </row>
    <row r="236" spans="2:6" ht="30" x14ac:dyDescent="0.25">
      <c r="F236" s="208" t="s">
        <v>427</v>
      </c>
    </row>
    <row r="237" spans="2:6" x14ac:dyDescent="0.25">
      <c r="F237" s="208" t="s">
        <v>429</v>
      </c>
    </row>
    <row r="240" spans="2:6" x14ac:dyDescent="0.25">
      <c r="F240" s="209" t="s">
        <v>465</v>
      </c>
    </row>
    <row r="241" spans="2:11" ht="18" x14ac:dyDescent="0.25">
      <c r="F241" s="210" t="s">
        <v>470</v>
      </c>
      <c r="G241" s="194" t="s">
        <v>528</v>
      </c>
      <c r="K241" s="194" t="s">
        <v>469</v>
      </c>
    </row>
    <row r="242" spans="2:11" ht="25.5" x14ac:dyDescent="0.25">
      <c r="F242" s="210" t="s">
        <v>474</v>
      </c>
      <c r="G242" s="195" t="s">
        <v>499</v>
      </c>
      <c r="K242" s="195" t="s">
        <v>473</v>
      </c>
    </row>
    <row r="243" spans="2:11" ht="18" x14ac:dyDescent="0.25">
      <c r="F243" s="210" t="s">
        <v>478</v>
      </c>
      <c r="G243" s="196" t="s">
        <v>406</v>
      </c>
      <c r="K243" s="196" t="s">
        <v>477</v>
      </c>
    </row>
    <row r="244" spans="2:11" ht="18" x14ac:dyDescent="0.25">
      <c r="F244" s="210" t="s">
        <v>483</v>
      </c>
      <c r="G244" s="197" t="s">
        <v>503</v>
      </c>
      <c r="K244" s="197" t="s">
        <v>482</v>
      </c>
    </row>
    <row r="245" spans="2:11" ht="18" x14ac:dyDescent="0.25">
      <c r="F245" s="210" t="s">
        <v>488</v>
      </c>
      <c r="G245" s="198" t="s">
        <v>506</v>
      </c>
      <c r="K245" s="198" t="s">
        <v>487</v>
      </c>
    </row>
    <row r="246" spans="2:11" x14ac:dyDescent="0.25">
      <c r="B246" t="s">
        <v>465</v>
      </c>
      <c r="F246" s="211" t="s">
        <v>466</v>
      </c>
    </row>
    <row r="247" spans="2:11" ht="18" x14ac:dyDescent="0.25">
      <c r="B247" t="s">
        <v>466</v>
      </c>
      <c r="F247" s="212" t="s">
        <v>471</v>
      </c>
      <c r="G247" s="194" t="s">
        <v>528</v>
      </c>
      <c r="K247" s="194" t="s">
        <v>469</v>
      </c>
    </row>
    <row r="248" spans="2:11" ht="18" x14ac:dyDescent="0.25">
      <c r="B248" t="s">
        <v>467</v>
      </c>
      <c r="F248" s="212" t="s">
        <v>463</v>
      </c>
      <c r="G248" s="195" t="s">
        <v>499</v>
      </c>
      <c r="K248" s="195" t="s">
        <v>473</v>
      </c>
    </row>
    <row r="249" spans="2:11" ht="18" x14ac:dyDescent="0.25">
      <c r="B249" t="s">
        <v>468</v>
      </c>
      <c r="F249" s="212" t="s">
        <v>479</v>
      </c>
      <c r="G249" s="196" t="s">
        <v>406</v>
      </c>
      <c r="K249" s="196" t="s">
        <v>477</v>
      </c>
    </row>
    <row r="250" spans="2:11" ht="18" x14ac:dyDescent="0.25">
      <c r="F250" s="212" t="s">
        <v>484</v>
      </c>
      <c r="G250" s="197" t="s">
        <v>503</v>
      </c>
      <c r="K250" s="197" t="s">
        <v>482</v>
      </c>
    </row>
    <row r="251" spans="2:11" ht="18" x14ac:dyDescent="0.25">
      <c r="F251" s="212" t="s">
        <v>489</v>
      </c>
      <c r="G251" s="198" t="s">
        <v>506</v>
      </c>
      <c r="K251" s="198" t="s">
        <v>487</v>
      </c>
    </row>
    <row r="252" spans="2:11" x14ac:dyDescent="0.25">
      <c r="F252" s="213" t="s">
        <v>467</v>
      </c>
    </row>
    <row r="253" spans="2:11" ht="18" x14ac:dyDescent="0.25">
      <c r="F253" s="214" t="s">
        <v>462</v>
      </c>
      <c r="G253" s="194" t="s">
        <v>528</v>
      </c>
      <c r="K253" s="194" t="s">
        <v>469</v>
      </c>
    </row>
    <row r="254" spans="2:11" ht="18" x14ac:dyDescent="0.25">
      <c r="F254" s="214" t="s">
        <v>475</v>
      </c>
      <c r="G254" s="195" t="s">
        <v>499</v>
      </c>
      <c r="K254" s="195" t="s">
        <v>473</v>
      </c>
    </row>
    <row r="255" spans="2:11" ht="18" x14ac:dyDescent="0.25">
      <c r="F255" s="214" t="s">
        <v>480</v>
      </c>
      <c r="G255" s="196" t="s">
        <v>406</v>
      </c>
      <c r="K255" s="196" t="s">
        <v>477</v>
      </c>
    </row>
    <row r="256" spans="2:11" ht="18" x14ac:dyDescent="0.25">
      <c r="F256" s="214" t="s">
        <v>485</v>
      </c>
      <c r="G256" s="197" t="s">
        <v>503</v>
      </c>
      <c r="K256" s="197" t="s">
        <v>482</v>
      </c>
    </row>
    <row r="257" spans="6:11" ht="18" x14ac:dyDescent="0.25">
      <c r="F257" s="214" t="s">
        <v>490</v>
      </c>
      <c r="G257" s="198" t="s">
        <v>506</v>
      </c>
      <c r="K257" s="198" t="s">
        <v>487</v>
      </c>
    </row>
    <row r="258" spans="6:11" x14ac:dyDescent="0.25">
      <c r="F258" s="213" t="s">
        <v>468</v>
      </c>
    </row>
    <row r="259" spans="6:11" ht="18" x14ac:dyDescent="0.25">
      <c r="F259" s="215" t="s">
        <v>472</v>
      </c>
      <c r="G259" s="194" t="s">
        <v>528</v>
      </c>
      <c r="K259" s="194" t="s">
        <v>469</v>
      </c>
    </row>
    <row r="260" spans="6:11" ht="18" x14ac:dyDescent="0.25">
      <c r="F260" s="215" t="s">
        <v>476</v>
      </c>
      <c r="G260" s="195" t="s">
        <v>499</v>
      </c>
      <c r="K260" s="195" t="s">
        <v>473</v>
      </c>
    </row>
    <row r="261" spans="6:11" ht="18" x14ac:dyDescent="0.25">
      <c r="F261" s="215" t="s">
        <v>481</v>
      </c>
      <c r="G261" s="196" t="s">
        <v>406</v>
      </c>
      <c r="K261" s="196" t="s">
        <v>477</v>
      </c>
    </row>
    <row r="262" spans="6:11" ht="18" x14ac:dyDescent="0.25">
      <c r="F262" s="215" t="s">
        <v>486</v>
      </c>
      <c r="G262" s="197" t="s">
        <v>503</v>
      </c>
      <c r="K262" s="197" t="s">
        <v>482</v>
      </c>
    </row>
    <row r="263" spans="6:11" ht="18" x14ac:dyDescent="0.25">
      <c r="F263" s="215" t="s">
        <v>491</v>
      </c>
      <c r="G263" s="198" t="s">
        <v>506</v>
      </c>
      <c r="K263" s="198" t="s">
        <v>487</v>
      </c>
    </row>
  </sheetData>
  <mergeCells count="1">
    <mergeCell ref="B2:E2"/>
  </mergeCells>
  <dataValidations disablePrompts="1" count="1">
    <dataValidation type="list" allowBlank="1" showInputMessage="1" showErrorMessage="1" sqref="G211" xr:uid="{00000000-0002-0000-0700-000000000000}">
      <formula1>$F$211:$F$222</formula1>
    </dataValidation>
  </dataValidations>
  <pageMargins left="0.7" right="0.7" top="0.75" bottom="0.75" header="0.3" footer="0.3"/>
  <pageSetup orientation="portrait"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55"/>
  <sheetViews>
    <sheetView zoomScale="90" zoomScaleNormal="90" workbookViewId="0">
      <selection activeCell="B7" sqref="B7"/>
    </sheetView>
  </sheetViews>
  <sheetFormatPr baseColWidth="10" defaultColWidth="11.42578125" defaultRowHeight="15" x14ac:dyDescent="0.25"/>
  <cols>
    <col min="2" max="2" width="24.140625" customWidth="1"/>
    <col min="3" max="3" width="70.140625" customWidth="1"/>
    <col min="4" max="4" width="29.85546875" customWidth="1"/>
  </cols>
  <sheetData>
    <row r="1" spans="1:37" ht="23.25" x14ac:dyDescent="0.25">
      <c r="A1" s="66"/>
      <c r="B1" s="735" t="s">
        <v>529</v>
      </c>
      <c r="C1" s="735"/>
      <c r="D1" s="735"/>
      <c r="E1" s="66"/>
      <c r="F1" s="66"/>
      <c r="G1" s="66"/>
      <c r="H1" s="66"/>
      <c r="I1" s="66"/>
      <c r="J1" s="66"/>
      <c r="K1" s="66"/>
      <c r="L1" s="66"/>
      <c r="M1" s="66"/>
      <c r="N1" s="66"/>
      <c r="O1" s="66"/>
      <c r="P1" s="66"/>
      <c r="Q1" s="66"/>
      <c r="R1" s="66"/>
      <c r="S1" s="66"/>
      <c r="T1" s="66"/>
      <c r="U1" s="66"/>
      <c r="V1" s="66"/>
      <c r="W1" s="66"/>
      <c r="X1" s="66"/>
      <c r="Y1" s="66"/>
      <c r="Z1" s="66"/>
      <c r="AA1" s="66"/>
      <c r="AB1" s="66"/>
      <c r="AC1" s="66"/>
      <c r="AD1" s="66"/>
      <c r="AE1" s="66"/>
    </row>
    <row r="2" spans="1:37" x14ac:dyDescent="0.25">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row>
    <row r="3" spans="1:37" ht="25.5" x14ac:dyDescent="0.25">
      <c r="A3" s="66"/>
      <c r="B3" s="3"/>
      <c r="C3" s="4" t="s">
        <v>530</v>
      </c>
      <c r="D3" s="4" t="s">
        <v>400</v>
      </c>
      <c r="E3" s="66"/>
      <c r="F3" s="66"/>
      <c r="G3" s="66"/>
      <c r="H3" s="66"/>
      <c r="I3" s="66"/>
      <c r="J3" s="66"/>
      <c r="K3" s="66"/>
      <c r="L3" s="66"/>
      <c r="M3" s="66"/>
      <c r="N3" s="66"/>
      <c r="O3" s="66"/>
      <c r="P3" s="66"/>
      <c r="Q3" s="66"/>
      <c r="R3" s="66"/>
      <c r="S3" s="66"/>
      <c r="T3" s="66"/>
      <c r="U3" s="66"/>
      <c r="V3" s="66"/>
      <c r="W3" s="66"/>
      <c r="X3" s="66"/>
      <c r="Y3" s="66"/>
      <c r="Z3" s="66"/>
      <c r="AA3" s="66"/>
      <c r="AB3" s="66"/>
      <c r="AC3" s="66"/>
      <c r="AD3" s="66"/>
      <c r="AE3" s="66"/>
    </row>
    <row r="4" spans="1:37" ht="51" x14ac:dyDescent="0.25">
      <c r="A4" s="66"/>
      <c r="B4" s="5" t="s">
        <v>531</v>
      </c>
      <c r="C4" s="6" t="s">
        <v>532</v>
      </c>
      <c r="D4" s="7">
        <v>0.2</v>
      </c>
      <c r="E4" s="66"/>
      <c r="F4" s="66"/>
      <c r="G4" s="66"/>
      <c r="H4" s="66"/>
      <c r="I4" s="66"/>
      <c r="J4" s="66"/>
      <c r="K4" s="66"/>
      <c r="L4" s="66"/>
      <c r="M4" s="66"/>
      <c r="N4" s="66"/>
      <c r="O4" s="66"/>
      <c r="P4" s="66"/>
      <c r="Q4" s="66"/>
      <c r="R4" s="66"/>
      <c r="S4" s="66"/>
      <c r="T4" s="66"/>
      <c r="U4" s="66"/>
      <c r="V4" s="66"/>
      <c r="W4" s="66"/>
      <c r="X4" s="66"/>
      <c r="Y4" s="66"/>
      <c r="Z4" s="66"/>
      <c r="AA4" s="66"/>
      <c r="AB4" s="66"/>
      <c r="AC4" s="66"/>
      <c r="AD4" s="66"/>
      <c r="AE4" s="66"/>
    </row>
    <row r="5" spans="1:37" ht="51" x14ac:dyDescent="0.25">
      <c r="A5" s="66"/>
      <c r="B5" s="8" t="s">
        <v>533</v>
      </c>
      <c r="C5" s="9" t="s">
        <v>534</v>
      </c>
      <c r="D5" s="10">
        <v>0.4</v>
      </c>
      <c r="E5" s="66"/>
      <c r="F5" s="66"/>
      <c r="G5" s="66"/>
      <c r="H5" s="66"/>
      <c r="I5" s="66"/>
      <c r="J5" s="66"/>
      <c r="K5" s="66"/>
      <c r="L5" s="66"/>
      <c r="M5" s="66"/>
      <c r="N5" s="66"/>
      <c r="O5" s="66"/>
      <c r="P5" s="66"/>
      <c r="Q5" s="66"/>
      <c r="R5" s="66"/>
      <c r="S5" s="66"/>
      <c r="T5" s="66"/>
      <c r="U5" s="66"/>
      <c r="V5" s="66"/>
      <c r="W5" s="66"/>
      <c r="X5" s="66"/>
      <c r="Y5" s="66"/>
      <c r="Z5" s="66"/>
      <c r="AA5" s="66"/>
      <c r="AB5" s="66"/>
      <c r="AC5" s="66"/>
      <c r="AD5" s="66"/>
      <c r="AE5" s="66"/>
    </row>
    <row r="6" spans="1:37" ht="51" x14ac:dyDescent="0.25">
      <c r="A6" s="66"/>
      <c r="B6" s="11" t="s">
        <v>535</v>
      </c>
      <c r="C6" s="9" t="s">
        <v>536</v>
      </c>
      <c r="D6" s="10">
        <v>0.6</v>
      </c>
      <c r="E6" s="66"/>
      <c r="F6" s="66"/>
      <c r="G6" s="66"/>
      <c r="H6" s="66"/>
      <c r="I6" s="66"/>
      <c r="J6" s="66"/>
      <c r="K6" s="66"/>
      <c r="L6" s="66"/>
      <c r="M6" s="66"/>
      <c r="N6" s="66"/>
      <c r="O6" s="66"/>
      <c r="P6" s="66"/>
      <c r="Q6" s="66"/>
      <c r="R6" s="66"/>
      <c r="S6" s="66"/>
      <c r="T6" s="66"/>
      <c r="U6" s="66"/>
      <c r="V6" s="66"/>
      <c r="W6" s="66"/>
      <c r="X6" s="66"/>
      <c r="Y6" s="66"/>
      <c r="Z6" s="66"/>
      <c r="AA6" s="66"/>
      <c r="AB6" s="66"/>
      <c r="AC6" s="66"/>
      <c r="AD6" s="66"/>
      <c r="AE6" s="66"/>
    </row>
    <row r="7" spans="1:37" ht="76.5" x14ac:dyDescent="0.25">
      <c r="A7" s="66"/>
      <c r="B7" s="12" t="s">
        <v>537</v>
      </c>
      <c r="C7" s="9" t="s">
        <v>538</v>
      </c>
      <c r="D7" s="10">
        <v>0.8</v>
      </c>
      <c r="E7" s="66"/>
      <c r="F7" s="66"/>
      <c r="G7" s="66"/>
      <c r="H7" s="66"/>
      <c r="I7" s="66"/>
      <c r="J7" s="66"/>
      <c r="K7" s="66"/>
      <c r="L7" s="66"/>
      <c r="M7" s="66"/>
      <c r="N7" s="66"/>
      <c r="O7" s="66"/>
      <c r="P7" s="66"/>
      <c r="Q7" s="66"/>
      <c r="R7" s="66"/>
      <c r="S7" s="66"/>
      <c r="T7" s="66"/>
      <c r="U7" s="66"/>
      <c r="V7" s="66"/>
      <c r="W7" s="66"/>
      <c r="X7" s="66"/>
      <c r="Y7" s="66"/>
      <c r="Z7" s="66"/>
      <c r="AA7" s="66"/>
      <c r="AB7" s="66"/>
      <c r="AC7" s="66"/>
      <c r="AD7" s="66"/>
      <c r="AE7" s="66"/>
    </row>
    <row r="8" spans="1:37" ht="51" x14ac:dyDescent="0.25">
      <c r="A8" s="66"/>
      <c r="B8" s="13" t="s">
        <v>539</v>
      </c>
      <c r="C8" s="9" t="s">
        <v>540</v>
      </c>
      <c r="D8" s="10">
        <v>1</v>
      </c>
      <c r="E8" s="66"/>
      <c r="F8" s="66"/>
      <c r="G8" s="66"/>
      <c r="H8" s="66"/>
      <c r="I8" s="66"/>
      <c r="J8" s="66"/>
      <c r="K8" s="66"/>
      <c r="L8" s="66"/>
      <c r="M8" s="66"/>
      <c r="N8" s="66"/>
      <c r="O8" s="66"/>
      <c r="P8" s="66"/>
      <c r="Q8" s="66"/>
      <c r="R8" s="66"/>
      <c r="S8" s="66"/>
      <c r="T8" s="66"/>
      <c r="U8" s="66"/>
      <c r="V8" s="66"/>
      <c r="W8" s="66"/>
      <c r="X8" s="66"/>
      <c r="Y8" s="66"/>
      <c r="Z8" s="66"/>
      <c r="AA8" s="66"/>
      <c r="AB8" s="66"/>
      <c r="AC8" s="66"/>
      <c r="AD8" s="66"/>
      <c r="AE8" s="66"/>
    </row>
    <row r="9" spans="1:37" x14ac:dyDescent="0.25">
      <c r="A9" s="66"/>
      <c r="B9" s="70"/>
      <c r="C9" s="70"/>
      <c r="D9" s="70"/>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row>
    <row r="10" spans="1:37" ht="16.5" x14ac:dyDescent="0.25">
      <c r="A10" s="66"/>
      <c r="B10" s="71"/>
      <c r="C10" s="70"/>
      <c r="D10" s="70"/>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row>
    <row r="11" spans="1:37" x14ac:dyDescent="0.25">
      <c r="A11" s="66"/>
      <c r="B11" s="70"/>
      <c r="C11" s="70"/>
      <c r="D11" s="70"/>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row>
    <row r="12" spans="1:37" x14ac:dyDescent="0.25">
      <c r="A12" s="66"/>
      <c r="B12" s="70"/>
      <c r="C12" s="70"/>
      <c r="D12" s="70"/>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row>
    <row r="13" spans="1:37" x14ac:dyDescent="0.25">
      <c r="A13" s="66"/>
      <c r="B13" s="70"/>
      <c r="C13" s="70"/>
      <c r="D13" s="70"/>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row>
    <row r="14" spans="1:37" x14ac:dyDescent="0.25">
      <c r="A14" s="66"/>
      <c r="B14" s="70"/>
      <c r="C14" s="70"/>
      <c r="D14" s="70"/>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row>
    <row r="15" spans="1:37" x14ac:dyDescent="0.25">
      <c r="A15" s="66"/>
      <c r="B15" s="70"/>
      <c r="C15" s="70"/>
      <c r="D15" s="70"/>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row>
    <row r="16" spans="1:37" x14ac:dyDescent="0.25">
      <c r="A16" s="66"/>
      <c r="B16" s="70"/>
      <c r="C16" s="70"/>
      <c r="D16" s="70"/>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row>
    <row r="17" spans="1:37" x14ac:dyDescent="0.25">
      <c r="A17" s="66"/>
      <c r="B17" s="70"/>
      <c r="C17" s="70"/>
      <c r="D17" s="70"/>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row>
    <row r="18" spans="1:37" x14ac:dyDescent="0.25">
      <c r="A18" s="66"/>
      <c r="B18" s="70"/>
      <c r="C18" s="70"/>
      <c r="D18" s="70"/>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row>
    <row r="19" spans="1:37" x14ac:dyDescent="0.25">
      <c r="A19" s="66"/>
      <c r="B19" s="66"/>
      <c r="C19" s="66"/>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row>
    <row r="20" spans="1:37" x14ac:dyDescent="0.25">
      <c r="A20" s="66"/>
      <c r="B20" s="66"/>
      <c r="C20" s="66"/>
      <c r="D20" s="66"/>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row>
    <row r="21" spans="1:37" x14ac:dyDescent="0.25">
      <c r="A21" s="66"/>
      <c r="B21" s="66"/>
      <c r="C21" s="66"/>
      <c r="D21" s="66"/>
      <c r="E21" s="6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66"/>
      <c r="AI21" s="66"/>
      <c r="AJ21" s="66"/>
      <c r="AK21" s="66"/>
    </row>
    <row r="22" spans="1:37" x14ac:dyDescent="0.25">
      <c r="A22" s="66"/>
      <c r="B22" s="66"/>
      <c r="C22" s="66"/>
      <c r="D22" s="66"/>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row>
    <row r="23" spans="1:37" x14ac:dyDescent="0.25">
      <c r="A23" s="66"/>
      <c r="B23" s="66"/>
      <c r="C23" s="66"/>
      <c r="D23" s="66"/>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row>
    <row r="24" spans="1:37" x14ac:dyDescent="0.25">
      <c r="A24" s="66"/>
      <c r="B24" s="66"/>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row>
    <row r="25" spans="1:37" x14ac:dyDescent="0.25">
      <c r="A25" s="66"/>
      <c r="B25" s="66"/>
      <c r="C25" s="66"/>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row>
    <row r="26" spans="1:37" x14ac:dyDescent="0.25">
      <c r="A26" s="66"/>
      <c r="B26" s="66"/>
      <c r="C26" s="66"/>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row>
    <row r="27" spans="1:37" x14ac:dyDescent="0.25">
      <c r="A27" s="66"/>
      <c r="B27" s="66"/>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row>
    <row r="28" spans="1:37" x14ac:dyDescent="0.25">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row>
    <row r="29" spans="1:37" x14ac:dyDescent="0.25">
      <c r="A29" s="66"/>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row>
    <row r="30" spans="1:37" x14ac:dyDescent="0.25">
      <c r="A30" s="66"/>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row>
    <row r="31" spans="1:37" x14ac:dyDescent="0.25">
      <c r="A31" s="66"/>
      <c r="B31" s="66"/>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row>
    <row r="32" spans="1:37" x14ac:dyDescent="0.25">
      <c r="A32" s="66"/>
      <c r="B32" s="66"/>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row>
    <row r="33" spans="1:31" x14ac:dyDescent="0.25">
      <c r="A33" s="66"/>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row>
    <row r="34" spans="1:31" x14ac:dyDescent="0.25">
      <c r="A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row>
    <row r="35" spans="1:31" x14ac:dyDescent="0.25">
      <c r="A35" s="66"/>
    </row>
    <row r="36" spans="1:31" x14ac:dyDescent="0.25">
      <c r="A36" s="66"/>
    </row>
    <row r="37" spans="1:31" x14ac:dyDescent="0.25">
      <c r="A37" s="66"/>
    </row>
    <row r="38" spans="1:31" x14ac:dyDescent="0.25">
      <c r="A38" s="66"/>
    </row>
    <row r="39" spans="1:31" x14ac:dyDescent="0.25">
      <c r="A39" s="66"/>
    </row>
    <row r="40" spans="1:31" x14ac:dyDescent="0.25">
      <c r="A40" s="66"/>
    </row>
    <row r="41" spans="1:31" x14ac:dyDescent="0.25">
      <c r="A41" s="66"/>
    </row>
    <row r="42" spans="1:31" x14ac:dyDescent="0.25">
      <c r="A42" s="66"/>
    </row>
    <row r="43" spans="1:31" x14ac:dyDescent="0.25">
      <c r="A43" s="66"/>
    </row>
    <row r="44" spans="1:31" x14ac:dyDescent="0.25">
      <c r="A44" s="66"/>
    </row>
    <row r="45" spans="1:31" x14ac:dyDescent="0.25">
      <c r="A45" s="66"/>
    </row>
    <row r="46" spans="1:31" x14ac:dyDescent="0.25">
      <c r="A46" s="66"/>
    </row>
    <row r="47" spans="1:31" x14ac:dyDescent="0.25">
      <c r="A47" s="66"/>
    </row>
    <row r="48" spans="1:31" x14ac:dyDescent="0.25">
      <c r="A48" s="66"/>
    </row>
    <row r="49" spans="1:1" x14ac:dyDescent="0.25">
      <c r="A49" s="66"/>
    </row>
    <row r="50" spans="1:1" x14ac:dyDescent="0.25">
      <c r="A50" s="66"/>
    </row>
    <row r="51" spans="1:1" x14ac:dyDescent="0.25">
      <c r="A51" s="66"/>
    </row>
    <row r="52" spans="1:1" x14ac:dyDescent="0.25">
      <c r="A52" s="66"/>
    </row>
    <row r="53" spans="1:1" x14ac:dyDescent="0.25">
      <c r="A53" s="66"/>
    </row>
    <row r="54" spans="1:1" x14ac:dyDescent="0.25">
      <c r="A54" s="66"/>
    </row>
    <row r="55" spans="1:1" x14ac:dyDescent="0.25">
      <c r="A55" s="66"/>
    </row>
  </sheetData>
  <mergeCells count="1">
    <mergeCell ref="B1:D1"/>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A21"/>
  <sheetViews>
    <sheetView workbookViewId="0">
      <selection activeCell="A19" sqref="A19"/>
    </sheetView>
  </sheetViews>
  <sheetFormatPr baseColWidth="10" defaultColWidth="11.42578125" defaultRowHeight="12.75" x14ac:dyDescent="0.2"/>
  <cols>
    <col min="1" max="1" width="32.85546875" style="1" customWidth="1"/>
    <col min="2" max="16384" width="11.42578125" style="1"/>
  </cols>
  <sheetData>
    <row r="3" spans="1:1" x14ac:dyDescent="0.2">
      <c r="A3" s="2" t="s">
        <v>398</v>
      </c>
    </row>
    <row r="4" spans="1:1" x14ac:dyDescent="0.2">
      <c r="A4" s="2" t="s">
        <v>393</v>
      </c>
    </row>
    <row r="5" spans="1:1" x14ac:dyDescent="0.2">
      <c r="A5" s="2" t="s">
        <v>419</v>
      </c>
    </row>
    <row r="6" spans="1:1" x14ac:dyDescent="0.2">
      <c r="A6" s="2" t="s">
        <v>420</v>
      </c>
    </row>
    <row r="7" spans="1:1" x14ac:dyDescent="0.2">
      <c r="A7" s="2" t="s">
        <v>394</v>
      </c>
    </row>
    <row r="8" spans="1:1" x14ac:dyDescent="0.2">
      <c r="A8" s="2" t="s">
        <v>395</v>
      </c>
    </row>
    <row r="9" spans="1:1" x14ac:dyDescent="0.2">
      <c r="A9" s="2" t="s">
        <v>421</v>
      </c>
    </row>
    <row r="10" spans="1:1" x14ac:dyDescent="0.2">
      <c r="A10" s="2" t="s">
        <v>396</v>
      </c>
    </row>
    <row r="11" spans="1:1" x14ac:dyDescent="0.2">
      <c r="A11" s="2" t="s">
        <v>541</v>
      </c>
    </row>
    <row r="12" spans="1:1" x14ac:dyDescent="0.2">
      <c r="A12" s="2" t="s">
        <v>542</v>
      </c>
    </row>
    <row r="13" spans="1:1" x14ac:dyDescent="0.2">
      <c r="A13" s="2" t="s">
        <v>543</v>
      </c>
    </row>
    <row r="14" spans="1:1" x14ac:dyDescent="0.2">
      <c r="A14" s="2" t="s">
        <v>544</v>
      </c>
    </row>
    <row r="16" spans="1:1" x14ac:dyDescent="0.2">
      <c r="A16" s="2" t="s">
        <v>545</v>
      </c>
    </row>
    <row r="17" spans="1:1" x14ac:dyDescent="0.2">
      <c r="A17" s="2" t="s">
        <v>35</v>
      </c>
    </row>
    <row r="18" spans="1:1" x14ac:dyDescent="0.2">
      <c r="A18" s="2" t="s">
        <v>39</v>
      </c>
    </row>
    <row r="20" spans="1:1" x14ac:dyDescent="0.2">
      <c r="A20" s="2" t="s">
        <v>61</v>
      </c>
    </row>
    <row r="21" spans="1:1" x14ac:dyDescent="0.2">
      <c r="A21" s="2" t="s">
        <v>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M180"/>
  <sheetViews>
    <sheetView topLeftCell="A35" workbookViewId="0">
      <selection activeCell="I40" sqref="I40"/>
    </sheetView>
  </sheetViews>
  <sheetFormatPr baseColWidth="10" defaultColWidth="11.42578125" defaultRowHeight="15" x14ac:dyDescent="0.25"/>
  <cols>
    <col min="2" max="2" width="22.85546875" customWidth="1"/>
    <col min="6" max="6" width="17.140625" customWidth="1"/>
    <col min="7" max="7" width="29.28515625" customWidth="1"/>
  </cols>
  <sheetData>
    <row r="2" spans="1:13" x14ac:dyDescent="0.25">
      <c r="E2" s="233" t="s">
        <v>32</v>
      </c>
      <c r="F2" s="233"/>
      <c r="G2" s="233"/>
    </row>
    <row r="3" spans="1:13" x14ac:dyDescent="0.25">
      <c r="E3" s="233" t="s">
        <v>33</v>
      </c>
      <c r="F3" s="233"/>
      <c r="G3" s="233"/>
      <c r="L3" s="229" t="s">
        <v>34</v>
      </c>
      <c r="M3" s="229"/>
    </row>
    <row r="4" spans="1:13" x14ac:dyDescent="0.25">
      <c r="B4" t="s">
        <v>35</v>
      </c>
      <c r="E4" s="230" t="s">
        <v>36</v>
      </c>
      <c r="F4" s="230"/>
      <c r="G4" s="230"/>
      <c r="H4" t="s">
        <v>37</v>
      </c>
      <c r="L4" t="s">
        <v>38</v>
      </c>
    </row>
    <row r="5" spans="1:13" x14ac:dyDescent="0.25">
      <c r="B5" t="s">
        <v>39</v>
      </c>
      <c r="E5" s="230" t="s">
        <v>40</v>
      </c>
      <c r="F5" s="230"/>
      <c r="G5" s="230"/>
      <c r="H5" t="s">
        <v>41</v>
      </c>
      <c r="L5" t="s">
        <v>42</v>
      </c>
    </row>
    <row r="6" spans="1:13" x14ac:dyDescent="0.25">
      <c r="B6" t="s">
        <v>43</v>
      </c>
      <c r="E6" s="230" t="s">
        <v>44</v>
      </c>
      <c r="F6" s="230"/>
      <c r="G6" s="230"/>
      <c r="H6" t="s">
        <v>45</v>
      </c>
      <c r="L6" t="s">
        <v>46</v>
      </c>
    </row>
    <row r="7" spans="1:13" x14ac:dyDescent="0.25">
      <c r="B7" t="s">
        <v>47</v>
      </c>
      <c r="E7" s="165" t="s">
        <v>48</v>
      </c>
      <c r="F7" s="165"/>
      <c r="G7" s="165"/>
      <c r="H7" t="s">
        <v>49</v>
      </c>
      <c r="L7" t="s">
        <v>50</v>
      </c>
    </row>
    <row r="8" spans="1:13" x14ac:dyDescent="0.25">
      <c r="E8" s="165" t="s">
        <v>51</v>
      </c>
      <c r="F8" s="165"/>
      <c r="G8" s="165"/>
      <c r="H8" t="s">
        <v>52</v>
      </c>
      <c r="L8" t="s">
        <v>53</v>
      </c>
    </row>
    <row r="9" spans="1:13" x14ac:dyDescent="0.25">
      <c r="E9" s="165" t="s">
        <v>54</v>
      </c>
      <c r="F9" s="165"/>
      <c r="G9" s="165"/>
      <c r="L9" t="s">
        <v>55</v>
      </c>
    </row>
    <row r="10" spans="1:13" x14ac:dyDescent="0.25">
      <c r="F10" t="s">
        <v>56</v>
      </c>
      <c r="H10" s="229" t="s">
        <v>57</v>
      </c>
    </row>
    <row r="11" spans="1:13" x14ac:dyDescent="0.25">
      <c r="B11" t="s">
        <v>58</v>
      </c>
      <c r="F11" t="s">
        <v>59</v>
      </c>
      <c r="H11" t="s">
        <v>60</v>
      </c>
    </row>
    <row r="12" spans="1:13" x14ac:dyDescent="0.25">
      <c r="B12" t="s">
        <v>61</v>
      </c>
      <c r="F12" t="s">
        <v>62</v>
      </c>
      <c r="H12" t="s">
        <v>63</v>
      </c>
    </row>
    <row r="13" spans="1:13" ht="15.75" thickBot="1" x14ac:dyDescent="0.3">
      <c r="B13" t="s">
        <v>64</v>
      </c>
      <c r="H13" t="s">
        <v>65</v>
      </c>
    </row>
    <row r="14" spans="1:13" ht="15.75" thickBot="1" x14ac:dyDescent="0.3">
      <c r="A14" s="170" t="s">
        <v>1</v>
      </c>
      <c r="B14" s="171"/>
      <c r="C14" s="172"/>
      <c r="D14" s="173"/>
      <c r="E14" s="160" t="s">
        <v>66</v>
      </c>
      <c r="H14" t="s">
        <v>67</v>
      </c>
    </row>
    <row r="15" spans="1:13" ht="15.75" thickBot="1" x14ac:dyDescent="0.3">
      <c r="A15" s="159" t="s">
        <v>68</v>
      </c>
      <c r="B15" s="231" t="s">
        <v>69</v>
      </c>
      <c r="D15" s="161"/>
      <c r="E15" s="160" t="s">
        <v>70</v>
      </c>
      <c r="H15" t="s">
        <v>71</v>
      </c>
    </row>
    <row r="16" spans="1:13" ht="15.75" thickBot="1" x14ac:dyDescent="0.3">
      <c r="A16" s="159"/>
      <c r="B16" s="231" t="s">
        <v>72</v>
      </c>
      <c r="D16" s="161"/>
      <c r="H16" t="s">
        <v>73</v>
      </c>
    </row>
    <row r="17" spans="1:12" ht="15.75" thickBot="1" x14ac:dyDescent="0.3">
      <c r="A17" s="159"/>
      <c r="B17" s="231" t="s">
        <v>74</v>
      </c>
      <c r="D17" s="161"/>
      <c r="H17" t="s">
        <v>75</v>
      </c>
    </row>
    <row r="18" spans="1:12" ht="15.75" thickBot="1" x14ac:dyDescent="0.3">
      <c r="A18" s="159"/>
      <c r="B18" s="231" t="s">
        <v>76</v>
      </c>
      <c r="D18" s="161"/>
      <c r="H18" t="s">
        <v>77</v>
      </c>
    </row>
    <row r="19" spans="1:12" ht="15.75" thickBot="1" x14ac:dyDescent="0.3">
      <c r="A19" s="159"/>
      <c r="B19" s="231" t="s">
        <v>78</v>
      </c>
      <c r="D19" s="161"/>
      <c r="H19" t="s">
        <v>79</v>
      </c>
    </row>
    <row r="20" spans="1:12" ht="15.75" thickBot="1" x14ac:dyDescent="0.3">
      <c r="A20" s="232" t="s">
        <v>80</v>
      </c>
      <c r="D20" s="161"/>
      <c r="H20" t="s">
        <v>81</v>
      </c>
    </row>
    <row r="21" spans="1:12" x14ac:dyDescent="0.25">
      <c r="A21" s="162" t="s">
        <v>82</v>
      </c>
      <c r="B21" s="163" t="s">
        <v>83</v>
      </c>
      <c r="D21" s="161"/>
      <c r="H21" t="s">
        <v>55</v>
      </c>
    </row>
    <row r="22" spans="1:12" x14ac:dyDescent="0.25">
      <c r="A22" s="162"/>
      <c r="B22" s="163" t="s">
        <v>84</v>
      </c>
      <c r="D22" s="161"/>
    </row>
    <row r="23" spans="1:12" x14ac:dyDescent="0.25">
      <c r="A23" s="162"/>
      <c r="B23" s="163" t="s">
        <v>85</v>
      </c>
      <c r="D23" s="161"/>
    </row>
    <row r="24" spans="1:12" x14ac:dyDescent="0.25">
      <c r="A24" s="192"/>
      <c r="D24" s="161"/>
    </row>
    <row r="25" spans="1:12" x14ac:dyDescent="0.25">
      <c r="A25" s="164" t="s">
        <v>86</v>
      </c>
      <c r="B25" s="165" t="s">
        <v>87</v>
      </c>
      <c r="D25" s="161"/>
    </row>
    <row r="26" spans="1:12" x14ac:dyDescent="0.25">
      <c r="A26" s="164"/>
      <c r="B26" s="165" t="s">
        <v>88</v>
      </c>
      <c r="D26" s="161"/>
    </row>
    <row r="27" spans="1:12" ht="15.75" thickBot="1" x14ac:dyDescent="0.3">
      <c r="A27" s="166"/>
      <c r="B27" s="167" t="s">
        <v>89</v>
      </c>
      <c r="C27" s="168"/>
      <c r="D27" s="169"/>
    </row>
    <row r="28" spans="1:12" ht="15.75" x14ac:dyDescent="0.25">
      <c r="A28" s="191" t="s">
        <v>90</v>
      </c>
      <c r="B28" s="191" t="s">
        <v>91</v>
      </c>
      <c r="L28" s="306" t="s">
        <v>342</v>
      </c>
    </row>
    <row r="29" spans="1:12" x14ac:dyDescent="0.25">
      <c r="A29" s="191"/>
      <c r="B29" s="191" t="s">
        <v>92</v>
      </c>
      <c r="L29" s="307" t="s">
        <v>546</v>
      </c>
    </row>
    <row r="30" spans="1:12" x14ac:dyDescent="0.25">
      <c r="A30" s="191"/>
      <c r="B30" s="191" t="s">
        <v>93</v>
      </c>
      <c r="L30" s="308" t="s">
        <v>547</v>
      </c>
    </row>
    <row r="31" spans="1:12" x14ac:dyDescent="0.25">
      <c r="A31" s="191"/>
      <c r="B31" s="191" t="s">
        <v>94</v>
      </c>
      <c r="L31" s="307" t="s">
        <v>548</v>
      </c>
    </row>
    <row r="32" spans="1:12" x14ac:dyDescent="0.25">
      <c r="L32" s="308" t="s">
        <v>549</v>
      </c>
    </row>
    <row r="33" spans="2:12" x14ac:dyDescent="0.25">
      <c r="L33" s="307" t="s">
        <v>550</v>
      </c>
    </row>
    <row r="34" spans="2:12" x14ac:dyDescent="0.25">
      <c r="L34" s="308" t="s">
        <v>551</v>
      </c>
    </row>
    <row r="35" spans="2:12" x14ac:dyDescent="0.25">
      <c r="L35" s="307" t="s">
        <v>552</v>
      </c>
    </row>
    <row r="36" spans="2:12" x14ac:dyDescent="0.25">
      <c r="L36" s="308" t="s">
        <v>553</v>
      </c>
    </row>
    <row r="37" spans="2:12" x14ac:dyDescent="0.25">
      <c r="L37" s="307" t="s">
        <v>554</v>
      </c>
    </row>
    <row r="38" spans="2:12" x14ac:dyDescent="0.25">
      <c r="B38" t="s">
        <v>95</v>
      </c>
      <c r="L38" s="308" t="s">
        <v>555</v>
      </c>
    </row>
    <row r="39" spans="2:12" x14ac:dyDescent="0.25">
      <c r="B39" t="s">
        <v>96</v>
      </c>
      <c r="L39" s="307" t="s">
        <v>556</v>
      </c>
    </row>
    <row r="40" spans="2:12" ht="15.75" thickBot="1" x14ac:dyDescent="0.3">
      <c r="B40" t="s">
        <v>97</v>
      </c>
      <c r="L40" s="308" t="s">
        <v>557</v>
      </c>
    </row>
    <row r="41" spans="2:12" ht="15.75" thickBot="1" x14ac:dyDescent="0.3">
      <c r="B41" t="s">
        <v>98</v>
      </c>
      <c r="F41" s="112" t="s">
        <v>99</v>
      </c>
      <c r="G41" s="113" t="s">
        <v>100</v>
      </c>
      <c r="L41" s="307" t="s">
        <v>558</v>
      </c>
    </row>
    <row r="42" spans="2:12" ht="15.75" thickBot="1" x14ac:dyDescent="0.3">
      <c r="B42" t="s">
        <v>101</v>
      </c>
      <c r="F42" s="397" t="s">
        <v>98</v>
      </c>
      <c r="G42" s="114" t="s">
        <v>102</v>
      </c>
      <c r="L42" s="308" t="s">
        <v>559</v>
      </c>
    </row>
    <row r="43" spans="2:12" ht="15.75" thickBot="1" x14ac:dyDescent="0.3">
      <c r="B43" t="s">
        <v>103</v>
      </c>
      <c r="F43" s="395"/>
      <c r="G43" s="114" t="s">
        <v>104</v>
      </c>
      <c r="L43" s="307" t="s">
        <v>560</v>
      </c>
    </row>
    <row r="44" spans="2:12" ht="15.75" thickBot="1" x14ac:dyDescent="0.3">
      <c r="B44" t="s">
        <v>105</v>
      </c>
      <c r="F44" s="395"/>
      <c r="G44" s="114" t="s">
        <v>106</v>
      </c>
      <c r="L44" s="308" t="s">
        <v>561</v>
      </c>
    </row>
    <row r="45" spans="2:12" ht="15.75" thickBot="1" x14ac:dyDescent="0.3">
      <c r="B45" t="s">
        <v>107</v>
      </c>
      <c r="F45" s="395"/>
      <c r="G45" s="114" t="s">
        <v>108</v>
      </c>
      <c r="L45" s="307" t="s">
        <v>562</v>
      </c>
    </row>
    <row r="46" spans="2:12" ht="15.75" thickBot="1" x14ac:dyDescent="0.3">
      <c r="F46" s="395"/>
      <c r="G46" s="114" t="s">
        <v>109</v>
      </c>
      <c r="L46" s="308" t="s">
        <v>563</v>
      </c>
    </row>
    <row r="47" spans="2:12" ht="15.75" thickBot="1" x14ac:dyDescent="0.3">
      <c r="F47" s="396"/>
      <c r="G47" s="114" t="s">
        <v>110</v>
      </c>
      <c r="L47" s="307" t="s">
        <v>564</v>
      </c>
    </row>
    <row r="48" spans="2:12" ht="15.75" thickBot="1" x14ac:dyDescent="0.3">
      <c r="F48" s="394" t="s">
        <v>107</v>
      </c>
      <c r="G48" s="114" t="s">
        <v>111</v>
      </c>
      <c r="L48" s="308" t="s">
        <v>565</v>
      </c>
    </row>
    <row r="49" spans="6:12" ht="15.75" thickBot="1" x14ac:dyDescent="0.3">
      <c r="F49" s="395"/>
      <c r="G49" s="114" t="s">
        <v>112</v>
      </c>
      <c r="L49" t="s">
        <v>38</v>
      </c>
    </row>
    <row r="50" spans="6:12" ht="15.75" thickBot="1" x14ac:dyDescent="0.3">
      <c r="F50" s="395"/>
      <c r="G50" s="114" t="s">
        <v>113</v>
      </c>
      <c r="L50" t="s">
        <v>42</v>
      </c>
    </row>
    <row r="51" spans="6:12" ht="21.75" customHeight="1" thickBot="1" x14ac:dyDescent="0.3">
      <c r="F51" s="395"/>
      <c r="G51" s="114" t="s">
        <v>114</v>
      </c>
      <c r="L51" t="s">
        <v>46</v>
      </c>
    </row>
    <row r="52" spans="6:12" ht="15.75" thickBot="1" x14ac:dyDescent="0.3">
      <c r="F52" s="396"/>
      <c r="G52" s="114" t="s">
        <v>115</v>
      </c>
      <c r="L52" t="s">
        <v>50</v>
      </c>
    </row>
    <row r="53" spans="6:12" ht="24.75" thickBot="1" x14ac:dyDescent="0.3">
      <c r="F53" s="394" t="s">
        <v>103</v>
      </c>
      <c r="G53" s="114" t="s">
        <v>116</v>
      </c>
      <c r="L53" t="s">
        <v>53</v>
      </c>
    </row>
    <row r="54" spans="6:12" ht="15.75" thickBot="1" x14ac:dyDescent="0.3">
      <c r="F54" s="395"/>
      <c r="G54" s="114" t="s">
        <v>117</v>
      </c>
    </row>
    <row r="55" spans="6:12" ht="30" customHeight="1" thickBot="1" x14ac:dyDescent="0.3">
      <c r="F55" s="396"/>
      <c r="G55" s="114" t="s">
        <v>118</v>
      </c>
    </row>
    <row r="56" spans="6:12" ht="15.75" thickBot="1" x14ac:dyDescent="0.3">
      <c r="F56" s="394" t="s">
        <v>105</v>
      </c>
      <c r="G56" s="114" t="s">
        <v>119</v>
      </c>
    </row>
    <row r="57" spans="6:12" ht="15.75" thickBot="1" x14ac:dyDescent="0.3">
      <c r="F57" s="395"/>
      <c r="G57" s="114" t="s">
        <v>120</v>
      </c>
    </row>
    <row r="58" spans="6:12" ht="15.75" thickBot="1" x14ac:dyDescent="0.3">
      <c r="F58" s="396"/>
      <c r="G58" s="114" t="s">
        <v>121</v>
      </c>
    </row>
    <row r="59" spans="6:12" ht="24.75" thickBot="1" x14ac:dyDescent="0.3">
      <c r="F59" s="394" t="s">
        <v>96</v>
      </c>
      <c r="G59" s="114" t="s">
        <v>122</v>
      </c>
    </row>
    <row r="60" spans="6:12" ht="15.75" thickBot="1" x14ac:dyDescent="0.3">
      <c r="F60" s="395"/>
      <c r="G60" s="114" t="s">
        <v>123</v>
      </c>
    </row>
    <row r="61" spans="6:12" ht="15.75" thickBot="1" x14ac:dyDescent="0.3">
      <c r="F61" s="395"/>
      <c r="G61" s="114" t="s">
        <v>124</v>
      </c>
    </row>
    <row r="62" spans="6:12" ht="15.75" thickBot="1" x14ac:dyDescent="0.3">
      <c r="F62" s="395"/>
      <c r="G62" s="114" t="s">
        <v>125</v>
      </c>
    </row>
    <row r="63" spans="6:12" ht="15.75" thickBot="1" x14ac:dyDescent="0.3">
      <c r="F63" s="395"/>
      <c r="G63" s="114" t="s">
        <v>126</v>
      </c>
    </row>
    <row r="64" spans="6:12" ht="24.75" thickBot="1" x14ac:dyDescent="0.3">
      <c r="F64" s="395"/>
      <c r="G64" s="114" t="s">
        <v>127</v>
      </c>
    </row>
    <row r="65" spans="6:7" ht="15.75" thickBot="1" x14ac:dyDescent="0.3">
      <c r="F65" s="395"/>
      <c r="G65" s="114" t="s">
        <v>128</v>
      </c>
    </row>
    <row r="66" spans="6:7" ht="24.75" thickBot="1" x14ac:dyDescent="0.3">
      <c r="F66" s="395"/>
      <c r="G66" s="114" t="s">
        <v>129</v>
      </c>
    </row>
    <row r="67" spans="6:7" ht="15.75" thickBot="1" x14ac:dyDescent="0.3">
      <c r="F67" s="395"/>
      <c r="G67" s="114" t="s">
        <v>130</v>
      </c>
    </row>
    <row r="68" spans="6:7" ht="15.75" thickBot="1" x14ac:dyDescent="0.3">
      <c r="F68" s="395"/>
      <c r="G68" s="114" t="s">
        <v>131</v>
      </c>
    </row>
    <row r="69" spans="6:7" ht="15.75" thickBot="1" x14ac:dyDescent="0.3">
      <c r="F69" s="396"/>
      <c r="G69" s="114" t="s">
        <v>132</v>
      </c>
    </row>
    <row r="70" spans="6:7" ht="15.75" thickBot="1" x14ac:dyDescent="0.3">
      <c r="F70" s="394" t="s">
        <v>101</v>
      </c>
      <c r="G70" s="114" t="s">
        <v>133</v>
      </c>
    </row>
    <row r="71" spans="6:7" ht="15.75" thickBot="1" x14ac:dyDescent="0.3">
      <c r="F71" s="395"/>
      <c r="G71" s="114" t="s">
        <v>134</v>
      </c>
    </row>
    <row r="72" spans="6:7" ht="24.75" thickBot="1" x14ac:dyDescent="0.3">
      <c r="F72" s="395"/>
      <c r="G72" s="114" t="s">
        <v>135</v>
      </c>
    </row>
    <row r="73" spans="6:7" ht="15.75" thickBot="1" x14ac:dyDescent="0.3">
      <c r="F73" s="395"/>
      <c r="G73" s="114" t="s">
        <v>136</v>
      </c>
    </row>
    <row r="74" spans="6:7" ht="36.75" thickBot="1" x14ac:dyDescent="0.3">
      <c r="F74" s="396"/>
      <c r="G74" s="114" t="s">
        <v>137</v>
      </c>
    </row>
    <row r="75" spans="6:7" ht="15.75" thickBot="1" x14ac:dyDescent="0.3">
      <c r="F75" s="394" t="s">
        <v>95</v>
      </c>
      <c r="G75" s="114" t="s">
        <v>138</v>
      </c>
    </row>
    <row r="76" spans="6:7" ht="15.75" thickBot="1" x14ac:dyDescent="0.3">
      <c r="F76" s="395"/>
      <c r="G76" s="114" t="s">
        <v>139</v>
      </c>
    </row>
    <row r="77" spans="6:7" ht="15.75" thickBot="1" x14ac:dyDescent="0.3">
      <c r="F77" s="395"/>
      <c r="G77" s="114" t="s">
        <v>140</v>
      </c>
    </row>
    <row r="78" spans="6:7" ht="15.75" thickBot="1" x14ac:dyDescent="0.3">
      <c r="F78" s="395"/>
      <c r="G78" s="114" t="s">
        <v>141</v>
      </c>
    </row>
    <row r="79" spans="6:7" ht="15.75" thickBot="1" x14ac:dyDescent="0.3">
      <c r="F79" s="396"/>
      <c r="G79" s="114" t="s">
        <v>142</v>
      </c>
    </row>
    <row r="80" spans="6:7" ht="15.75" thickBot="1" x14ac:dyDescent="0.3">
      <c r="F80" s="394" t="s">
        <v>97</v>
      </c>
      <c r="G80" s="114" t="s">
        <v>143</v>
      </c>
    </row>
    <row r="81" spans="1:7" ht="15.75" thickBot="1" x14ac:dyDescent="0.3">
      <c r="F81" s="395"/>
      <c r="G81" s="114" t="s">
        <v>144</v>
      </c>
    </row>
    <row r="82" spans="1:7" ht="15.75" thickBot="1" x14ac:dyDescent="0.3">
      <c r="F82" s="395"/>
      <c r="G82" s="114" t="s">
        <v>145</v>
      </c>
    </row>
    <row r="83" spans="1:7" ht="15.75" thickBot="1" x14ac:dyDescent="0.3">
      <c r="F83" s="395"/>
      <c r="G83" s="114" t="s">
        <v>146</v>
      </c>
    </row>
    <row r="84" spans="1:7" ht="45.75" thickBot="1" x14ac:dyDescent="0.3">
      <c r="A84" s="234" t="s">
        <v>147</v>
      </c>
      <c r="F84" s="396"/>
      <c r="G84" s="114" t="s">
        <v>148</v>
      </c>
    </row>
    <row r="85" spans="1:7" x14ac:dyDescent="0.25">
      <c r="A85" s="234"/>
    </row>
    <row r="86" spans="1:7" x14ac:dyDescent="0.25">
      <c r="A86" s="235"/>
      <c r="B86" s="236" t="s">
        <v>149</v>
      </c>
      <c r="C86" s="237">
        <v>0</v>
      </c>
    </row>
    <row r="87" spans="1:7" ht="45" x14ac:dyDescent="0.25">
      <c r="A87" s="283" t="s">
        <v>150</v>
      </c>
      <c r="B87" s="80" t="s">
        <v>151</v>
      </c>
      <c r="C87" s="237">
        <v>1</v>
      </c>
    </row>
    <row r="88" spans="1:7" ht="60" x14ac:dyDescent="0.25">
      <c r="A88" s="235" t="s">
        <v>152</v>
      </c>
      <c r="B88" s="82" t="s">
        <v>153</v>
      </c>
      <c r="C88" s="237">
        <v>2</v>
      </c>
    </row>
    <row r="89" spans="1:7" ht="30" x14ac:dyDescent="0.25">
      <c r="A89" s="235" t="s">
        <v>154</v>
      </c>
      <c r="B89" s="80" t="s">
        <v>155</v>
      </c>
      <c r="C89" s="237">
        <v>3</v>
      </c>
    </row>
    <row r="90" spans="1:7" ht="30" x14ac:dyDescent="0.25">
      <c r="A90" s="235" t="s">
        <v>156</v>
      </c>
      <c r="B90" s="80" t="s">
        <v>157</v>
      </c>
      <c r="C90" s="237">
        <v>4</v>
      </c>
    </row>
    <row r="91" spans="1:7" ht="30" x14ac:dyDescent="0.25">
      <c r="A91" s="235" t="s">
        <v>158</v>
      </c>
      <c r="B91" s="80" t="s">
        <v>159</v>
      </c>
      <c r="C91" s="237">
        <v>5</v>
      </c>
    </row>
    <row r="92" spans="1:7" ht="30" x14ac:dyDescent="0.25">
      <c r="A92" s="235" t="s">
        <v>160</v>
      </c>
      <c r="B92" s="80" t="s">
        <v>161</v>
      </c>
      <c r="C92" s="237">
        <v>6</v>
      </c>
    </row>
    <row r="93" spans="1:7" ht="30" x14ac:dyDescent="0.25">
      <c r="A93" s="235" t="s">
        <v>162</v>
      </c>
      <c r="B93" s="80" t="s">
        <v>163</v>
      </c>
      <c r="C93" s="237">
        <v>7</v>
      </c>
    </row>
    <row r="94" spans="1:7" ht="45" x14ac:dyDescent="0.25">
      <c r="A94" s="235" t="s">
        <v>164</v>
      </c>
      <c r="B94" s="80" t="s">
        <v>165</v>
      </c>
      <c r="C94" s="237">
        <v>8</v>
      </c>
    </row>
    <row r="95" spans="1:7" ht="45" x14ac:dyDescent="0.25">
      <c r="A95" s="235" t="s">
        <v>166</v>
      </c>
      <c r="B95" s="80" t="s">
        <v>167</v>
      </c>
      <c r="C95" s="237">
        <v>9</v>
      </c>
    </row>
    <row r="96" spans="1:7" ht="45" x14ac:dyDescent="0.25">
      <c r="A96" s="235" t="s">
        <v>168</v>
      </c>
      <c r="B96" s="80" t="s">
        <v>169</v>
      </c>
      <c r="C96" s="237">
        <v>10</v>
      </c>
    </row>
    <row r="97" spans="1:3" x14ac:dyDescent="0.25">
      <c r="A97" s="235" t="s">
        <v>170</v>
      </c>
      <c r="B97" s="80" t="s">
        <v>171</v>
      </c>
      <c r="C97" s="237">
        <v>11</v>
      </c>
    </row>
    <row r="98" spans="1:3" ht="30" x14ac:dyDescent="0.25">
      <c r="A98" s="235" t="s">
        <v>172</v>
      </c>
      <c r="B98" s="80" t="s">
        <v>173</v>
      </c>
      <c r="C98" s="237">
        <v>12</v>
      </c>
    </row>
    <row r="99" spans="1:3" ht="30" x14ac:dyDescent="0.25">
      <c r="A99" s="235" t="s">
        <v>174</v>
      </c>
      <c r="B99" s="80" t="s">
        <v>175</v>
      </c>
      <c r="C99" s="237">
        <v>13</v>
      </c>
    </row>
    <row r="100" spans="1:3" ht="30" x14ac:dyDescent="0.25">
      <c r="A100" s="235" t="s">
        <v>176</v>
      </c>
      <c r="B100" s="80" t="s">
        <v>177</v>
      </c>
      <c r="C100" s="237">
        <v>14</v>
      </c>
    </row>
    <row r="101" spans="1:3" x14ac:dyDescent="0.25">
      <c r="A101" s="235" t="s">
        <v>178</v>
      </c>
      <c r="B101" s="80" t="s">
        <v>179</v>
      </c>
      <c r="C101" s="237">
        <v>15</v>
      </c>
    </row>
    <row r="102" spans="1:3" x14ac:dyDescent="0.25">
      <c r="A102" s="235" t="s">
        <v>180</v>
      </c>
      <c r="B102" s="80" t="s">
        <v>181</v>
      </c>
      <c r="C102" s="237">
        <v>16</v>
      </c>
    </row>
    <row r="103" spans="1:3" ht="30" x14ac:dyDescent="0.25">
      <c r="A103" s="235" t="s">
        <v>182</v>
      </c>
      <c r="B103" s="80" t="s">
        <v>183</v>
      </c>
      <c r="C103" s="237">
        <v>17</v>
      </c>
    </row>
    <row r="104" spans="1:3" x14ac:dyDescent="0.25">
      <c r="A104" s="235" t="s">
        <v>184</v>
      </c>
      <c r="B104" s="80" t="s">
        <v>185</v>
      </c>
      <c r="C104" s="237">
        <v>18</v>
      </c>
    </row>
    <row r="105" spans="1:3" ht="60" x14ac:dyDescent="0.25">
      <c r="A105" s="235" t="s">
        <v>186</v>
      </c>
      <c r="B105" s="80" t="s">
        <v>187</v>
      </c>
      <c r="C105" s="237">
        <v>19</v>
      </c>
    </row>
    <row r="106" spans="1:3" ht="60" x14ac:dyDescent="0.25">
      <c r="A106" s="235" t="s">
        <v>188</v>
      </c>
      <c r="B106" s="80" t="s">
        <v>189</v>
      </c>
      <c r="C106" s="237">
        <v>20</v>
      </c>
    </row>
    <row r="107" spans="1:3" ht="90" x14ac:dyDescent="0.25">
      <c r="A107" s="235" t="s">
        <v>190</v>
      </c>
      <c r="B107" s="80" t="s">
        <v>191</v>
      </c>
      <c r="C107" s="237">
        <v>21</v>
      </c>
    </row>
    <row r="108" spans="1:3" ht="60" x14ac:dyDescent="0.25">
      <c r="A108" s="235" t="s">
        <v>192</v>
      </c>
      <c r="B108" s="80" t="s">
        <v>193</v>
      </c>
      <c r="C108" s="237">
        <v>22</v>
      </c>
    </row>
    <row r="109" spans="1:3" ht="45" x14ac:dyDescent="0.25">
      <c r="A109" s="235" t="s">
        <v>194</v>
      </c>
      <c r="B109" s="80" t="s">
        <v>195</v>
      </c>
      <c r="C109" s="237">
        <v>23</v>
      </c>
    </row>
    <row r="110" spans="1:3" ht="75" x14ac:dyDescent="0.25">
      <c r="A110" s="235" t="s">
        <v>196</v>
      </c>
      <c r="B110" s="80" t="s">
        <v>197</v>
      </c>
      <c r="C110" s="237">
        <v>24</v>
      </c>
    </row>
    <row r="111" spans="1:3" ht="60" x14ac:dyDescent="0.25">
      <c r="A111" s="235" t="s">
        <v>198</v>
      </c>
      <c r="B111" s="80" t="s">
        <v>199</v>
      </c>
      <c r="C111" s="237">
        <v>25</v>
      </c>
    </row>
    <row r="112" spans="1:3" ht="45" x14ac:dyDescent="0.25">
      <c r="A112" s="235" t="s">
        <v>200</v>
      </c>
      <c r="B112" s="80" t="s">
        <v>201</v>
      </c>
      <c r="C112" s="237">
        <v>26</v>
      </c>
    </row>
    <row r="113" spans="1:3" ht="45" x14ac:dyDescent="0.25">
      <c r="A113" s="235" t="s">
        <v>202</v>
      </c>
      <c r="B113" s="80" t="s">
        <v>203</v>
      </c>
      <c r="C113" s="237">
        <v>27</v>
      </c>
    </row>
    <row r="114" spans="1:3" ht="30" x14ac:dyDescent="0.25">
      <c r="A114" s="235" t="s">
        <v>204</v>
      </c>
      <c r="B114" s="80" t="s">
        <v>205</v>
      </c>
      <c r="C114" s="237">
        <v>28</v>
      </c>
    </row>
    <row r="115" spans="1:3" ht="45" x14ac:dyDescent="0.25">
      <c r="A115" s="235" t="s">
        <v>206</v>
      </c>
      <c r="B115" s="80" t="s">
        <v>207</v>
      </c>
      <c r="C115" s="237">
        <v>29</v>
      </c>
    </row>
    <row r="116" spans="1:3" ht="45" x14ac:dyDescent="0.25">
      <c r="A116" s="235" t="s">
        <v>208</v>
      </c>
      <c r="B116" s="80" t="s">
        <v>209</v>
      </c>
      <c r="C116" s="237">
        <v>30</v>
      </c>
    </row>
    <row r="117" spans="1:3" ht="45" x14ac:dyDescent="0.25">
      <c r="A117" s="235" t="s">
        <v>210</v>
      </c>
      <c r="B117" s="80" t="s">
        <v>211</v>
      </c>
      <c r="C117" s="237">
        <v>31</v>
      </c>
    </row>
    <row r="118" spans="1:3" ht="30" x14ac:dyDescent="0.25">
      <c r="A118" s="235" t="s">
        <v>212</v>
      </c>
      <c r="B118" s="80" t="s">
        <v>213</v>
      </c>
      <c r="C118" s="237">
        <v>32</v>
      </c>
    </row>
    <row r="119" spans="1:3" x14ac:dyDescent="0.25">
      <c r="A119" s="235" t="s">
        <v>214</v>
      </c>
      <c r="B119" s="80" t="s">
        <v>215</v>
      </c>
      <c r="C119" s="237">
        <v>33</v>
      </c>
    </row>
    <row r="120" spans="1:3" ht="75" x14ac:dyDescent="0.25">
      <c r="A120" s="235" t="s">
        <v>216</v>
      </c>
      <c r="B120" s="80" t="s">
        <v>217</v>
      </c>
      <c r="C120" s="237">
        <v>34</v>
      </c>
    </row>
    <row r="121" spans="1:3" ht="45" x14ac:dyDescent="0.25">
      <c r="A121" s="235" t="s">
        <v>218</v>
      </c>
      <c r="B121" s="80" t="s">
        <v>219</v>
      </c>
      <c r="C121" s="237">
        <v>35</v>
      </c>
    </row>
    <row r="122" spans="1:3" ht="60" x14ac:dyDescent="0.25">
      <c r="A122" s="235" t="s">
        <v>220</v>
      </c>
      <c r="B122" s="80" t="s">
        <v>221</v>
      </c>
      <c r="C122" s="237">
        <v>36</v>
      </c>
    </row>
    <row r="123" spans="1:3" ht="45" x14ac:dyDescent="0.25">
      <c r="A123" s="235" t="s">
        <v>222</v>
      </c>
      <c r="B123" s="80" t="s">
        <v>223</v>
      </c>
      <c r="C123" s="237">
        <v>37</v>
      </c>
    </row>
    <row r="124" spans="1:3" x14ac:dyDescent="0.25">
      <c r="A124" s="235" t="s">
        <v>224</v>
      </c>
      <c r="B124" s="80" t="s">
        <v>225</v>
      </c>
      <c r="C124" s="237">
        <v>38</v>
      </c>
    </row>
    <row r="125" spans="1:3" ht="30" x14ac:dyDescent="0.25">
      <c r="A125" s="235" t="s">
        <v>226</v>
      </c>
      <c r="B125" s="80" t="s">
        <v>227</v>
      </c>
      <c r="C125" s="237">
        <v>39</v>
      </c>
    </row>
    <row r="126" spans="1:3" ht="45" x14ac:dyDescent="0.25">
      <c r="A126" s="235" t="s">
        <v>228</v>
      </c>
      <c r="B126" s="80" t="s">
        <v>229</v>
      </c>
      <c r="C126" s="237">
        <v>40</v>
      </c>
    </row>
    <row r="127" spans="1:3" x14ac:dyDescent="0.25">
      <c r="A127" s="235" t="s">
        <v>230</v>
      </c>
      <c r="B127" s="80" t="s">
        <v>231</v>
      </c>
      <c r="C127" s="237">
        <v>41</v>
      </c>
    </row>
    <row r="128" spans="1:3" ht="60" x14ac:dyDescent="0.25">
      <c r="A128" s="235" t="s">
        <v>232</v>
      </c>
      <c r="B128" s="80" t="s">
        <v>233</v>
      </c>
      <c r="C128" s="237">
        <v>42</v>
      </c>
    </row>
    <row r="129" spans="1:3" ht="45" x14ac:dyDescent="0.25">
      <c r="A129" s="235" t="s">
        <v>234</v>
      </c>
      <c r="B129" s="80" t="s">
        <v>235</v>
      </c>
      <c r="C129" s="237">
        <v>43</v>
      </c>
    </row>
    <row r="130" spans="1:3" x14ac:dyDescent="0.25">
      <c r="A130" s="235" t="s">
        <v>236</v>
      </c>
      <c r="B130" s="80" t="s">
        <v>237</v>
      </c>
      <c r="C130" s="237">
        <v>44</v>
      </c>
    </row>
    <row r="131" spans="1:3" ht="45" x14ac:dyDescent="0.25">
      <c r="A131" s="235" t="s">
        <v>238</v>
      </c>
      <c r="B131" s="80" t="s">
        <v>239</v>
      </c>
      <c r="C131" s="237">
        <v>45</v>
      </c>
    </row>
    <row r="132" spans="1:3" ht="30" x14ac:dyDescent="0.25">
      <c r="A132" s="235" t="s">
        <v>240</v>
      </c>
      <c r="B132" s="80" t="s">
        <v>241</v>
      </c>
      <c r="C132" s="237">
        <v>46</v>
      </c>
    </row>
    <row r="133" spans="1:3" x14ac:dyDescent="0.25">
      <c r="A133" s="235" t="s">
        <v>242</v>
      </c>
      <c r="B133" s="80" t="s">
        <v>243</v>
      </c>
      <c r="C133" s="237">
        <v>47</v>
      </c>
    </row>
    <row r="134" spans="1:3" ht="45" x14ac:dyDescent="0.25">
      <c r="A134" s="235" t="s">
        <v>244</v>
      </c>
      <c r="B134" s="80" t="s">
        <v>245</v>
      </c>
      <c r="C134" s="237">
        <v>48</v>
      </c>
    </row>
    <row r="135" spans="1:3" ht="30" x14ac:dyDescent="0.25">
      <c r="A135" s="235" t="s">
        <v>246</v>
      </c>
      <c r="B135" s="80" t="s">
        <v>247</v>
      </c>
      <c r="C135" s="237">
        <v>49</v>
      </c>
    </row>
    <row r="136" spans="1:3" ht="45" x14ac:dyDescent="0.25">
      <c r="A136" s="235" t="s">
        <v>248</v>
      </c>
      <c r="B136" s="80" t="s">
        <v>249</v>
      </c>
      <c r="C136" s="237">
        <v>50</v>
      </c>
    </row>
    <row r="137" spans="1:3" ht="30" x14ac:dyDescent="0.25">
      <c r="A137" s="235" t="s">
        <v>250</v>
      </c>
      <c r="B137" s="80" t="s">
        <v>251</v>
      </c>
      <c r="C137" s="237">
        <v>51</v>
      </c>
    </row>
    <row r="138" spans="1:3" ht="30" x14ac:dyDescent="0.25">
      <c r="A138" s="235" t="s">
        <v>252</v>
      </c>
      <c r="B138" s="80" t="s">
        <v>253</v>
      </c>
      <c r="C138" s="237">
        <v>52</v>
      </c>
    </row>
    <row r="139" spans="1:3" ht="30" x14ac:dyDescent="0.25">
      <c r="A139" s="235" t="s">
        <v>254</v>
      </c>
      <c r="B139" s="80" t="s">
        <v>255</v>
      </c>
      <c r="C139" s="237">
        <v>53</v>
      </c>
    </row>
    <row r="140" spans="1:3" ht="45" x14ac:dyDescent="0.25">
      <c r="A140" s="235" t="s">
        <v>256</v>
      </c>
      <c r="B140" s="80" t="s">
        <v>257</v>
      </c>
      <c r="C140" s="237">
        <v>54</v>
      </c>
    </row>
    <row r="141" spans="1:3" ht="30" x14ac:dyDescent="0.25">
      <c r="A141" s="235" t="s">
        <v>258</v>
      </c>
      <c r="B141" s="80" t="s">
        <v>259</v>
      </c>
      <c r="C141" s="237">
        <v>55</v>
      </c>
    </row>
    <row r="142" spans="1:3" ht="30" x14ac:dyDescent="0.25">
      <c r="A142" s="235" t="s">
        <v>260</v>
      </c>
      <c r="B142" s="80" t="s">
        <v>261</v>
      </c>
      <c r="C142" s="237">
        <v>56</v>
      </c>
    </row>
    <row r="143" spans="1:3" x14ac:dyDescent="0.25">
      <c r="A143" s="235" t="s">
        <v>262</v>
      </c>
      <c r="B143" s="80" t="s">
        <v>263</v>
      </c>
      <c r="C143" s="237">
        <v>57</v>
      </c>
    </row>
    <row r="144" spans="1:3" ht="30" x14ac:dyDescent="0.25">
      <c r="A144" s="235" t="s">
        <v>264</v>
      </c>
      <c r="B144" s="80" t="s">
        <v>265</v>
      </c>
      <c r="C144" s="237">
        <v>58</v>
      </c>
    </row>
    <row r="145" spans="1:3" ht="45" x14ac:dyDescent="0.25">
      <c r="A145" s="235" t="s">
        <v>266</v>
      </c>
      <c r="B145" s="80" t="s">
        <v>267</v>
      </c>
      <c r="C145" s="237">
        <v>59</v>
      </c>
    </row>
    <row r="146" spans="1:3" ht="30" x14ac:dyDescent="0.25">
      <c r="A146" s="235" t="s">
        <v>268</v>
      </c>
      <c r="B146" s="80" t="s">
        <v>269</v>
      </c>
      <c r="C146" s="237">
        <v>60</v>
      </c>
    </row>
    <row r="147" spans="1:3" ht="30" x14ac:dyDescent="0.25">
      <c r="A147" s="235" t="s">
        <v>270</v>
      </c>
      <c r="B147" s="80" t="s">
        <v>271</v>
      </c>
      <c r="C147" s="237">
        <v>61</v>
      </c>
    </row>
    <row r="148" spans="1:3" ht="30" x14ac:dyDescent="0.25">
      <c r="A148" s="235" t="s">
        <v>272</v>
      </c>
      <c r="B148" s="80" t="s">
        <v>273</v>
      </c>
      <c r="C148" s="237">
        <v>62</v>
      </c>
    </row>
    <row r="149" spans="1:3" x14ac:dyDescent="0.25">
      <c r="A149" s="235" t="s">
        <v>274</v>
      </c>
      <c r="B149" s="80" t="s">
        <v>275</v>
      </c>
      <c r="C149" s="237">
        <v>63</v>
      </c>
    </row>
    <row r="150" spans="1:3" x14ac:dyDescent="0.25">
      <c r="A150" s="235" t="s">
        <v>276</v>
      </c>
      <c r="B150" s="80" t="s">
        <v>277</v>
      </c>
      <c r="C150" s="237">
        <v>64</v>
      </c>
    </row>
    <row r="151" spans="1:3" x14ac:dyDescent="0.25">
      <c r="A151" s="235" t="s">
        <v>278</v>
      </c>
      <c r="B151" s="80" t="s">
        <v>279</v>
      </c>
      <c r="C151" s="237">
        <v>65</v>
      </c>
    </row>
    <row r="152" spans="1:3" ht="30" x14ac:dyDescent="0.25">
      <c r="A152" s="235" t="s">
        <v>280</v>
      </c>
      <c r="B152" s="80" t="s">
        <v>281</v>
      </c>
      <c r="C152" s="237">
        <v>66</v>
      </c>
    </row>
    <row r="153" spans="1:3" ht="45" x14ac:dyDescent="0.25">
      <c r="A153" s="235" t="s">
        <v>282</v>
      </c>
      <c r="B153" s="80" t="s">
        <v>283</v>
      </c>
      <c r="C153" s="237">
        <v>67</v>
      </c>
    </row>
    <row r="154" spans="1:3" ht="30" x14ac:dyDescent="0.25">
      <c r="A154" s="235" t="s">
        <v>284</v>
      </c>
      <c r="B154" s="80" t="s">
        <v>285</v>
      </c>
      <c r="C154" s="237">
        <v>68</v>
      </c>
    </row>
    <row r="155" spans="1:3" ht="30" x14ac:dyDescent="0.25">
      <c r="A155" s="235" t="s">
        <v>286</v>
      </c>
      <c r="B155" s="80" t="s">
        <v>287</v>
      </c>
      <c r="C155" s="237">
        <v>69</v>
      </c>
    </row>
    <row r="156" spans="1:3" ht="30" x14ac:dyDescent="0.25">
      <c r="A156" s="235" t="s">
        <v>288</v>
      </c>
      <c r="B156" s="80" t="s">
        <v>289</v>
      </c>
      <c r="C156" s="237">
        <v>70</v>
      </c>
    </row>
    <row r="157" spans="1:3" ht="30" x14ac:dyDescent="0.25">
      <c r="A157" s="235" t="s">
        <v>290</v>
      </c>
      <c r="B157" s="80" t="s">
        <v>291</v>
      </c>
      <c r="C157" s="237">
        <v>71</v>
      </c>
    </row>
    <row r="158" spans="1:3" ht="30" x14ac:dyDescent="0.25">
      <c r="A158" s="235" t="s">
        <v>292</v>
      </c>
      <c r="B158" s="80" t="s">
        <v>293</v>
      </c>
      <c r="C158" s="237">
        <v>72</v>
      </c>
    </row>
    <row r="159" spans="1:3" ht="60" x14ac:dyDescent="0.25">
      <c r="A159" s="235" t="s">
        <v>294</v>
      </c>
      <c r="B159" s="80" t="s">
        <v>295</v>
      </c>
      <c r="C159" s="237">
        <v>73</v>
      </c>
    </row>
    <row r="160" spans="1:3" x14ac:dyDescent="0.25">
      <c r="A160" s="235" t="s">
        <v>296</v>
      </c>
      <c r="B160" s="80" t="s">
        <v>297</v>
      </c>
      <c r="C160" s="237">
        <v>74</v>
      </c>
    </row>
    <row r="161" spans="1:3" ht="30" x14ac:dyDescent="0.25">
      <c r="A161" s="235" t="s">
        <v>298</v>
      </c>
      <c r="B161" s="80" t="s">
        <v>299</v>
      </c>
      <c r="C161" s="237">
        <v>75</v>
      </c>
    </row>
    <row r="162" spans="1:3" x14ac:dyDescent="0.25">
      <c r="A162" s="235" t="s">
        <v>300</v>
      </c>
      <c r="B162" s="80" t="s">
        <v>301</v>
      </c>
      <c r="C162" s="237">
        <v>76</v>
      </c>
    </row>
    <row r="163" spans="1:3" ht="30" x14ac:dyDescent="0.25">
      <c r="A163" s="235" t="s">
        <v>302</v>
      </c>
      <c r="B163" s="80" t="s">
        <v>303</v>
      </c>
      <c r="C163" s="237">
        <v>77</v>
      </c>
    </row>
    <row r="164" spans="1:3" ht="30" x14ac:dyDescent="0.25">
      <c r="A164" s="235" t="s">
        <v>304</v>
      </c>
      <c r="B164" s="80" t="s">
        <v>305</v>
      </c>
      <c r="C164" s="237">
        <v>78</v>
      </c>
    </row>
    <row r="165" spans="1:3" x14ac:dyDescent="0.25">
      <c r="A165" s="235" t="s">
        <v>306</v>
      </c>
      <c r="B165" s="80" t="s">
        <v>307</v>
      </c>
      <c r="C165" s="237">
        <v>79</v>
      </c>
    </row>
    <row r="166" spans="1:3" ht="30" x14ac:dyDescent="0.25">
      <c r="A166" s="235" t="s">
        <v>308</v>
      </c>
      <c r="B166" s="80" t="s">
        <v>309</v>
      </c>
      <c r="C166" s="237">
        <v>80</v>
      </c>
    </row>
    <row r="167" spans="1:3" x14ac:dyDescent="0.25">
      <c r="A167" s="235" t="s">
        <v>310</v>
      </c>
      <c r="B167" s="80" t="s">
        <v>311</v>
      </c>
      <c r="C167" s="237">
        <v>81</v>
      </c>
    </row>
    <row r="168" spans="1:3" x14ac:dyDescent="0.25">
      <c r="A168" s="235" t="s">
        <v>312</v>
      </c>
      <c r="B168" s="80" t="s">
        <v>313</v>
      </c>
      <c r="C168" s="237">
        <v>82</v>
      </c>
    </row>
    <row r="169" spans="1:3" x14ac:dyDescent="0.25">
      <c r="A169" s="235" t="s">
        <v>314</v>
      </c>
      <c r="B169" s="80" t="s">
        <v>315</v>
      </c>
      <c r="C169" s="237">
        <v>83</v>
      </c>
    </row>
    <row r="170" spans="1:3" ht="30" x14ac:dyDescent="0.25">
      <c r="A170" s="235" t="s">
        <v>316</v>
      </c>
      <c r="B170" s="80" t="s">
        <v>317</v>
      </c>
      <c r="C170" s="237">
        <v>84</v>
      </c>
    </row>
    <row r="171" spans="1:3" ht="30" x14ac:dyDescent="0.25">
      <c r="A171" s="235" t="s">
        <v>318</v>
      </c>
      <c r="B171" s="80" t="s">
        <v>319</v>
      </c>
      <c r="C171" s="237">
        <v>85</v>
      </c>
    </row>
    <row r="172" spans="1:3" ht="45" x14ac:dyDescent="0.25">
      <c r="A172" s="235" t="s">
        <v>320</v>
      </c>
      <c r="B172" s="80" t="s">
        <v>321</v>
      </c>
      <c r="C172" s="237">
        <v>86</v>
      </c>
    </row>
    <row r="173" spans="1:3" x14ac:dyDescent="0.25">
      <c r="A173" s="235" t="s">
        <v>322</v>
      </c>
      <c r="B173" s="80" t="s">
        <v>323</v>
      </c>
      <c r="C173" s="237">
        <v>87</v>
      </c>
    </row>
    <row r="174" spans="1:3" ht="45" x14ac:dyDescent="0.25">
      <c r="A174" s="235" t="s">
        <v>324</v>
      </c>
      <c r="B174" s="80" t="s">
        <v>325</v>
      </c>
      <c r="C174" s="237">
        <v>88</v>
      </c>
    </row>
    <row r="175" spans="1:3" ht="30" x14ac:dyDescent="0.25">
      <c r="A175" s="235" t="s">
        <v>326</v>
      </c>
      <c r="B175" s="80" t="s">
        <v>327</v>
      </c>
      <c r="C175" s="237">
        <v>89</v>
      </c>
    </row>
    <row r="176" spans="1:3" ht="45" x14ac:dyDescent="0.25">
      <c r="A176" s="235" t="s">
        <v>328</v>
      </c>
      <c r="B176" s="80" t="s">
        <v>329</v>
      </c>
      <c r="C176" s="237">
        <v>90</v>
      </c>
    </row>
    <row r="177" spans="1:3" x14ac:dyDescent="0.25">
      <c r="A177" s="235" t="s">
        <v>330</v>
      </c>
      <c r="B177" s="80" t="s">
        <v>331</v>
      </c>
      <c r="C177" s="237">
        <v>91</v>
      </c>
    </row>
    <row r="178" spans="1:3" ht="30" x14ac:dyDescent="0.25">
      <c r="A178" s="235" t="s">
        <v>332</v>
      </c>
      <c r="B178" s="80" t="s">
        <v>333</v>
      </c>
      <c r="C178" s="237">
        <v>92</v>
      </c>
    </row>
    <row r="179" spans="1:3" ht="60" x14ac:dyDescent="0.25">
      <c r="A179" s="235" t="s">
        <v>334</v>
      </c>
      <c r="B179" s="80" t="s">
        <v>335</v>
      </c>
      <c r="C179" s="237">
        <v>93</v>
      </c>
    </row>
    <row r="180" spans="1:3" ht="60" x14ac:dyDescent="0.25">
      <c r="A180" s="235" t="s">
        <v>336</v>
      </c>
      <c r="B180" s="80" t="s">
        <v>337</v>
      </c>
      <c r="C180" s="237">
        <v>94</v>
      </c>
    </row>
  </sheetData>
  <sortState xmlns:xlrd2="http://schemas.microsoft.com/office/spreadsheetml/2017/richdata2" ref="B4:B7">
    <sortCondition ref="B4:B7"/>
  </sortState>
  <mergeCells count="8">
    <mergeCell ref="F75:F79"/>
    <mergeCell ref="F80:F84"/>
    <mergeCell ref="F42:F47"/>
    <mergeCell ref="F48:F52"/>
    <mergeCell ref="F53:F55"/>
    <mergeCell ref="F56:F58"/>
    <mergeCell ref="F59:F69"/>
    <mergeCell ref="F70:F7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249977111117893"/>
  </sheetPr>
  <dimension ref="A1:JP287"/>
  <sheetViews>
    <sheetView zoomScale="55" zoomScaleNormal="55" zoomScaleSheetLayoutView="50" zoomScalePageLayoutView="60" workbookViewId="0">
      <selection activeCell="A10" sqref="A10:A15"/>
    </sheetView>
  </sheetViews>
  <sheetFormatPr baseColWidth="10" defaultColWidth="11.42578125" defaultRowHeight="15" x14ac:dyDescent="0.2"/>
  <cols>
    <col min="1" max="1" width="6.5703125" style="153" customWidth="1"/>
    <col min="2" max="2" width="20.7109375" style="153" customWidth="1"/>
    <col min="3" max="3" width="22.7109375" style="153" customWidth="1"/>
    <col min="4" max="4" width="23.42578125" style="153" customWidth="1"/>
    <col min="5" max="5" width="28.140625" style="303" customWidth="1"/>
    <col min="6" max="6" width="25.28515625" style="153" customWidth="1"/>
    <col min="7" max="7" width="58.5703125" style="153" customWidth="1"/>
    <col min="8" max="8" width="21" style="135" customWidth="1"/>
    <col min="9" max="9" width="17.7109375" style="135" customWidth="1"/>
    <col min="10" max="12" width="27.5703125" style="135" customWidth="1"/>
    <col min="13" max="13" width="26" style="135" customWidth="1"/>
    <col min="14" max="14" width="20.5703125" style="135" customWidth="1"/>
    <col min="15" max="15" width="16.7109375" style="154" customWidth="1"/>
    <col min="16" max="16" width="16.7109375" style="135" customWidth="1"/>
    <col min="17" max="17" width="20.42578125" style="135" hidden="1" customWidth="1"/>
    <col min="18" max="18" width="23.28515625" style="135" customWidth="1"/>
    <col min="19" max="19" width="23.28515625" style="135" hidden="1" customWidth="1"/>
    <col min="20" max="20" width="23.28515625" style="135" customWidth="1"/>
    <col min="21" max="21" width="17.5703125" style="135" hidden="1" customWidth="1"/>
    <col min="22" max="22" width="15" style="135" customWidth="1"/>
    <col min="23" max="23" width="5.140625" style="135" customWidth="1"/>
    <col min="24" max="24" width="29.85546875" style="135" hidden="1" customWidth="1"/>
    <col min="25" max="25" width="11.7109375" style="135" hidden="1" customWidth="1"/>
    <col min="26" max="26" width="33.5703125" style="135" hidden="1" customWidth="1"/>
    <col min="27" max="27" width="66.42578125" style="135" customWidth="1"/>
    <col min="28" max="28" width="19.7109375" style="135" hidden="1" customWidth="1"/>
    <col min="29" max="29" width="5.85546875" style="135" customWidth="1"/>
    <col min="30" max="30" width="6.85546875" style="135" customWidth="1"/>
    <col min="31" max="31" width="5" style="135" hidden="1" customWidth="1"/>
    <col min="32" max="32" width="5.5703125" style="135" hidden="1" customWidth="1"/>
    <col min="33" max="33" width="7.140625" style="135" hidden="1" customWidth="1"/>
    <col min="34" max="34" width="6.7109375" style="135" hidden="1" customWidth="1"/>
    <col min="35" max="35" width="7.5703125" style="135" hidden="1" customWidth="1"/>
    <col min="36" max="36" width="8.5703125" style="135" hidden="1" customWidth="1"/>
    <col min="37" max="39" width="10.85546875" style="135" hidden="1" customWidth="1"/>
    <col min="40" max="40" width="10.85546875" style="135" customWidth="1"/>
    <col min="41" max="41" width="5.140625" style="135" customWidth="1"/>
    <col min="42" max="42" width="33.28515625" style="152" hidden="1" customWidth="1"/>
    <col min="43" max="43" width="23" style="135" hidden="1" customWidth="1"/>
    <col min="44" max="44" width="18.85546875" style="135" hidden="1" customWidth="1"/>
    <col min="45" max="45" width="23.7109375" style="135" hidden="1" customWidth="1"/>
    <col min="46" max="46" width="22.42578125" style="135" hidden="1" customWidth="1"/>
    <col min="47" max="47" width="16.42578125" style="135" hidden="1" customWidth="1"/>
    <col min="48" max="48" width="20.5703125" style="135" hidden="1" customWidth="1"/>
    <col min="49" max="16384" width="11.42578125" style="135"/>
  </cols>
  <sheetData>
    <row r="1" spans="1:276" s="137" customFormat="1" ht="21" thickBot="1" x14ac:dyDescent="0.35">
      <c r="A1" s="439"/>
      <c r="B1" s="440"/>
      <c r="C1" s="441"/>
      <c r="D1" s="442"/>
      <c r="E1" s="461" t="s">
        <v>1059</v>
      </c>
      <c r="F1" s="461"/>
      <c r="G1" s="461"/>
      <c r="H1" s="461"/>
      <c r="I1" s="461"/>
      <c r="J1" s="461"/>
      <c r="K1" s="461"/>
      <c r="L1" s="461"/>
      <c r="M1" s="461"/>
      <c r="N1" s="461"/>
      <c r="O1" s="461"/>
      <c r="P1" s="461"/>
      <c r="Q1" s="461"/>
      <c r="R1" s="461"/>
      <c r="S1" s="461"/>
      <c r="T1" s="461"/>
      <c r="U1" s="461"/>
      <c r="V1" s="175"/>
      <c r="W1" s="175"/>
      <c r="X1" s="175"/>
      <c r="Y1" s="175"/>
      <c r="Z1" s="175"/>
      <c r="AA1" s="175"/>
      <c r="AB1" s="458"/>
      <c r="AC1" s="458"/>
      <c r="AD1" s="458"/>
      <c r="AE1" s="458"/>
      <c r="AF1" s="458"/>
      <c r="AG1" s="458"/>
      <c r="AH1" s="458"/>
      <c r="AI1" s="458"/>
      <c r="AJ1" s="458"/>
      <c r="AK1" s="458"/>
      <c r="AL1" s="458"/>
      <c r="AM1" s="458"/>
      <c r="AN1" s="458"/>
      <c r="AO1" s="458"/>
      <c r="AP1" s="458"/>
      <c r="AQ1" s="458"/>
      <c r="AR1" s="458"/>
      <c r="AS1" s="458"/>
      <c r="AT1" s="458"/>
      <c r="AU1" s="458"/>
      <c r="AV1" s="458"/>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row>
    <row r="2" spans="1:276" s="137" customFormat="1" ht="21" thickBot="1" x14ac:dyDescent="0.35">
      <c r="A2" s="443"/>
      <c r="B2" s="444"/>
      <c r="C2" s="445"/>
      <c r="D2" s="446"/>
      <c r="E2" s="461"/>
      <c r="F2" s="461"/>
      <c r="G2" s="461"/>
      <c r="H2" s="461"/>
      <c r="I2" s="461"/>
      <c r="J2" s="461"/>
      <c r="K2" s="461"/>
      <c r="L2" s="461"/>
      <c r="M2" s="461"/>
      <c r="N2" s="461"/>
      <c r="O2" s="461"/>
      <c r="P2" s="461"/>
      <c r="Q2" s="461"/>
      <c r="R2" s="461"/>
      <c r="S2" s="461"/>
      <c r="T2" s="461"/>
      <c r="U2" s="461"/>
      <c r="V2" s="175"/>
      <c r="W2" s="175"/>
      <c r="X2" s="175"/>
      <c r="Y2" s="175"/>
      <c r="Z2" s="175"/>
      <c r="AA2" s="175"/>
      <c r="AB2" s="458"/>
      <c r="AC2" s="458"/>
      <c r="AD2" s="458"/>
      <c r="AE2" s="458"/>
      <c r="AF2" s="458"/>
      <c r="AG2" s="458"/>
      <c r="AH2" s="458"/>
      <c r="AI2" s="458"/>
      <c r="AJ2" s="458"/>
      <c r="AK2" s="458"/>
      <c r="AL2" s="458"/>
      <c r="AM2" s="458"/>
      <c r="AN2" s="458"/>
      <c r="AO2" s="458"/>
      <c r="AP2" s="458"/>
      <c r="AQ2" s="458"/>
      <c r="AR2" s="458"/>
      <c r="AS2" s="458"/>
      <c r="AT2" s="458"/>
      <c r="AU2" s="458"/>
      <c r="AV2" s="458"/>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row>
    <row r="3" spans="1:276" s="137" customFormat="1" ht="27.75" customHeight="1" thickBot="1" x14ac:dyDescent="0.35">
      <c r="A3" s="443"/>
      <c r="B3" s="444"/>
      <c r="C3" s="445"/>
      <c r="D3" s="446"/>
      <c r="E3" s="462" t="s">
        <v>575</v>
      </c>
      <c r="F3" s="462"/>
      <c r="G3" s="462"/>
      <c r="H3" s="462"/>
      <c r="I3" s="462"/>
      <c r="J3" s="462"/>
      <c r="K3" s="462" t="s">
        <v>340</v>
      </c>
      <c r="L3" s="462"/>
      <c r="M3" s="462"/>
      <c r="N3" s="462"/>
      <c r="O3" s="462"/>
      <c r="P3" s="462"/>
      <c r="Q3" s="462"/>
      <c r="R3" s="462"/>
      <c r="S3" s="462"/>
      <c r="T3" s="462"/>
      <c r="U3" s="462"/>
      <c r="V3" s="176"/>
      <c r="W3" s="176"/>
      <c r="X3" s="176"/>
      <c r="Y3" s="176"/>
      <c r="Z3" s="176"/>
      <c r="AA3" s="175"/>
      <c r="AB3" s="459"/>
      <c r="AC3" s="459"/>
      <c r="AD3" s="459"/>
      <c r="AE3" s="459"/>
      <c r="AF3" s="459"/>
      <c r="AG3" s="459"/>
      <c r="AH3" s="459"/>
      <c r="AI3" s="459"/>
      <c r="AJ3" s="459"/>
      <c r="AK3" s="459"/>
      <c r="AL3" s="459"/>
      <c r="AM3" s="459"/>
      <c r="AN3" s="459"/>
      <c r="AO3" s="459"/>
      <c r="AP3" s="459"/>
      <c r="AQ3" s="459"/>
      <c r="AR3" s="459"/>
      <c r="AS3" s="459"/>
      <c r="AT3" s="459"/>
      <c r="AU3" s="459"/>
      <c r="AV3" s="459"/>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row>
    <row r="4" spans="1:276" s="137" customFormat="1" ht="27.75" customHeight="1" thickBot="1" x14ac:dyDescent="0.35">
      <c r="A4" s="447"/>
      <c r="B4" s="448"/>
      <c r="C4" s="449"/>
      <c r="D4" s="450"/>
      <c r="E4" s="462" t="s">
        <v>576</v>
      </c>
      <c r="F4" s="462"/>
      <c r="G4" s="462"/>
      <c r="H4" s="462"/>
      <c r="I4" s="462"/>
      <c r="J4" s="462"/>
      <c r="K4" s="462"/>
      <c r="L4" s="462"/>
      <c r="M4" s="462"/>
      <c r="N4" s="462"/>
      <c r="O4" s="462"/>
      <c r="P4" s="462"/>
      <c r="Q4" s="462"/>
      <c r="R4" s="462"/>
      <c r="S4" s="462"/>
      <c r="T4" s="462"/>
      <c r="U4" s="462"/>
      <c r="V4" s="175"/>
      <c r="W4" s="175"/>
      <c r="X4" s="175"/>
      <c r="Y4" s="175"/>
      <c r="Z4" s="175"/>
      <c r="AA4" s="175"/>
      <c r="AB4" s="459"/>
      <c r="AC4" s="459"/>
      <c r="AD4" s="459"/>
      <c r="AE4" s="459"/>
      <c r="AF4" s="459"/>
      <c r="AG4" s="459"/>
      <c r="AH4" s="459"/>
      <c r="AI4" s="459"/>
      <c r="AJ4" s="459"/>
      <c r="AK4" s="459"/>
      <c r="AL4" s="459"/>
      <c r="AM4" s="459"/>
      <c r="AN4" s="459"/>
      <c r="AO4" s="459"/>
      <c r="AP4" s="459"/>
      <c r="AQ4" s="459"/>
      <c r="AR4" s="459"/>
      <c r="AS4" s="459"/>
      <c r="AT4" s="459"/>
      <c r="AU4" s="459"/>
      <c r="AV4" s="459"/>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row>
    <row r="5" spans="1:276" x14ac:dyDescent="0.2">
      <c r="A5" s="138"/>
      <c r="B5" s="138"/>
      <c r="C5" s="139"/>
      <c r="D5" s="138"/>
      <c r="E5" s="139"/>
      <c r="F5" s="138"/>
      <c r="G5" s="138"/>
      <c r="H5" s="140"/>
      <c r="I5" s="140"/>
      <c r="J5" s="140"/>
      <c r="K5" s="140"/>
      <c r="L5" s="140"/>
      <c r="M5" s="140"/>
      <c r="N5" s="140"/>
      <c r="O5" s="141"/>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77"/>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row>
    <row r="6" spans="1:276" ht="15.75" x14ac:dyDescent="0.25">
      <c r="A6" s="142"/>
      <c r="B6" s="142" t="s">
        <v>1060</v>
      </c>
      <c r="C6" s="142">
        <v>2025</v>
      </c>
      <c r="D6" s="143"/>
      <c r="E6" s="143"/>
      <c r="F6" s="143"/>
      <c r="G6" s="143"/>
      <c r="H6" s="143"/>
      <c r="I6" s="143"/>
      <c r="J6" s="143"/>
      <c r="K6" s="143"/>
      <c r="L6" s="143"/>
      <c r="M6" s="143"/>
      <c r="N6" s="143"/>
      <c r="O6" s="143"/>
      <c r="P6" s="143"/>
      <c r="Q6" s="143"/>
      <c r="R6" s="143"/>
      <c r="S6" s="143"/>
      <c r="T6" s="143"/>
      <c r="U6" s="143"/>
      <c r="V6" s="143"/>
      <c r="W6" s="143"/>
      <c r="X6" s="143"/>
      <c r="Y6" s="143"/>
      <c r="Z6" s="143"/>
      <c r="AA6" s="144"/>
      <c r="AB6" s="144"/>
      <c r="AC6" s="144"/>
      <c r="AD6" s="145"/>
      <c r="AE6" s="145"/>
      <c r="AF6" s="145"/>
      <c r="AG6" s="145"/>
      <c r="AH6" s="145"/>
      <c r="AI6" s="145"/>
      <c r="AJ6" s="145"/>
      <c r="AK6" s="145"/>
      <c r="AL6" s="145"/>
      <c r="AM6" s="145"/>
      <c r="AN6" s="145"/>
      <c r="AO6" s="145"/>
      <c r="AP6" s="145"/>
      <c r="AQ6" s="145"/>
      <c r="AR6" s="145"/>
      <c r="AS6" s="145"/>
      <c r="AT6" s="145"/>
      <c r="AU6" s="145"/>
      <c r="AV6" s="145"/>
    </row>
    <row r="7" spans="1:276" ht="27.75" customHeight="1" x14ac:dyDescent="0.2">
      <c r="A7" s="454" t="s">
        <v>345</v>
      </c>
      <c r="B7" s="455"/>
      <c r="C7" s="455"/>
      <c r="D7" s="455"/>
      <c r="E7" s="455"/>
      <c r="F7" s="455"/>
      <c r="G7" s="455"/>
      <c r="H7" s="456"/>
      <c r="I7" s="474" t="s">
        <v>346</v>
      </c>
      <c r="J7" s="475"/>
      <c r="K7" s="475"/>
      <c r="L7" s="476"/>
      <c r="M7" s="485" t="s">
        <v>347</v>
      </c>
      <c r="N7" s="486"/>
      <c r="O7" s="482" t="s">
        <v>348</v>
      </c>
      <c r="P7" s="483"/>
      <c r="Q7" s="483"/>
      <c r="R7" s="483"/>
      <c r="S7" s="483"/>
      <c r="T7" s="483"/>
      <c r="U7" s="483"/>
      <c r="V7" s="483"/>
      <c r="W7" s="455" t="s">
        <v>349</v>
      </c>
      <c r="X7" s="455"/>
      <c r="Y7" s="455"/>
      <c r="Z7" s="455"/>
      <c r="AA7" s="455"/>
      <c r="AB7" s="455"/>
      <c r="AC7" s="455"/>
      <c r="AD7" s="455"/>
      <c r="AE7" s="455"/>
      <c r="AF7" s="455"/>
      <c r="AG7" s="455"/>
      <c r="AH7" s="455"/>
      <c r="AI7" s="456"/>
      <c r="AJ7" s="477" t="s">
        <v>350</v>
      </c>
      <c r="AK7" s="478"/>
      <c r="AL7" s="478"/>
      <c r="AM7" s="478"/>
      <c r="AN7" s="479"/>
      <c r="AO7" s="454" t="s">
        <v>351</v>
      </c>
      <c r="AP7" s="455"/>
      <c r="AQ7" s="455"/>
      <c r="AR7" s="455"/>
      <c r="AS7" s="456"/>
      <c r="AT7" s="474" t="s">
        <v>352</v>
      </c>
      <c r="AU7" s="475"/>
      <c r="AV7" s="476"/>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row>
    <row r="8" spans="1:276" ht="15.75" customHeight="1" x14ac:dyDescent="0.2">
      <c r="A8" s="472" t="s">
        <v>353</v>
      </c>
      <c r="B8" s="487" t="s">
        <v>342</v>
      </c>
      <c r="C8" s="457" t="s">
        <v>354</v>
      </c>
      <c r="D8" s="457" t="s">
        <v>355</v>
      </c>
      <c r="E8" s="457" t="s">
        <v>356</v>
      </c>
      <c r="F8" s="457" t="s">
        <v>357</v>
      </c>
      <c r="G8" s="457" t="s">
        <v>358</v>
      </c>
      <c r="H8" s="457" t="s">
        <v>1</v>
      </c>
      <c r="I8" s="468" t="s">
        <v>56</v>
      </c>
      <c r="J8" s="468" t="s">
        <v>359</v>
      </c>
      <c r="K8" s="468" t="s">
        <v>360</v>
      </c>
      <c r="L8" s="468" t="s">
        <v>361</v>
      </c>
      <c r="M8" s="485"/>
      <c r="N8" s="486"/>
      <c r="O8" s="480" t="s">
        <v>362</v>
      </c>
      <c r="P8" s="480" t="s">
        <v>363</v>
      </c>
      <c r="Q8" s="460" t="s">
        <v>364</v>
      </c>
      <c r="R8" s="480" t="s">
        <v>365</v>
      </c>
      <c r="S8" s="480" t="s">
        <v>366</v>
      </c>
      <c r="T8" s="480" t="s">
        <v>367</v>
      </c>
      <c r="U8" s="460" t="s">
        <v>364</v>
      </c>
      <c r="V8" s="480" t="s">
        <v>368</v>
      </c>
      <c r="W8" s="471" t="s">
        <v>369</v>
      </c>
      <c r="X8" s="186"/>
      <c r="Y8" s="186"/>
      <c r="Z8" s="186"/>
      <c r="AA8" s="457" t="s">
        <v>2</v>
      </c>
      <c r="AB8" s="457" t="s">
        <v>3</v>
      </c>
      <c r="AC8" s="457" t="s">
        <v>370</v>
      </c>
      <c r="AD8" s="457"/>
      <c r="AE8" s="457"/>
      <c r="AF8" s="457"/>
      <c r="AG8" s="457"/>
      <c r="AH8" s="457"/>
      <c r="AI8" s="471" t="s">
        <v>371</v>
      </c>
      <c r="AJ8" s="463" t="s">
        <v>372</v>
      </c>
      <c r="AK8" s="463" t="s">
        <v>364</v>
      </c>
      <c r="AL8" s="463" t="s">
        <v>373</v>
      </c>
      <c r="AM8" s="463" t="s">
        <v>364</v>
      </c>
      <c r="AN8" s="463" t="s">
        <v>374</v>
      </c>
      <c r="AO8" s="471" t="s">
        <v>4</v>
      </c>
      <c r="AP8" s="457" t="s">
        <v>375</v>
      </c>
      <c r="AQ8" s="457" t="s">
        <v>376</v>
      </c>
      <c r="AR8" s="457" t="s">
        <v>377</v>
      </c>
      <c r="AS8" s="457" t="s">
        <v>378</v>
      </c>
      <c r="AT8" s="481" t="s">
        <v>379</v>
      </c>
      <c r="AU8" s="481" t="s">
        <v>380</v>
      </c>
      <c r="AV8" s="481" t="s">
        <v>376</v>
      </c>
      <c r="AW8" s="140"/>
      <c r="AX8" s="140"/>
      <c r="AY8" s="140"/>
      <c r="AZ8" s="140"/>
      <c r="BA8" s="140"/>
      <c r="BB8" s="140"/>
      <c r="BC8" s="140"/>
      <c r="BD8" s="140"/>
      <c r="BE8" s="140"/>
      <c r="BF8" s="140"/>
      <c r="BG8" s="140"/>
      <c r="BH8" s="140"/>
      <c r="BI8" s="140"/>
      <c r="BJ8" s="140"/>
      <c r="BK8" s="140"/>
      <c r="BL8" s="140"/>
      <c r="BM8" s="140"/>
      <c r="BN8" s="140"/>
      <c r="BO8" s="140"/>
      <c r="BP8" s="140"/>
      <c r="BQ8" s="140"/>
      <c r="BR8" s="140"/>
      <c r="BS8" s="140"/>
    </row>
    <row r="9" spans="1:276" s="148" customFormat="1" ht="69" customHeight="1" x14ac:dyDescent="0.25">
      <c r="A9" s="472"/>
      <c r="B9" s="487"/>
      <c r="C9" s="467"/>
      <c r="D9" s="457"/>
      <c r="E9" s="457"/>
      <c r="F9" s="457"/>
      <c r="G9" s="467"/>
      <c r="H9" s="457"/>
      <c r="I9" s="469"/>
      <c r="J9" s="469"/>
      <c r="K9" s="469"/>
      <c r="L9" s="469"/>
      <c r="M9" s="185" t="s">
        <v>381</v>
      </c>
      <c r="N9" s="185" t="s">
        <v>382</v>
      </c>
      <c r="O9" s="480"/>
      <c r="P9" s="480"/>
      <c r="Q9" s="460"/>
      <c r="R9" s="480"/>
      <c r="S9" s="480"/>
      <c r="T9" s="460"/>
      <c r="U9" s="460"/>
      <c r="V9" s="480"/>
      <c r="W9" s="471"/>
      <c r="X9" s="184" t="s">
        <v>383</v>
      </c>
      <c r="Y9" s="184" t="s">
        <v>379</v>
      </c>
      <c r="Z9" s="184" t="s">
        <v>384</v>
      </c>
      <c r="AA9" s="457"/>
      <c r="AB9" s="457"/>
      <c r="AC9" s="183" t="s">
        <v>385</v>
      </c>
      <c r="AD9" s="183" t="s">
        <v>386</v>
      </c>
      <c r="AE9" s="183" t="s">
        <v>387</v>
      </c>
      <c r="AF9" s="183" t="s">
        <v>388</v>
      </c>
      <c r="AG9" s="183" t="s">
        <v>389</v>
      </c>
      <c r="AH9" s="183" t="s">
        <v>390</v>
      </c>
      <c r="AI9" s="471"/>
      <c r="AJ9" s="463"/>
      <c r="AK9" s="463"/>
      <c r="AL9" s="463"/>
      <c r="AM9" s="463"/>
      <c r="AN9" s="463"/>
      <c r="AO9" s="471"/>
      <c r="AP9" s="457"/>
      <c r="AQ9" s="457"/>
      <c r="AR9" s="457"/>
      <c r="AS9" s="457"/>
      <c r="AT9" s="481"/>
      <c r="AU9" s="481"/>
      <c r="AV9" s="481"/>
      <c r="AW9" s="146"/>
      <c r="AX9" s="146"/>
      <c r="AY9" s="146"/>
      <c r="AZ9" s="146"/>
      <c r="BA9" s="146"/>
      <c r="BB9" s="146"/>
      <c r="BC9" s="146"/>
      <c r="BD9" s="146"/>
      <c r="BE9" s="146"/>
      <c r="BF9" s="146"/>
      <c r="BG9" s="146"/>
      <c r="BH9" s="146"/>
      <c r="BI9" s="146"/>
      <c r="BJ9" s="146"/>
      <c r="BK9" s="146"/>
      <c r="BL9" s="146"/>
      <c r="BM9" s="146"/>
      <c r="BN9" s="146"/>
      <c r="BO9" s="146"/>
      <c r="BP9" s="146"/>
      <c r="BQ9" s="146"/>
      <c r="BR9" s="146"/>
      <c r="BS9" s="146"/>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c r="DB9" s="147"/>
      <c r="DC9" s="147"/>
      <c r="DD9" s="147"/>
      <c r="DE9" s="147"/>
      <c r="DF9" s="147"/>
      <c r="DG9" s="147"/>
      <c r="DH9" s="147"/>
      <c r="DI9" s="147"/>
      <c r="DJ9" s="147"/>
      <c r="DK9" s="147"/>
      <c r="DL9" s="147"/>
      <c r="DM9" s="147"/>
      <c r="DN9" s="147"/>
      <c r="DO9" s="147"/>
      <c r="DP9" s="147"/>
      <c r="DQ9" s="147"/>
      <c r="DR9" s="147"/>
      <c r="DS9" s="147"/>
      <c r="DT9" s="147"/>
      <c r="DU9" s="147"/>
      <c r="DV9" s="147"/>
      <c r="DW9" s="147"/>
      <c r="DX9" s="147"/>
      <c r="DY9" s="147"/>
      <c r="DZ9" s="147"/>
      <c r="EA9" s="147"/>
      <c r="EB9" s="147"/>
      <c r="EC9" s="147"/>
      <c r="ED9" s="147"/>
      <c r="EE9" s="147"/>
      <c r="EF9" s="147"/>
      <c r="EG9" s="147"/>
      <c r="EH9" s="147"/>
      <c r="EI9" s="147"/>
      <c r="EJ9" s="147"/>
      <c r="EK9" s="147"/>
      <c r="EL9" s="147"/>
      <c r="EM9" s="147"/>
      <c r="EN9" s="147"/>
      <c r="EO9" s="147"/>
      <c r="EP9" s="147"/>
      <c r="EQ9" s="147"/>
      <c r="ER9" s="147"/>
      <c r="ES9" s="147"/>
      <c r="ET9" s="147"/>
      <c r="EU9" s="147"/>
      <c r="EV9" s="147"/>
      <c r="EW9" s="147"/>
      <c r="EX9" s="147"/>
      <c r="EY9" s="147"/>
      <c r="EZ9" s="147"/>
      <c r="FA9" s="147"/>
      <c r="FB9" s="147"/>
      <c r="FC9" s="147"/>
      <c r="FD9" s="147"/>
      <c r="FE9" s="147"/>
      <c r="FF9" s="147"/>
      <c r="FG9" s="147"/>
      <c r="FH9" s="147"/>
      <c r="FI9" s="147"/>
      <c r="FJ9" s="147"/>
      <c r="FK9" s="147"/>
      <c r="FL9" s="147"/>
      <c r="FM9" s="147"/>
      <c r="FN9" s="147"/>
      <c r="FO9" s="147"/>
      <c r="FP9" s="147"/>
      <c r="FQ9" s="147"/>
      <c r="FR9" s="147"/>
      <c r="FS9" s="147"/>
      <c r="FT9" s="147"/>
      <c r="FU9" s="147"/>
      <c r="FV9" s="147"/>
      <c r="FW9" s="147"/>
      <c r="FX9" s="147"/>
      <c r="FY9" s="147"/>
      <c r="FZ9" s="147"/>
      <c r="GA9" s="147"/>
      <c r="GB9" s="147"/>
      <c r="GC9" s="147"/>
      <c r="GD9" s="147"/>
      <c r="GE9" s="147"/>
      <c r="GF9" s="147"/>
      <c r="GG9" s="147"/>
      <c r="GH9" s="147"/>
      <c r="GI9" s="147"/>
      <c r="GJ9" s="147"/>
      <c r="GK9" s="147"/>
      <c r="GL9" s="147"/>
      <c r="GM9" s="147"/>
      <c r="GN9" s="147"/>
      <c r="GO9" s="147"/>
      <c r="GP9" s="147"/>
      <c r="GQ9" s="147"/>
      <c r="GR9" s="147"/>
      <c r="GS9" s="147"/>
      <c r="GT9" s="147"/>
      <c r="GU9" s="147"/>
      <c r="GV9" s="147"/>
      <c r="GW9" s="147"/>
      <c r="GX9" s="147"/>
      <c r="GY9" s="147"/>
      <c r="GZ9" s="147"/>
      <c r="HA9" s="147"/>
      <c r="HB9" s="147"/>
      <c r="HC9" s="147"/>
      <c r="HD9" s="147"/>
      <c r="HE9" s="147"/>
      <c r="HF9" s="147"/>
      <c r="HG9" s="147"/>
      <c r="HH9" s="147"/>
      <c r="HI9" s="147"/>
      <c r="HJ9" s="147"/>
      <c r="HK9" s="147"/>
      <c r="HL9" s="147"/>
      <c r="HM9" s="147"/>
      <c r="HN9" s="147"/>
      <c r="HO9" s="147"/>
      <c r="HP9" s="147"/>
      <c r="HQ9" s="147"/>
      <c r="HR9" s="147"/>
      <c r="HS9" s="147"/>
      <c r="HT9" s="147"/>
      <c r="HU9" s="147"/>
      <c r="HV9" s="147"/>
      <c r="HW9" s="147"/>
      <c r="HX9" s="147"/>
      <c r="HY9" s="147"/>
      <c r="HZ9" s="147"/>
      <c r="IA9" s="147"/>
      <c r="IB9" s="147"/>
      <c r="IC9" s="147"/>
      <c r="ID9" s="147"/>
      <c r="IE9" s="147"/>
      <c r="IF9" s="147"/>
      <c r="IG9" s="147"/>
      <c r="IH9" s="147"/>
      <c r="II9" s="147"/>
      <c r="IJ9" s="147"/>
      <c r="IK9" s="147"/>
      <c r="IL9" s="147"/>
      <c r="IM9" s="147"/>
      <c r="IN9" s="147"/>
      <c r="IO9" s="147"/>
      <c r="IP9" s="147"/>
      <c r="IQ9" s="147"/>
      <c r="IR9" s="147"/>
      <c r="IS9" s="147"/>
      <c r="IT9" s="147"/>
      <c r="IU9" s="147"/>
      <c r="IV9" s="147"/>
      <c r="IW9" s="147"/>
      <c r="IX9" s="147"/>
      <c r="IY9" s="147"/>
      <c r="IZ9" s="147"/>
      <c r="JA9" s="147"/>
      <c r="JB9" s="147"/>
      <c r="JC9" s="147"/>
      <c r="JD9" s="147"/>
      <c r="JE9" s="147"/>
      <c r="JF9" s="147"/>
      <c r="JG9" s="147"/>
      <c r="JH9" s="147"/>
      <c r="JI9" s="147"/>
      <c r="JJ9" s="147"/>
      <c r="JK9" s="147"/>
      <c r="JL9" s="147"/>
      <c r="JM9" s="147"/>
      <c r="JN9" s="147"/>
      <c r="JO9" s="147"/>
      <c r="JP9" s="147"/>
    </row>
    <row r="10" spans="1:276" s="150" customFormat="1" ht="21.75" customHeight="1" x14ac:dyDescent="0.25">
      <c r="A10" s="398">
        <v>1</v>
      </c>
      <c r="B10" s="399" t="s">
        <v>546</v>
      </c>
      <c r="C10" s="399" t="s">
        <v>44</v>
      </c>
      <c r="D10" s="484" t="s">
        <v>566</v>
      </c>
      <c r="E10" s="423" t="s">
        <v>567</v>
      </c>
      <c r="F10" s="399" t="s">
        <v>572</v>
      </c>
      <c r="G10" s="401" t="str">
        <f>+CONCATENATE(C10," ",D10," ",E10)</f>
        <v>Posibilidad de afectación Económica y Reputacional por incumplimiento en la ejecución de las actividades y metas asociadas a los proyectos de inversión de la entidad Debido a la falta o inoportunidad de seguimientos a la gestión Institucional</v>
      </c>
      <c r="H10" s="400" t="s">
        <v>391</v>
      </c>
      <c r="I10" s="402" t="s">
        <v>62</v>
      </c>
      <c r="J10" s="423" t="s">
        <v>577</v>
      </c>
      <c r="K10" s="423" t="s">
        <v>578</v>
      </c>
      <c r="L10" s="484" t="s">
        <v>579</v>
      </c>
      <c r="M10" s="399" t="s">
        <v>63</v>
      </c>
      <c r="N10" s="399" t="s">
        <v>42</v>
      </c>
      <c r="O10" s="416">
        <v>24</v>
      </c>
      <c r="P10" s="417" t="str">
        <f>IF(O10&lt;=0,"",IF(O10&lt;=2,"Muy Baja",IF(O10&lt;=24,"Baja",IF(O10&lt;=500,"Media",IF(O10&lt;=5000,"Alta","Muy Alta")))))</f>
        <v>Baja</v>
      </c>
      <c r="Q10" s="405">
        <f>IF(P10="","",IF(P10="Muy Baja",0.2,IF(P10="Baja",0.4,IF(P10="Media",0.6,IF(P10="Alta",0.8,IF(P10="Muy Alta",1,))))))</f>
        <v>0.4</v>
      </c>
      <c r="R10" s="406" t="s">
        <v>428</v>
      </c>
      <c r="S10" s="405" t="str">
        <f>IF(NOT(ISERROR(MATCH(R10,'Tabla Impacto'!$B$245:$B$247,0))),'Tabla Impacto'!$F$224&amp;"Por favor no seleccionar los criterios de impacto(Afectación Económica o presupuestal y Pérdida Reputacional)",R10)</f>
        <v xml:space="preserve">     El riesgo afecta la imagen de la entidad con algunos usuarios de relevancia frente al logro de los objetivos</v>
      </c>
      <c r="T10" s="417" t="str">
        <f>IF(OR(S10='Tabla Impacto'!$C$12,S10='Tabla Impacto'!$D$12),"Leve",IF(OR(S10='Tabla Impacto'!$C$13,S10='Tabla Impacto'!$D$13),"Menor",IF(OR(S10='Tabla Impacto'!$C$14,S10='Tabla Impacto'!$D$14),"Moderado",IF(OR(S10='Tabla Impacto'!$C$15,S10='Tabla Impacto'!$D$15),"Mayor",IF(OR(S10='Tabla Impacto'!$C$16,S10='Tabla Impacto'!$D$16),"Catastrófico","")))))</f>
        <v>Moderado</v>
      </c>
      <c r="U10" s="405">
        <f>IF(T10="","",IF(T10="Leve",0.2,IF(T10="Menor",0.4,IF(T10="Moderado",0.6,IF(T10="Mayor",0.8,IF(T10="Catastrófico",1,))))))</f>
        <v>0.6</v>
      </c>
      <c r="V10" s="418" t="str">
        <f>IF(OR(AND(P10="Muy Baja",T10="Leve"),AND(P10="Muy Baja",T10="Menor"),AND(P10="Baja",T10="Leve")),"Bajo",IF(OR(AND(P10="Muy baja",T10="Moderado"),AND(P10="Baja",T10="Menor"),AND(P10="Baja",T10="Moderado"),AND(P10="Media",T10="Leve"),AND(P10="Media",T10="Menor"),AND(P10="Media",T10="Moderado"),AND(P10="Alta",T10="Leve"),AND(P10="Alta",T10="Menor")),"Moderado",IF(OR(AND(P10="Muy Baja",T10="Mayor"),AND(P10="Baja",T10="Mayor"),AND(P10="Media",T10="Mayor"),AND(P10="Alta",T10="Moderado"),AND(P10="Alta",T10="Mayor"),AND(P10="Muy Alta",T10="Leve"),AND(P10="Muy Alta",T10="Menor"),AND(P10="Muy Alta",T10="Moderado"),AND(P10="Muy Alta",T10="Mayor")),"Alto",IF(OR(AND(P10="Muy Baja",T10="Catastrófico"),AND(P10="Baja",T10="Catastrófico"),AND(P10="Media",T10="Catastrófico"),AND(P10="Alta",T10="Catastrófico"),AND(P10="Muy Alta",T10="Catastrófico")),"Extremo",""))))</f>
        <v>Moderado</v>
      </c>
      <c r="W10" s="149">
        <v>1</v>
      </c>
      <c r="X10" s="309" t="s">
        <v>585</v>
      </c>
      <c r="Y10" s="309" t="s">
        <v>37</v>
      </c>
      <c r="Z10" s="336" t="s">
        <v>586</v>
      </c>
      <c r="AA10" s="304" t="str">
        <f>+CONCATENATE(X10," ",Y10," ",Z10)</f>
        <v>El designado por el jefe de la OAP Verifica mensualmente el reporte presentado por las dependencias  relacionado con el cumplimiento del avance  de las metas físicas de los proyectos de inversión. Como soporte quedan los reportes en las herramientas oficiales, correo de retroalimentación y/o soporte de mesa de trabajo
En caso de encontrar inconsistencias  en el reporte se realizá mesa de revisión con los responsables de los proyectos de inversión</v>
      </c>
      <c r="AB10" s="126" t="str">
        <f t="shared" ref="AB10:AB13" si="0">IF(OR(AC10="Preventivo",AC10="Detectivo"),"Probabilidad",IF(AC10="Correctivo","Impacto",""))</f>
        <v>Probabilidad</v>
      </c>
      <c r="AC10" s="311" t="s">
        <v>398</v>
      </c>
      <c r="AD10" s="127" t="s">
        <v>394</v>
      </c>
      <c r="AE10" s="128" t="str">
        <f>IF(AND(AC10="Preventivo",AD10="Automático"),"50%",IF(AND(AC10="Preventivo",AD10="Manual"),"40%",IF(AND(AC10="Detectivo",AD10="Automático"),"40%",IF(AND(AC10="Detectivo",AD10="Manual"),"30%",IF(AND(AC10="Correctivo",AD10="Automático"),"35%",IF(AND(AC10="Correctivo",AD10="Manual"),"25%",""))))))</f>
        <v>40%</v>
      </c>
      <c r="AF10" s="127" t="s">
        <v>395</v>
      </c>
      <c r="AG10" s="127" t="s">
        <v>395</v>
      </c>
      <c r="AH10" s="127" t="s">
        <v>397</v>
      </c>
      <c r="AI10" s="129">
        <f>IFERROR(IF(AB10="Probabilidad",(Q10-(+Q10*AE10)),IF(AB10="Impacto",Q10,"")),"")</f>
        <v>0.24</v>
      </c>
      <c r="AJ10" s="130" t="str">
        <f>IFERROR(IF(AI10="","",IF(AI10&lt;=0.2,"Muy Baja",IF(AI10&lt;=0.4,"Baja",IF(AI10&lt;=0.6,"Media",IF(AI10&lt;=0.8,"Alta","Muy Alta"))))),"")</f>
        <v>Baja</v>
      </c>
      <c r="AK10" s="128">
        <f>+AI10</f>
        <v>0.24</v>
      </c>
      <c r="AL10" s="130" t="str">
        <f>IFERROR(IF(AM10="","",IF(AM10&lt;=0.2,"Leve",IF(AM10&lt;=0.4,"Menor",IF(AM10&lt;=0.6,"Moderado",IF(AM10&lt;=0.8,"Mayor","Catastrófico"))))),"")</f>
        <v>Moderado</v>
      </c>
      <c r="AM10" s="128">
        <f>IFERROR(IF(AB10="Impacto",(U10-(+U10*AE10)),IF(AB10="Probabilidad",U10,"")),"")</f>
        <v>0.6</v>
      </c>
      <c r="AN10" s="131" t="str">
        <f>IFERROR(IF(OR(AND(AJ10="Muy Baja",AL10="Leve"),AND(AJ10="Muy Baja",AL10="Menor"),AND(AJ10="Baja",AL10="Leve")),"Bajo",IF(OR(AND(AJ10="Muy baja",AL10="Moderado"),AND(AJ10="Baja",AL10="Menor"),AND(AJ10="Baja",AL10="Moderado"),AND(AJ10="Media",AL10="Leve"),AND(AJ10="Media",AL10="Menor"),AND(AJ10="Media",AL10="Moderado"),AND(AJ10="Alta",AL10="Leve"),AND(AJ10="Alta",AL10="Menor")),"Moderado",IF(OR(AND(AJ10="Muy Baja",AL10="Mayor"),AND(AJ10="Baja",AL10="Mayor"),AND(AJ10="Media",AL10="Mayor"),AND(AJ10="Alta",AL10="Moderado"),AND(AJ10="Alta",AL10="Mayor"),AND(AJ10="Muy Alta",AL10="Leve"),AND(AJ10="Muy Alta",AL10="Menor"),AND(AJ10="Muy Alta",AL10="Moderado"),AND(AJ10="Muy Alta",AL10="Mayor")),"Alto",IF(OR(AND(AJ10="Muy Baja",AL10="Catastrófico"),AND(AJ10="Baja",AL10="Catastrófico"),AND(AJ10="Media",AL10="Catastrófico"),AND(AJ10="Alta",AL10="Catastrófico"),AND(AJ10="Muy Alta",AL10="Catastrófico")),"Extremo","")))),"")</f>
        <v>Moderado</v>
      </c>
      <c r="AO10" s="132"/>
      <c r="AP10" s="312" t="s">
        <v>596</v>
      </c>
      <c r="AQ10" s="313" t="s">
        <v>597</v>
      </c>
      <c r="AR10" s="312" t="s">
        <v>598</v>
      </c>
      <c r="AS10" s="314" t="s">
        <v>599</v>
      </c>
      <c r="AT10" s="400" t="s">
        <v>608</v>
      </c>
      <c r="AU10" s="400" t="s">
        <v>611</v>
      </c>
      <c r="AV10" s="400" t="s">
        <v>613</v>
      </c>
    </row>
    <row r="11" spans="1:276" ht="21.75" customHeight="1" x14ac:dyDescent="0.2">
      <c r="A11" s="398"/>
      <c r="B11" s="399"/>
      <c r="C11" s="399"/>
      <c r="D11" s="452"/>
      <c r="E11" s="423"/>
      <c r="F11" s="399"/>
      <c r="G11" s="401"/>
      <c r="H11" s="400"/>
      <c r="I11" s="403"/>
      <c r="J11" s="423"/>
      <c r="K11" s="423"/>
      <c r="L11" s="452"/>
      <c r="M11" s="399"/>
      <c r="N11" s="399"/>
      <c r="O11" s="416"/>
      <c r="P11" s="417"/>
      <c r="Q11" s="405"/>
      <c r="R11" s="406"/>
      <c r="S11" s="405">
        <f>IF(NOT(ISERROR(MATCH(R11,_xlfn.ANCHORARRAY(G22),0))),Q24&amp;"Por favor no seleccionar los criterios de impacto",R11)</f>
        <v>0</v>
      </c>
      <c r="T11" s="417"/>
      <c r="U11" s="405"/>
      <c r="V11" s="418"/>
      <c r="W11" s="149">
        <v>2</v>
      </c>
      <c r="X11" s="309" t="s">
        <v>585</v>
      </c>
      <c r="Y11" s="310" t="s">
        <v>37</v>
      </c>
      <c r="Z11" s="336" t="s">
        <v>587</v>
      </c>
      <c r="AA11" s="304" t="str">
        <f t="shared" ref="AA11:AA71" si="1">+CONCATENATE(X11," ",Y11," ",Z11)</f>
        <v>El designado por el jefe de la OAP Verifica  el corte presupuestal y consolida mensualmente el informe de ejecución de los proyectos de inversión mediante el cual se presentan observaciones, alertas y/o recomendaciones frente a su avance
Como soporte queda el informe ejecutivo de seguimiento a proyectos, En caso de tener observaciones, alertas,  se realizá mesa de revisión con los responsables de los proyectos de inversión</v>
      </c>
      <c r="AB11" s="126" t="str">
        <f t="shared" si="0"/>
        <v>Probabilidad</v>
      </c>
      <c r="AC11" s="311" t="s">
        <v>393</v>
      </c>
      <c r="AD11" s="127" t="s">
        <v>394</v>
      </c>
      <c r="AE11" s="128" t="str">
        <f t="shared" ref="AE11:AE15" si="2">IF(AND(AC11="Preventivo",AD11="Automático"),"50%",IF(AND(AC11="Preventivo",AD11="Manual"),"40%",IF(AND(AC11="Detectivo",AD11="Automático"),"40%",IF(AND(AC11="Detectivo",AD11="Manual"),"30%",IF(AND(AC11="Correctivo",AD11="Automático"),"35%",IF(AND(AC11="Correctivo",AD11="Manual"),"25%",""))))))</f>
        <v>30%</v>
      </c>
      <c r="AF11" s="127" t="s">
        <v>395</v>
      </c>
      <c r="AG11" s="127" t="s">
        <v>395</v>
      </c>
      <c r="AH11" s="127" t="s">
        <v>397</v>
      </c>
      <c r="AI11" s="129">
        <f>IFERROR(IF(AND(AB10="Probabilidad",AB11="Probabilidad"),(AK10-(+AK10*AE11)),IF(AB11="Probabilidad",(Q10-(+Q10*AE11)),IF(AB11="Impacto",AK10,""))),"")</f>
        <v>0.16799999999999998</v>
      </c>
      <c r="AJ11" s="130" t="str">
        <f t="shared" ref="AJ11:AJ71" si="3">IFERROR(IF(AI11="","",IF(AI11&lt;=0.2,"Muy Baja",IF(AI11&lt;=0.4,"Baja",IF(AI11&lt;=0.6,"Media",IF(AI11&lt;=0.8,"Alta","Muy Alta"))))),"")</f>
        <v>Muy Baja</v>
      </c>
      <c r="AK11" s="128">
        <f t="shared" ref="AK11:AK15" si="4">+AI11</f>
        <v>0.16799999999999998</v>
      </c>
      <c r="AL11" s="130" t="str">
        <f t="shared" ref="AL11:AL71" si="5">IFERROR(IF(AM11="","",IF(AM11&lt;=0.2,"Leve",IF(AM11&lt;=0.4,"Menor",IF(AM11&lt;=0.6,"Moderado",IF(AM11&lt;=0.8,"Mayor","Catastrófico"))))),"")</f>
        <v>Moderado</v>
      </c>
      <c r="AM11" s="128">
        <f>IFERROR(IF(AND(AB10="Impacto",AB11="Impacto"),(AM10-(+AM10*AE11)),IF(AB11="Impacto",($U$10-(+$U$10*AE11)),IF(AB11="Probabilidad",AM10,""))),"")</f>
        <v>0.6</v>
      </c>
      <c r="AN11" s="131" t="str">
        <f t="shared" ref="AN11:AN15" si="6">IFERROR(IF(OR(AND(AJ11="Muy Baja",AL11="Leve"),AND(AJ11="Muy Baja",AL11="Menor"),AND(AJ11="Baja",AL11="Leve")),"Bajo",IF(OR(AND(AJ11="Muy baja",AL11="Moderado"),AND(AJ11="Baja",AL11="Menor"),AND(AJ11="Baja",AL11="Moderado"),AND(AJ11="Media",AL11="Leve"),AND(AJ11="Media",AL11="Menor"),AND(AJ11="Media",AL11="Moderado"),AND(AJ11="Alta",AL11="Leve"),AND(AJ11="Alta",AL11="Menor")),"Moderado",IF(OR(AND(AJ11="Muy Baja",AL11="Mayor"),AND(AJ11="Baja",AL11="Mayor"),AND(AJ11="Media",AL11="Mayor"),AND(AJ11="Alta",AL11="Moderado"),AND(AJ11="Alta",AL11="Mayor"),AND(AJ11="Muy Alta",AL11="Leve"),AND(AJ11="Muy Alta",AL11="Menor"),AND(AJ11="Muy Alta",AL11="Moderado"),AND(AJ11="Muy Alta",AL11="Mayor")),"Alto",IF(OR(AND(AJ11="Muy Baja",AL11="Catastrófico"),AND(AJ11="Baja",AL11="Catastrófico"),AND(AJ11="Media",AL11="Catastrófico"),AND(AJ11="Alta",AL11="Catastrófico"),AND(AJ11="Muy Alta",AL11="Catastrófico")),"Extremo","")))),"")</f>
        <v>Moderado</v>
      </c>
      <c r="AO11" s="132" t="s">
        <v>43</v>
      </c>
      <c r="AP11" s="312" t="s">
        <v>600</v>
      </c>
      <c r="AQ11" s="313" t="s">
        <v>597</v>
      </c>
      <c r="AR11" s="312" t="s">
        <v>598</v>
      </c>
      <c r="AS11" s="314" t="s">
        <v>601</v>
      </c>
      <c r="AT11" s="400"/>
      <c r="AU11" s="400"/>
      <c r="AV11" s="400"/>
    </row>
    <row r="12" spans="1:276" ht="13.5" customHeight="1" x14ac:dyDescent="0.2">
      <c r="A12" s="398"/>
      <c r="B12" s="399"/>
      <c r="C12" s="399"/>
      <c r="D12" s="452"/>
      <c r="E12" s="423"/>
      <c r="F12" s="399"/>
      <c r="G12" s="401"/>
      <c r="H12" s="400"/>
      <c r="I12" s="403"/>
      <c r="J12" s="423"/>
      <c r="K12" s="423"/>
      <c r="L12" s="452"/>
      <c r="M12" s="399"/>
      <c r="N12" s="399"/>
      <c r="O12" s="416"/>
      <c r="P12" s="417"/>
      <c r="Q12" s="405"/>
      <c r="R12" s="406"/>
      <c r="S12" s="405">
        <f>IF(NOT(ISERROR(MATCH(R12,_xlfn.ANCHORARRAY(G23),0))),Q25&amp;"Por favor no seleccionar los criterios de impacto",R12)</f>
        <v>0</v>
      </c>
      <c r="T12" s="417"/>
      <c r="U12" s="405"/>
      <c r="V12" s="418"/>
      <c r="W12" s="149">
        <v>3</v>
      </c>
      <c r="X12" s="182"/>
      <c r="Y12" s="149"/>
      <c r="Z12" s="336"/>
      <c r="AA12" s="304" t="str">
        <f t="shared" si="1"/>
        <v xml:space="preserve">  </v>
      </c>
      <c r="AB12" s="126" t="str">
        <f t="shared" si="0"/>
        <v/>
      </c>
      <c r="AC12" s="127"/>
      <c r="AD12" s="127"/>
      <c r="AE12" s="128" t="str">
        <f t="shared" si="2"/>
        <v/>
      </c>
      <c r="AF12" s="127"/>
      <c r="AG12" s="127"/>
      <c r="AH12" s="127"/>
      <c r="AI12" s="129" t="str">
        <f>IFERROR(IF(AND(AB11="Probabilidad",AB12="Probabilidad"),(AK11-(+AK11*AE12)),IF(AND(AB11="Impacto",AB12="Probabilidad"),(AK10-(+AK10*AE12)),IF(AB12="Impacto",AK11,""))),"")</f>
        <v/>
      </c>
      <c r="AJ12" s="130" t="str">
        <f t="shared" si="3"/>
        <v/>
      </c>
      <c r="AK12" s="128" t="str">
        <f t="shared" si="4"/>
        <v/>
      </c>
      <c r="AL12" s="130" t="str">
        <f t="shared" si="5"/>
        <v/>
      </c>
      <c r="AM12" s="128" t="str">
        <f>IFERROR(IF(AND(AB11="Impacto",AB12="Impacto"),(AM11-(+AM11*AE12)),IF(AND(AB11="Probabilidad",AB12="Impacto"),(AM10-(+AM10*AE12)),IF(AB12="Probabilidad",AM11,""))),"")</f>
        <v/>
      </c>
      <c r="AN12" s="131" t="str">
        <f t="shared" si="6"/>
        <v/>
      </c>
      <c r="AO12" s="132"/>
      <c r="AP12" s="125"/>
      <c r="AQ12" s="133"/>
      <c r="AR12" s="133"/>
      <c r="AS12" s="134"/>
      <c r="AT12" s="400"/>
      <c r="AU12" s="400"/>
      <c r="AV12" s="400"/>
    </row>
    <row r="13" spans="1:276" ht="13.5" customHeight="1" x14ac:dyDescent="0.2">
      <c r="A13" s="398"/>
      <c r="B13" s="399"/>
      <c r="C13" s="399"/>
      <c r="D13" s="452"/>
      <c r="E13" s="423"/>
      <c r="F13" s="399"/>
      <c r="G13" s="401"/>
      <c r="H13" s="400"/>
      <c r="I13" s="403"/>
      <c r="J13" s="423"/>
      <c r="K13" s="423"/>
      <c r="L13" s="452"/>
      <c r="M13" s="399"/>
      <c r="N13" s="399"/>
      <c r="O13" s="416"/>
      <c r="P13" s="417"/>
      <c r="Q13" s="405"/>
      <c r="R13" s="406"/>
      <c r="S13" s="405">
        <f>IF(NOT(ISERROR(MATCH(R13,_xlfn.ANCHORARRAY(G24),0))),Q26&amp;"Por favor no seleccionar los criterios de impacto",R13)</f>
        <v>0</v>
      </c>
      <c r="T13" s="417"/>
      <c r="U13" s="405"/>
      <c r="V13" s="418"/>
      <c r="W13" s="149">
        <v>4</v>
      </c>
      <c r="X13" s="182"/>
      <c r="Y13" s="149"/>
      <c r="Z13" s="336"/>
      <c r="AA13" s="304" t="str">
        <f t="shared" si="1"/>
        <v xml:space="preserve">  </v>
      </c>
      <c r="AB13" s="126" t="str">
        <f t="shared" si="0"/>
        <v/>
      </c>
      <c r="AC13" s="127"/>
      <c r="AD13" s="127"/>
      <c r="AE13" s="128" t="str">
        <f t="shared" si="2"/>
        <v/>
      </c>
      <c r="AF13" s="127"/>
      <c r="AG13" s="127"/>
      <c r="AH13" s="127"/>
      <c r="AI13" s="129" t="str">
        <f t="shared" ref="AI13:AI15" si="7">IFERROR(IF(AND(AB12="Probabilidad",AB13="Probabilidad"),(AK12-(+AK12*AE13)),IF(AND(AB12="Impacto",AB13="Probabilidad"),(AK11-(+AK11*AE13)),IF(AB13="Impacto",AK12,""))),"")</f>
        <v/>
      </c>
      <c r="AJ13" s="130" t="str">
        <f t="shared" si="3"/>
        <v/>
      </c>
      <c r="AK13" s="128" t="str">
        <f t="shared" si="4"/>
        <v/>
      </c>
      <c r="AL13" s="130" t="str">
        <f t="shared" si="5"/>
        <v/>
      </c>
      <c r="AM13" s="128" t="str">
        <f t="shared" ref="AM13:AM15" si="8">IFERROR(IF(AND(AB12="Impacto",AB13="Impacto"),(AM12-(+AM12*AE13)),IF(AND(AB12="Probabilidad",AB13="Impacto"),(AM11-(+AM11*AE13)),IF(AB13="Probabilidad",AM12,""))),"")</f>
        <v/>
      </c>
      <c r="AN13" s="131" t="str">
        <f>IFERROR(IF(OR(AND(AJ13="Muy Baja",AL13="Leve"),AND(AJ13="Muy Baja",AL13="Menor"),AND(AJ13="Baja",AL13="Leve")),"Bajo",IF(OR(AND(AJ13="Muy baja",AL13="Moderado"),AND(AJ13="Baja",AL13="Menor"),AND(AJ13="Baja",AL13="Moderado"),AND(AJ13="Media",AL13="Leve"),AND(AJ13="Media",AL13="Menor"),AND(AJ13="Media",AL13="Moderado"),AND(AJ13="Alta",AL13="Leve"),AND(AJ13="Alta",AL13="Menor")),"Moderado",IF(OR(AND(AJ13="Muy Baja",AL13="Mayor"),AND(AJ13="Baja",AL13="Mayor"),AND(AJ13="Media",AL13="Mayor"),AND(AJ13="Alta",AL13="Moderado"),AND(AJ13="Alta",AL13="Mayor"),AND(AJ13="Muy Alta",AL13="Leve"),AND(AJ13="Muy Alta",AL13="Menor"),AND(AJ13="Muy Alta",AL13="Moderado"),AND(AJ13="Muy Alta",AL13="Mayor")),"Alto",IF(OR(AND(AJ13="Muy Baja",AL13="Catastrófico"),AND(AJ13="Baja",AL13="Catastrófico"),AND(AJ13="Media",AL13="Catastrófico"),AND(AJ13="Alta",AL13="Catastrófico"),AND(AJ13="Muy Alta",AL13="Catastrófico")),"Extremo","")))),"")</f>
        <v/>
      </c>
      <c r="AO13" s="132"/>
      <c r="AP13" s="125"/>
      <c r="AQ13" s="133"/>
      <c r="AR13" s="133"/>
      <c r="AS13" s="134"/>
      <c r="AT13" s="400"/>
      <c r="AU13" s="400"/>
      <c r="AV13" s="400"/>
    </row>
    <row r="14" spans="1:276" ht="13.5" customHeight="1" x14ac:dyDescent="0.2">
      <c r="A14" s="398"/>
      <c r="B14" s="399"/>
      <c r="C14" s="399"/>
      <c r="D14" s="452"/>
      <c r="E14" s="423"/>
      <c r="F14" s="399"/>
      <c r="G14" s="401"/>
      <c r="H14" s="400"/>
      <c r="I14" s="403"/>
      <c r="J14" s="423"/>
      <c r="K14" s="423"/>
      <c r="L14" s="452"/>
      <c r="M14" s="399"/>
      <c r="N14" s="399"/>
      <c r="O14" s="416"/>
      <c r="P14" s="417"/>
      <c r="Q14" s="405"/>
      <c r="R14" s="406"/>
      <c r="S14" s="405">
        <f>IF(NOT(ISERROR(MATCH(R14,_xlfn.ANCHORARRAY(G25),0))),Q27&amp;"Por favor no seleccionar los criterios de impacto",R14)</f>
        <v>0</v>
      </c>
      <c r="T14" s="417"/>
      <c r="U14" s="405"/>
      <c r="V14" s="418"/>
      <c r="W14" s="149">
        <v>5</v>
      </c>
      <c r="X14" s="182"/>
      <c r="Y14" s="149"/>
      <c r="Z14" s="336"/>
      <c r="AA14" s="304" t="str">
        <f t="shared" si="1"/>
        <v xml:space="preserve">  </v>
      </c>
      <c r="AB14" s="126" t="str">
        <f t="shared" ref="AB14:AB15" si="9">IF(OR(AC14="Preventivo",AC14="Detectivo"),"Probabilidad",IF(AC14="Correctivo","Impacto",""))</f>
        <v/>
      </c>
      <c r="AC14" s="127"/>
      <c r="AD14" s="127"/>
      <c r="AE14" s="128" t="str">
        <f t="shared" si="2"/>
        <v/>
      </c>
      <c r="AF14" s="127"/>
      <c r="AG14" s="127"/>
      <c r="AH14" s="127"/>
      <c r="AI14" s="129" t="str">
        <f t="shared" si="7"/>
        <v/>
      </c>
      <c r="AJ14" s="130" t="str">
        <f t="shared" si="3"/>
        <v/>
      </c>
      <c r="AK14" s="128" t="str">
        <f t="shared" si="4"/>
        <v/>
      </c>
      <c r="AL14" s="130" t="str">
        <f t="shared" si="5"/>
        <v/>
      </c>
      <c r="AM14" s="128" t="str">
        <f t="shared" si="8"/>
        <v/>
      </c>
      <c r="AN14" s="131" t="str">
        <f t="shared" si="6"/>
        <v/>
      </c>
      <c r="AO14" s="132"/>
      <c r="AP14" s="125"/>
      <c r="AQ14" s="133"/>
      <c r="AR14" s="133"/>
      <c r="AS14" s="134"/>
      <c r="AT14" s="400"/>
      <c r="AU14" s="400"/>
      <c r="AV14" s="400"/>
    </row>
    <row r="15" spans="1:276" ht="13.5" customHeight="1" x14ac:dyDescent="0.2">
      <c r="A15" s="398"/>
      <c r="B15" s="399"/>
      <c r="C15" s="399"/>
      <c r="D15" s="453"/>
      <c r="E15" s="423"/>
      <c r="F15" s="399"/>
      <c r="G15" s="401"/>
      <c r="H15" s="400"/>
      <c r="I15" s="404"/>
      <c r="J15" s="423"/>
      <c r="K15" s="423"/>
      <c r="L15" s="453"/>
      <c r="M15" s="399"/>
      <c r="N15" s="399"/>
      <c r="O15" s="416"/>
      <c r="P15" s="417"/>
      <c r="Q15" s="405"/>
      <c r="R15" s="406"/>
      <c r="S15" s="405">
        <f>IF(NOT(ISERROR(MATCH(R15,_xlfn.ANCHORARRAY(G26),0))),Q28&amp;"Por favor no seleccionar los criterios de impacto",R15)</f>
        <v>0</v>
      </c>
      <c r="T15" s="417"/>
      <c r="U15" s="405"/>
      <c r="V15" s="418"/>
      <c r="W15" s="149">
        <v>6</v>
      </c>
      <c r="X15" s="182"/>
      <c r="Y15" s="149"/>
      <c r="Z15" s="336"/>
      <c r="AA15" s="304" t="str">
        <f t="shared" si="1"/>
        <v xml:space="preserve">  </v>
      </c>
      <c r="AB15" s="126" t="str">
        <f t="shared" si="9"/>
        <v/>
      </c>
      <c r="AC15" s="127"/>
      <c r="AD15" s="127"/>
      <c r="AE15" s="128" t="str">
        <f t="shared" si="2"/>
        <v/>
      </c>
      <c r="AF15" s="127"/>
      <c r="AG15" s="127"/>
      <c r="AH15" s="127"/>
      <c r="AI15" s="129" t="str">
        <f t="shared" si="7"/>
        <v/>
      </c>
      <c r="AJ15" s="130" t="str">
        <f t="shared" si="3"/>
        <v/>
      </c>
      <c r="AK15" s="128" t="str">
        <f t="shared" si="4"/>
        <v/>
      </c>
      <c r="AL15" s="130" t="str">
        <f t="shared" si="5"/>
        <v/>
      </c>
      <c r="AM15" s="128" t="str">
        <f t="shared" si="8"/>
        <v/>
      </c>
      <c r="AN15" s="131" t="str">
        <f t="shared" si="6"/>
        <v/>
      </c>
      <c r="AO15" s="132"/>
      <c r="AP15" s="125"/>
      <c r="AQ15" s="133"/>
      <c r="AR15" s="133"/>
      <c r="AS15" s="134"/>
      <c r="AT15" s="400"/>
      <c r="AU15" s="400"/>
      <c r="AV15" s="400"/>
    </row>
    <row r="16" spans="1:276" ht="21.75" customHeight="1" x14ac:dyDescent="0.2">
      <c r="A16" s="398">
        <v>2</v>
      </c>
      <c r="B16" s="399" t="s">
        <v>546</v>
      </c>
      <c r="C16" s="399" t="s">
        <v>40</v>
      </c>
      <c r="D16" s="451" t="s">
        <v>568</v>
      </c>
      <c r="E16" s="423" t="s">
        <v>569</v>
      </c>
      <c r="F16" s="399" t="s">
        <v>573</v>
      </c>
      <c r="G16" s="401" t="str">
        <f>+CONCATENATE(C16," ",D16," ",E16)</f>
        <v>Posibilidad de afectación reputacional por incumplimiento en la ejecución de las actividades asociadas a las herramientas de planeación estrategica  en el marco de la implementación del modelo de gestión debido a la  inoportunidad en la aplicación de seguimientos de la primera y segunda línea de defensa</v>
      </c>
      <c r="H16" s="400" t="s">
        <v>391</v>
      </c>
      <c r="I16" s="402" t="s">
        <v>62</v>
      </c>
      <c r="J16" s="423" t="s">
        <v>580</v>
      </c>
      <c r="K16" s="423" t="s">
        <v>581</v>
      </c>
      <c r="L16" s="432" t="s">
        <v>582</v>
      </c>
      <c r="M16" s="399" t="s">
        <v>65</v>
      </c>
      <c r="N16" s="399" t="s">
        <v>46</v>
      </c>
      <c r="O16" s="416">
        <v>247</v>
      </c>
      <c r="P16" s="417" t="str">
        <f>IF(O16&lt;=0,"",IF(O16&lt;=2,"Muy Baja",IF(O16&lt;=24,"Baja",IF(O16&lt;=500,"Media",IF(O16&lt;=5000,"Alta","Muy Alta")))))</f>
        <v>Media</v>
      </c>
      <c r="Q16" s="405">
        <f>IF(P16="","",IF(P16="Muy Baja",0.2,IF(P16="Baja",0.4,IF(P16="Media",0.6,IF(P16="Alta",0.8,IF(P16="Muy Alta",1,))))))</f>
        <v>0.6</v>
      </c>
      <c r="R16" s="406" t="s">
        <v>428</v>
      </c>
      <c r="S16" s="405" t="str">
        <f>IF(NOT(ISERROR(MATCH(R16,'Tabla Impacto'!$B$245:$B$247,0))),'Tabla Impacto'!$F$224&amp;"Por favor no seleccionar los criterios de impacto(Afectación Económica o presupuestal y Pérdida Reputacional)",R16)</f>
        <v xml:space="preserve">     El riesgo afecta la imagen de la entidad con algunos usuarios de relevancia frente al logro de los objetivos</v>
      </c>
      <c r="T16" s="417" t="str">
        <f>IF(OR(S16='Tabla Impacto'!$C$12,S16='Tabla Impacto'!$D$12),"Leve",IF(OR(S16='Tabla Impacto'!$C$13,S16='Tabla Impacto'!$D$13),"Menor",IF(OR(S16='Tabla Impacto'!$C$14,S16='Tabla Impacto'!$D$14),"Moderado",IF(OR(S16='Tabla Impacto'!$C$15,S16='Tabla Impacto'!$D$15),"Mayor",IF(OR(S16='Tabla Impacto'!$C$16,S16='Tabla Impacto'!$D$16),"Catastrófico","")))))</f>
        <v>Moderado</v>
      </c>
      <c r="U16" s="405">
        <f>IF(T16="","",IF(T16="Leve",0.2,IF(T16="Menor",0.4,IF(T16="Moderado",0.6,IF(T16="Mayor",0.8,IF(T16="Catastrófico",1,))))))</f>
        <v>0.6</v>
      </c>
      <c r="V16" s="418" t="str">
        <f>IF(OR(AND(P16="Muy Baja",T16="Leve"),AND(P16="Muy Baja",T16="Menor"),AND(P16="Baja",T16="Leve")),"Bajo",IF(OR(AND(P16="Muy baja",T16="Moderado"),AND(P16="Baja",T16="Menor"),AND(P16="Baja",T16="Moderado"),AND(P16="Media",T16="Leve"),AND(P16="Media",T16="Menor"),AND(P16="Media",T16="Moderado"),AND(P16="Alta",T16="Leve"),AND(P16="Alta",T16="Menor")),"Moderado",IF(OR(AND(P16="Muy Baja",T16="Mayor"),AND(P16="Baja",T16="Mayor"),AND(P16="Media",T16="Mayor"),AND(P16="Alta",T16="Moderado"),AND(P16="Alta",T16="Mayor"),AND(P16="Muy Alta",T16="Leve"),AND(P16="Muy Alta",T16="Menor"),AND(P16="Muy Alta",T16="Moderado"),AND(P16="Muy Alta",T16="Mayor")),"Alto",IF(OR(AND(P16="Muy Baja",T16="Catastrófico"),AND(P16="Baja",T16="Catastrófico"),AND(P16="Media",T16="Catastrófico"),AND(P16="Alta",T16="Catastrófico"),AND(P16="Muy Alta",T16="Catastrófico")),"Extremo",""))))</f>
        <v>Moderado</v>
      </c>
      <c r="W16" s="149">
        <v>1</v>
      </c>
      <c r="X16" s="309" t="s">
        <v>585</v>
      </c>
      <c r="Y16" s="310" t="s">
        <v>37</v>
      </c>
      <c r="Z16" s="336" t="s">
        <v>588</v>
      </c>
      <c r="AA16" s="304" t="str">
        <f t="shared" si="1"/>
        <v>El designado por el jefe de la OAP Verifica  trimestralmente la coherencia en el  reporte de los planes de acción  versus a las acciones programadas. como soporte queda el correo de retroalimentación y/o acta reunión, en caso de encontrar diferencias en el reporte se solicitara justificación o corrección del mismo y el alcance de los soportes</v>
      </c>
      <c r="AB16" s="126" t="str">
        <f>IF(OR(AC16="Preventivo",AC16="Detectivo"),"Probabilidad",IF(AC16="Correctivo","Impacto",""))</f>
        <v>Probabilidad</v>
      </c>
      <c r="AC16" s="127" t="s">
        <v>398</v>
      </c>
      <c r="AD16" s="127" t="s">
        <v>394</v>
      </c>
      <c r="AE16" s="128" t="str">
        <f>IF(AND(AC16="Preventivo",AD16="Automático"),"50%",IF(AND(AC16="Preventivo",AD16="Manual"),"40%",IF(AND(AC16="Detectivo",AD16="Automático"),"40%",IF(AND(AC16="Detectivo",AD16="Manual"),"30%",IF(AND(AC16="Correctivo",AD16="Automático"),"35%",IF(AND(AC16="Correctivo",AD16="Manual"),"25%",""))))))</f>
        <v>40%</v>
      </c>
      <c r="AF16" s="127" t="s">
        <v>395</v>
      </c>
      <c r="AG16" s="127" t="s">
        <v>396</v>
      </c>
      <c r="AH16" s="127" t="s">
        <v>397</v>
      </c>
      <c r="AI16" s="129">
        <f>IFERROR(IF(AB16="Probabilidad",(Q16-(+Q16*AE16)),IF(AB16="Impacto",Q16,"")),"")</f>
        <v>0.36</v>
      </c>
      <c r="AJ16" s="130" t="str">
        <f>IFERROR(IF(AI16="","",IF(AI16&lt;=0.2,"Muy Baja",IF(AI16&lt;=0.4,"Baja",IF(AI16&lt;=0.6,"Media",IF(AI16&lt;=0.8,"Alta","Muy Alta"))))),"")</f>
        <v>Baja</v>
      </c>
      <c r="AK16" s="128">
        <f>+AI16</f>
        <v>0.36</v>
      </c>
      <c r="AL16" s="130" t="str">
        <f>IFERROR(IF(AM16="","",IF(AM16&lt;=0.2,"Leve",IF(AM16&lt;=0.4,"Menor",IF(AM16&lt;=0.6,"Moderado",IF(AM16&lt;=0.8,"Mayor","Catastrófico"))))),"")</f>
        <v>Moderado</v>
      </c>
      <c r="AM16" s="128">
        <f t="shared" ref="AM16" si="10">IFERROR(IF(AB16="Impacto",(U16-(+U16*AE16)),IF(AB16="Probabilidad",U16,"")),"")</f>
        <v>0.6</v>
      </c>
      <c r="AN16" s="131" t="str">
        <f>IFERROR(IF(OR(AND(AJ16="Muy Baja",AL16="Leve"),AND(AJ16="Muy Baja",AL16="Menor"),AND(AJ16="Baja",AL16="Leve")),"Bajo",IF(OR(AND(AJ16="Muy baja",AL16="Moderado"),AND(AJ16="Baja",AL16="Menor"),AND(AJ16="Baja",AL16="Moderado"),AND(AJ16="Media",AL16="Leve"),AND(AJ16="Media",AL16="Menor"),AND(AJ16="Media",AL16="Moderado"),AND(AJ16="Alta",AL16="Leve"),AND(AJ16="Alta",AL16="Menor")),"Moderado",IF(OR(AND(AJ16="Muy Baja",AL16="Mayor"),AND(AJ16="Baja",AL16="Mayor"),AND(AJ16="Media",AL16="Mayor"),AND(AJ16="Alta",AL16="Moderado"),AND(AJ16="Alta",AL16="Mayor"),AND(AJ16="Muy Alta",AL16="Leve"),AND(AJ16="Muy Alta",AL16="Menor"),AND(AJ16="Muy Alta",AL16="Moderado"),AND(AJ16="Muy Alta",AL16="Mayor")),"Alto",IF(OR(AND(AJ16="Muy Baja",AL16="Catastrófico"),AND(AJ16="Baja",AL16="Catastrófico"),AND(AJ16="Media",AL16="Catastrófico"),AND(AJ16="Alta",AL16="Catastrófico"),AND(AJ16="Muy Alta",AL16="Catastrófico")),"Extremo","")))),"")</f>
        <v>Moderado</v>
      </c>
      <c r="AO16" s="132"/>
      <c r="AP16" s="312" t="s">
        <v>602</v>
      </c>
      <c r="AQ16" s="313" t="s">
        <v>597</v>
      </c>
      <c r="AR16" s="312" t="s">
        <v>603</v>
      </c>
      <c r="AS16" s="314" t="s">
        <v>599</v>
      </c>
      <c r="AT16" s="400" t="s">
        <v>609</v>
      </c>
      <c r="AU16" s="400" t="s">
        <v>612</v>
      </c>
      <c r="AV16" s="400" t="s">
        <v>614</v>
      </c>
    </row>
    <row r="17" spans="1:48" ht="21.75" customHeight="1" x14ac:dyDescent="0.2">
      <c r="A17" s="398"/>
      <c r="B17" s="399"/>
      <c r="C17" s="399"/>
      <c r="D17" s="452"/>
      <c r="E17" s="423"/>
      <c r="F17" s="399"/>
      <c r="G17" s="401"/>
      <c r="H17" s="400"/>
      <c r="I17" s="403"/>
      <c r="J17" s="423"/>
      <c r="K17" s="423"/>
      <c r="L17" s="433"/>
      <c r="M17" s="399"/>
      <c r="N17" s="399"/>
      <c r="O17" s="416"/>
      <c r="P17" s="417"/>
      <c r="Q17" s="405"/>
      <c r="R17" s="406"/>
      <c r="S17" s="405">
        <f>IF(NOT(ISERROR(MATCH(R17,_xlfn.ANCHORARRAY(G28),0))),Q30&amp;"Por favor no seleccionar los criterios de impacto",R17)</f>
        <v>0</v>
      </c>
      <c r="T17" s="417"/>
      <c r="U17" s="405"/>
      <c r="V17" s="418"/>
      <c r="W17" s="149">
        <v>2</v>
      </c>
      <c r="X17" s="309" t="s">
        <v>585</v>
      </c>
      <c r="Y17" s="310" t="s">
        <v>37</v>
      </c>
      <c r="Z17" s="336" t="s">
        <v>589</v>
      </c>
      <c r="AA17" s="304" t="str">
        <f t="shared" si="1"/>
        <v>El designado por el jefe de la OAP Verifica  la ejecución vs la programación de las actividades  del plan de adecuación trimestralmente, como soporte queda el correo de retroalimentación al líder de la política, 
En el caso de encontrar incumplimiento se solicita respuesta o justificación del líder de la política.</v>
      </c>
      <c r="AB17" s="126" t="str">
        <f>IF(OR(AC17="Preventivo",AC17="Detectivo"),"Probabilidad",IF(AC17="Correctivo","Impacto",""))</f>
        <v>Probabilidad</v>
      </c>
      <c r="AC17" s="127" t="s">
        <v>398</v>
      </c>
      <c r="AD17" s="127" t="s">
        <v>394</v>
      </c>
      <c r="AE17" s="128" t="str">
        <f t="shared" ref="AE17:AE21" si="11">IF(AND(AC17="Preventivo",AD17="Automático"),"50%",IF(AND(AC17="Preventivo",AD17="Manual"),"40%",IF(AND(AC17="Detectivo",AD17="Automático"),"40%",IF(AND(AC17="Detectivo",AD17="Manual"),"30%",IF(AND(AC17="Correctivo",AD17="Automático"),"35%",IF(AND(AC17="Correctivo",AD17="Manual"),"25%",""))))))</f>
        <v>40%</v>
      </c>
      <c r="AF17" s="127" t="s">
        <v>395</v>
      </c>
      <c r="AG17" s="127" t="s">
        <v>396</v>
      </c>
      <c r="AH17" s="127" t="s">
        <v>397</v>
      </c>
      <c r="AI17" s="129">
        <f>IFERROR(IF(AND(AB16="Probabilidad",AB17="Probabilidad"),(AK16-(+AK16*AE17)),IF(AB17="Probabilidad",(Q16-(+Q16*AE17)),IF(AB17="Impacto",AK16,""))),"")</f>
        <v>0.216</v>
      </c>
      <c r="AJ17" s="130" t="str">
        <f t="shared" si="3"/>
        <v>Baja</v>
      </c>
      <c r="AK17" s="128">
        <f t="shared" ref="AK17:AK21" si="12">+AI17</f>
        <v>0.216</v>
      </c>
      <c r="AL17" s="130" t="str">
        <f t="shared" si="5"/>
        <v>Moderado</v>
      </c>
      <c r="AM17" s="128">
        <f t="shared" ref="AM17" si="13">IFERROR(IF(AND(AB16="Impacto",AB17="Impacto"),(AM16-(+AM16*AE17)),IF(AB17="Impacto",($U$10-(+$U$10*AE17)),IF(AB17="Probabilidad",AM16,""))),"")</f>
        <v>0.6</v>
      </c>
      <c r="AN17" s="131" t="str">
        <f t="shared" ref="AN17:AN18" si="14">IFERROR(IF(OR(AND(AJ17="Muy Baja",AL17="Leve"),AND(AJ17="Muy Baja",AL17="Menor"),AND(AJ17="Baja",AL17="Leve")),"Bajo",IF(OR(AND(AJ17="Muy baja",AL17="Moderado"),AND(AJ17="Baja",AL17="Menor"),AND(AJ17="Baja",AL17="Moderado"),AND(AJ17="Media",AL17="Leve"),AND(AJ17="Media",AL17="Menor"),AND(AJ17="Media",AL17="Moderado"),AND(AJ17="Alta",AL17="Leve"),AND(AJ17="Alta",AL17="Menor")),"Moderado",IF(OR(AND(AJ17="Muy Baja",AL17="Mayor"),AND(AJ17="Baja",AL17="Mayor"),AND(AJ17="Media",AL17="Mayor"),AND(AJ17="Alta",AL17="Moderado"),AND(AJ17="Alta",AL17="Mayor"),AND(AJ17="Muy Alta",AL17="Leve"),AND(AJ17="Muy Alta",AL17="Menor"),AND(AJ17="Muy Alta",AL17="Moderado"),AND(AJ17="Muy Alta",AL17="Mayor")),"Alto",IF(OR(AND(AJ17="Muy Baja",AL17="Catastrófico"),AND(AJ17="Baja",AL17="Catastrófico"),AND(AJ17="Media",AL17="Catastrófico"),AND(AJ17="Alta",AL17="Catastrófico"),AND(AJ17="Muy Alta",AL17="Catastrófico")),"Extremo","")))),"")</f>
        <v>Moderado</v>
      </c>
      <c r="AO17" s="132"/>
      <c r="AP17" s="312" t="s">
        <v>604</v>
      </c>
      <c r="AQ17" s="313" t="s">
        <v>597</v>
      </c>
      <c r="AR17" s="312" t="s">
        <v>605</v>
      </c>
      <c r="AS17" s="314" t="s">
        <v>599</v>
      </c>
      <c r="AT17" s="400"/>
      <c r="AU17" s="400"/>
      <c r="AV17" s="400"/>
    </row>
    <row r="18" spans="1:48" ht="21.75" customHeight="1" x14ac:dyDescent="0.2">
      <c r="A18" s="398"/>
      <c r="B18" s="399"/>
      <c r="C18" s="399"/>
      <c r="D18" s="452"/>
      <c r="E18" s="423"/>
      <c r="F18" s="399"/>
      <c r="G18" s="401"/>
      <c r="H18" s="400"/>
      <c r="I18" s="403"/>
      <c r="J18" s="423"/>
      <c r="K18" s="423"/>
      <c r="L18" s="433"/>
      <c r="M18" s="399"/>
      <c r="N18" s="399"/>
      <c r="O18" s="416"/>
      <c r="P18" s="417"/>
      <c r="Q18" s="405"/>
      <c r="R18" s="406"/>
      <c r="S18" s="405">
        <f>IF(NOT(ISERROR(MATCH(R18,_xlfn.ANCHORARRAY(G29),0))),Q31&amp;"Por favor no seleccionar los criterios de impacto",R18)</f>
        <v>0</v>
      </c>
      <c r="T18" s="417"/>
      <c r="U18" s="405"/>
      <c r="V18" s="418"/>
      <c r="W18" s="149">
        <v>3</v>
      </c>
      <c r="X18" s="309" t="s">
        <v>585</v>
      </c>
      <c r="Y18" s="310" t="s">
        <v>37</v>
      </c>
      <c r="Z18" s="336" t="s">
        <v>590</v>
      </c>
      <c r="AA18" s="304" t="str">
        <f t="shared" si="1"/>
        <v>El designado por el jefe de la OAP Verifica cuatrimestralmente el diseño y ejecución de los controles y actividades del monitoreo realizado por la primera línea de defensa (los procesos de la unidad),  quedando como evidencia el correo con el monitoreo realizado por la 2da linea de defensa.
en caso de que el monitoreo no cumpla se deja la alerta</v>
      </c>
      <c r="AB18" s="126" t="str">
        <f>IF(OR(AC18="Preventivo",AC18="Detectivo"),"Probabilidad",IF(AC18="Correctivo","Impacto",""))</f>
        <v>Probabilidad</v>
      </c>
      <c r="AC18" s="127" t="s">
        <v>398</v>
      </c>
      <c r="AD18" s="127" t="s">
        <v>394</v>
      </c>
      <c r="AE18" s="128" t="str">
        <f t="shared" si="11"/>
        <v>40%</v>
      </c>
      <c r="AF18" s="127" t="s">
        <v>395</v>
      </c>
      <c r="AG18" s="127" t="s">
        <v>396</v>
      </c>
      <c r="AH18" s="127" t="s">
        <v>397</v>
      </c>
      <c r="AI18" s="129">
        <f>IFERROR(IF(AND(AB17="Probabilidad",AB18="Probabilidad"),(AK17-(+AK17*AE18)),IF(AND(AB17="Impacto",AB18="Probabilidad"),(AK16-(+AK16*AE18)),IF(AB18="Impacto",AK17,""))),"")</f>
        <v>0.12959999999999999</v>
      </c>
      <c r="AJ18" s="130" t="str">
        <f t="shared" si="3"/>
        <v>Muy Baja</v>
      </c>
      <c r="AK18" s="128">
        <f t="shared" si="12"/>
        <v>0.12959999999999999</v>
      </c>
      <c r="AL18" s="130" t="str">
        <f t="shared" si="5"/>
        <v>Moderado</v>
      </c>
      <c r="AM18" s="128">
        <f t="shared" ref="AM18:AM71" si="15">IFERROR(IF(AND(AB17="Impacto",AB18="Impacto"),(AM17-(+AM17*AE18)),IF(AND(AB17="Probabilidad",AB18="Impacto"),(AM16-(+AM16*AE18)),IF(AB18="Probabilidad",AM17,""))),"")</f>
        <v>0.6</v>
      </c>
      <c r="AN18" s="131" t="str">
        <f t="shared" si="14"/>
        <v>Moderado</v>
      </c>
      <c r="AO18" s="132" t="s">
        <v>43</v>
      </c>
      <c r="AP18" s="312" t="s">
        <v>606</v>
      </c>
      <c r="AQ18" s="313" t="s">
        <v>597</v>
      </c>
      <c r="AR18" s="312" t="s">
        <v>603</v>
      </c>
      <c r="AS18" s="314" t="s">
        <v>607</v>
      </c>
      <c r="AT18" s="400"/>
      <c r="AU18" s="400"/>
      <c r="AV18" s="400"/>
    </row>
    <row r="19" spans="1:48" ht="21.75" customHeight="1" x14ac:dyDescent="0.2">
      <c r="A19" s="398"/>
      <c r="B19" s="399"/>
      <c r="C19" s="399"/>
      <c r="D19" s="452"/>
      <c r="E19" s="423"/>
      <c r="F19" s="399"/>
      <c r="G19" s="401"/>
      <c r="H19" s="400"/>
      <c r="I19" s="403"/>
      <c r="J19" s="423"/>
      <c r="K19" s="423"/>
      <c r="L19" s="433"/>
      <c r="M19" s="399"/>
      <c r="N19" s="399"/>
      <c r="O19" s="416"/>
      <c r="P19" s="417"/>
      <c r="Q19" s="405"/>
      <c r="R19" s="406"/>
      <c r="S19" s="405">
        <f>IF(NOT(ISERROR(MATCH(R19,_xlfn.ANCHORARRAY(G30),0))),Q32&amp;"Por favor no seleccionar los criterios de impacto",R19)</f>
        <v>0</v>
      </c>
      <c r="T19" s="417"/>
      <c r="U19" s="405"/>
      <c r="V19" s="418"/>
      <c r="W19" s="149">
        <v>4</v>
      </c>
      <c r="X19" s="182"/>
      <c r="Y19" s="149"/>
      <c r="Z19" s="336"/>
      <c r="AA19" s="304" t="str">
        <f t="shared" si="1"/>
        <v xml:space="preserve">  </v>
      </c>
      <c r="AB19" s="126" t="str">
        <f t="shared" ref="AB19:AB21" si="16">IF(OR(AC19="Preventivo",AC19="Detectivo"),"Probabilidad",IF(AC19="Correctivo","Impacto",""))</f>
        <v/>
      </c>
      <c r="AC19" s="127"/>
      <c r="AD19" s="127"/>
      <c r="AE19" s="128" t="str">
        <f t="shared" si="11"/>
        <v/>
      </c>
      <c r="AF19" s="127"/>
      <c r="AG19" s="127"/>
      <c r="AH19" s="127"/>
      <c r="AI19" s="129" t="str">
        <f t="shared" ref="AI19:AI21" si="17">IFERROR(IF(AND(AB18="Probabilidad",AB19="Probabilidad"),(AK18-(+AK18*AE19)),IF(AND(AB18="Impacto",AB19="Probabilidad"),(AK17-(+AK17*AE19)),IF(AB19="Impacto",AK18,""))),"")</f>
        <v/>
      </c>
      <c r="AJ19" s="130" t="str">
        <f t="shared" si="3"/>
        <v/>
      </c>
      <c r="AK19" s="128" t="str">
        <f t="shared" si="12"/>
        <v/>
      </c>
      <c r="AL19" s="130" t="str">
        <f t="shared" si="5"/>
        <v/>
      </c>
      <c r="AM19" s="128" t="str">
        <f t="shared" si="15"/>
        <v/>
      </c>
      <c r="AN19" s="131" t="str">
        <f>IFERROR(IF(OR(AND(AJ19="Muy Baja",AL19="Leve"),AND(AJ19="Muy Baja",AL19="Menor"),AND(AJ19="Baja",AL19="Leve")),"Bajo",IF(OR(AND(AJ19="Muy baja",AL19="Moderado"),AND(AJ19="Baja",AL19="Menor"),AND(AJ19="Baja",AL19="Moderado"),AND(AJ19="Media",AL19="Leve"),AND(AJ19="Media",AL19="Menor"),AND(AJ19="Media",AL19="Moderado"),AND(AJ19="Alta",AL19="Leve"),AND(AJ19="Alta",AL19="Menor")),"Moderado",IF(OR(AND(AJ19="Muy Baja",AL19="Mayor"),AND(AJ19="Baja",AL19="Mayor"),AND(AJ19="Media",AL19="Mayor"),AND(AJ19="Alta",AL19="Moderado"),AND(AJ19="Alta",AL19="Mayor"),AND(AJ19="Muy Alta",AL19="Leve"),AND(AJ19="Muy Alta",AL19="Menor"),AND(AJ19="Muy Alta",AL19="Moderado"),AND(AJ19="Muy Alta",AL19="Mayor")),"Alto",IF(OR(AND(AJ19="Muy Baja",AL19="Catastrófico"),AND(AJ19="Baja",AL19="Catastrófico"),AND(AJ19="Media",AL19="Catastrófico"),AND(AJ19="Alta",AL19="Catastrófico"),AND(AJ19="Muy Alta",AL19="Catastrófico")),"Extremo","")))),"")</f>
        <v/>
      </c>
      <c r="AO19" s="132"/>
      <c r="AP19" s="125"/>
      <c r="AQ19" s="133"/>
      <c r="AR19" s="133"/>
      <c r="AS19" s="134"/>
      <c r="AT19" s="400"/>
      <c r="AU19" s="400"/>
      <c r="AV19" s="400"/>
    </row>
    <row r="20" spans="1:48" ht="21.75" customHeight="1" x14ac:dyDescent="0.2">
      <c r="A20" s="398"/>
      <c r="B20" s="399"/>
      <c r="C20" s="399"/>
      <c r="D20" s="452"/>
      <c r="E20" s="423"/>
      <c r="F20" s="399"/>
      <c r="G20" s="401"/>
      <c r="H20" s="400"/>
      <c r="I20" s="403"/>
      <c r="J20" s="423"/>
      <c r="K20" s="423"/>
      <c r="L20" s="433"/>
      <c r="M20" s="399"/>
      <c r="N20" s="399"/>
      <c r="O20" s="416"/>
      <c r="P20" s="417"/>
      <c r="Q20" s="405"/>
      <c r="R20" s="406"/>
      <c r="S20" s="405">
        <f>IF(NOT(ISERROR(MATCH(R20,_xlfn.ANCHORARRAY(G31),0))),Q33&amp;"Por favor no seleccionar los criterios de impacto",R20)</f>
        <v>0</v>
      </c>
      <c r="T20" s="417"/>
      <c r="U20" s="405"/>
      <c r="V20" s="418"/>
      <c r="W20" s="149">
        <v>5</v>
      </c>
      <c r="X20" s="182"/>
      <c r="Y20" s="149"/>
      <c r="Z20" s="336"/>
      <c r="AA20" s="304" t="str">
        <f t="shared" si="1"/>
        <v xml:space="preserve">  </v>
      </c>
      <c r="AB20" s="126" t="str">
        <f t="shared" si="16"/>
        <v/>
      </c>
      <c r="AC20" s="127"/>
      <c r="AD20" s="127"/>
      <c r="AE20" s="128" t="str">
        <f t="shared" si="11"/>
        <v/>
      </c>
      <c r="AF20" s="127"/>
      <c r="AG20" s="127"/>
      <c r="AH20" s="127"/>
      <c r="AI20" s="129" t="str">
        <f t="shared" si="17"/>
        <v/>
      </c>
      <c r="AJ20" s="130" t="str">
        <f t="shared" si="3"/>
        <v/>
      </c>
      <c r="AK20" s="128" t="str">
        <f t="shared" si="12"/>
        <v/>
      </c>
      <c r="AL20" s="130" t="str">
        <f t="shared" si="5"/>
        <v/>
      </c>
      <c r="AM20" s="128" t="str">
        <f t="shared" si="15"/>
        <v/>
      </c>
      <c r="AN20" s="131" t="str">
        <f t="shared" ref="AN20:AN21" si="18">IFERROR(IF(OR(AND(AJ20="Muy Baja",AL20="Leve"),AND(AJ20="Muy Baja",AL20="Menor"),AND(AJ20="Baja",AL20="Leve")),"Bajo",IF(OR(AND(AJ20="Muy baja",AL20="Moderado"),AND(AJ20="Baja",AL20="Menor"),AND(AJ20="Baja",AL20="Moderado"),AND(AJ20="Media",AL20="Leve"),AND(AJ20="Media",AL20="Menor"),AND(AJ20="Media",AL20="Moderado"),AND(AJ20="Alta",AL20="Leve"),AND(AJ20="Alta",AL20="Menor")),"Moderado",IF(OR(AND(AJ20="Muy Baja",AL20="Mayor"),AND(AJ20="Baja",AL20="Mayor"),AND(AJ20="Media",AL20="Mayor"),AND(AJ20="Alta",AL20="Moderado"),AND(AJ20="Alta",AL20="Mayor"),AND(AJ20="Muy Alta",AL20="Leve"),AND(AJ20="Muy Alta",AL20="Menor"),AND(AJ20="Muy Alta",AL20="Moderado"),AND(AJ20="Muy Alta",AL20="Mayor")),"Alto",IF(OR(AND(AJ20="Muy Baja",AL20="Catastrófico"),AND(AJ20="Baja",AL20="Catastrófico"),AND(AJ20="Media",AL20="Catastrófico"),AND(AJ20="Alta",AL20="Catastrófico"),AND(AJ20="Muy Alta",AL20="Catastrófico")),"Extremo","")))),"")</f>
        <v/>
      </c>
      <c r="AO20" s="132"/>
      <c r="AP20" s="125"/>
      <c r="AQ20" s="133"/>
      <c r="AR20" s="133"/>
      <c r="AS20" s="134"/>
      <c r="AT20" s="400"/>
      <c r="AU20" s="400"/>
      <c r="AV20" s="400"/>
    </row>
    <row r="21" spans="1:48" ht="21.75" customHeight="1" x14ac:dyDescent="0.2">
      <c r="A21" s="398"/>
      <c r="B21" s="399"/>
      <c r="C21" s="399"/>
      <c r="D21" s="453"/>
      <c r="E21" s="423"/>
      <c r="F21" s="399"/>
      <c r="G21" s="401"/>
      <c r="H21" s="400"/>
      <c r="I21" s="404"/>
      <c r="J21" s="423"/>
      <c r="K21" s="423"/>
      <c r="L21" s="438"/>
      <c r="M21" s="399"/>
      <c r="N21" s="399"/>
      <c r="O21" s="416"/>
      <c r="P21" s="417"/>
      <c r="Q21" s="405"/>
      <c r="R21" s="406"/>
      <c r="S21" s="405">
        <f>IF(NOT(ISERROR(MATCH(R21,_xlfn.ANCHORARRAY(G32),0))),Q34&amp;"Por favor no seleccionar los criterios de impacto",R21)</f>
        <v>0</v>
      </c>
      <c r="T21" s="417"/>
      <c r="U21" s="405"/>
      <c r="V21" s="418"/>
      <c r="W21" s="149">
        <v>6</v>
      </c>
      <c r="X21" s="149"/>
      <c r="Y21" s="149"/>
      <c r="Z21" s="336"/>
      <c r="AA21" s="304" t="str">
        <f t="shared" si="1"/>
        <v xml:space="preserve">  </v>
      </c>
      <c r="AB21" s="126" t="str">
        <f t="shared" si="16"/>
        <v/>
      </c>
      <c r="AC21" s="127"/>
      <c r="AD21" s="127"/>
      <c r="AE21" s="128" t="str">
        <f t="shared" si="11"/>
        <v/>
      </c>
      <c r="AF21" s="127"/>
      <c r="AG21" s="127"/>
      <c r="AH21" s="127"/>
      <c r="AI21" s="129" t="str">
        <f t="shared" si="17"/>
        <v/>
      </c>
      <c r="AJ21" s="130" t="str">
        <f t="shared" si="3"/>
        <v/>
      </c>
      <c r="AK21" s="128" t="str">
        <f t="shared" si="12"/>
        <v/>
      </c>
      <c r="AL21" s="130" t="str">
        <f t="shared" si="5"/>
        <v/>
      </c>
      <c r="AM21" s="128" t="str">
        <f t="shared" si="15"/>
        <v/>
      </c>
      <c r="AN21" s="131" t="str">
        <f t="shared" si="18"/>
        <v/>
      </c>
      <c r="AO21" s="132"/>
      <c r="AP21" s="125"/>
      <c r="AQ21" s="133"/>
      <c r="AR21" s="133"/>
      <c r="AS21" s="134"/>
      <c r="AT21" s="400"/>
      <c r="AU21" s="400"/>
      <c r="AV21" s="400"/>
    </row>
    <row r="22" spans="1:48" ht="21.75" customHeight="1" x14ac:dyDescent="0.2">
      <c r="A22" s="398">
        <v>3</v>
      </c>
      <c r="B22" s="399" t="s">
        <v>546</v>
      </c>
      <c r="C22" s="399" t="s">
        <v>40</v>
      </c>
      <c r="D22" s="451" t="s">
        <v>570</v>
      </c>
      <c r="E22" s="423" t="s">
        <v>571</v>
      </c>
      <c r="F22" s="399" t="s">
        <v>574</v>
      </c>
      <c r="G22" s="401" t="str">
        <f>+CONCATENATE(C22," ",D22," ",E22)</f>
        <v>Posibilidad de afectación reputacional por posibles requerimientos de entes de control y de los procesos internos de la entidad debido a la gestión del control documental del sistema de gestión fuera de los requisitos establecidos en el instructivo Control de Información Documentada</v>
      </c>
      <c r="H22" s="400" t="s">
        <v>391</v>
      </c>
      <c r="I22" s="402" t="s">
        <v>62</v>
      </c>
      <c r="J22" s="423" t="s">
        <v>629</v>
      </c>
      <c r="K22" s="423" t="s">
        <v>583</v>
      </c>
      <c r="L22" s="432" t="s">
        <v>584</v>
      </c>
      <c r="M22" s="399" t="s">
        <v>65</v>
      </c>
      <c r="N22" s="399" t="s">
        <v>46</v>
      </c>
      <c r="O22" s="416">
        <v>365</v>
      </c>
      <c r="P22" s="417" t="str">
        <f>IF(O22&lt;=0,"",IF(O22&lt;=2,"Muy Baja",IF(O22&lt;=24,"Baja",IF(O22&lt;=500,"Media",IF(O22&lt;=5000,"Alta","Muy Alta")))))</f>
        <v>Media</v>
      </c>
      <c r="Q22" s="405">
        <f>IF(P22="","",IF(P22="Muy Baja",0.2,IF(P22="Baja",0.4,IF(P22="Media",0.6,IF(P22="Alta",0.8,IF(P22="Muy Alta",1,))))))</f>
        <v>0.6</v>
      </c>
      <c r="R22" s="406" t="s">
        <v>513</v>
      </c>
      <c r="S22" s="405" t="str">
        <f>IF(NOT(ISERROR(MATCH(R22,'Tabla Impacto'!$B$245:$B$247,0))),'Tabla Impacto'!$F$224&amp;"Por favor no seleccionar los criterios de impacto(Afectación Económica o presupuestal y Pérdida Reputacional)",R22)</f>
        <v xml:space="preserve">     El riesgo afecta la imagen de la entidad internamente, de conocimiento general, nivel interno, de junta dircetiva y accionistas y/o de provedores</v>
      </c>
      <c r="T22" s="417" t="str">
        <f>IF(OR(S22='Tabla Impacto'!$C$12,S22='Tabla Impacto'!$D$12),"Leve",IF(OR(S22='Tabla Impacto'!$C$13,S22='Tabla Impacto'!$D$13),"Menor",IF(OR(S22='Tabla Impacto'!$C$14,S22='Tabla Impacto'!$D$14),"Moderado",IF(OR(S22='Tabla Impacto'!$C$15,S22='Tabla Impacto'!$D$15),"Mayor",IF(OR(S22='Tabla Impacto'!$C$16,S22='Tabla Impacto'!$D$16),"Catastrófico","")))))</f>
        <v>Menor</v>
      </c>
      <c r="U22" s="405">
        <f>IF(T22="","",IF(T22="Leve",0.2,IF(T22="Menor",0.4,IF(T22="Moderado",0.6,IF(T22="Mayor",0.8,IF(T22="Catastrófico",1,))))))</f>
        <v>0.4</v>
      </c>
      <c r="V22" s="418" t="str">
        <f>IF(OR(AND(P22="Muy Baja",T22="Leve"),AND(P22="Muy Baja",T22="Menor"),AND(P22="Baja",T22="Leve")),"Bajo",IF(OR(AND(P22="Muy baja",T22="Moderado"),AND(P22="Baja",T22="Menor"),AND(P22="Baja",T22="Moderado"),AND(P22="Media",T22="Leve"),AND(P22="Media",T22="Menor"),AND(P22="Media",T22="Moderado"),AND(P22="Alta",T22="Leve"),AND(P22="Alta",T22="Menor")),"Moderado",IF(OR(AND(P22="Muy Baja",T22="Mayor"),AND(P22="Baja",T22="Mayor"),AND(P22="Media",T22="Mayor"),AND(P22="Alta",T22="Moderado"),AND(P22="Alta",T22="Mayor"),AND(P22="Muy Alta",T22="Leve"),AND(P22="Muy Alta",T22="Menor"),AND(P22="Muy Alta",T22="Moderado"),AND(P22="Muy Alta",T22="Mayor")),"Alto",IF(OR(AND(P22="Muy Baja",T22="Catastrófico"),AND(P22="Baja",T22="Catastrófico"),AND(P22="Media",T22="Catastrófico"),AND(P22="Alta",T22="Catastrófico"),AND(P22="Muy Alta",T22="Catastrófico")),"Extremo",""))))</f>
        <v>Moderado</v>
      </c>
      <c r="W22" s="149">
        <v>1</v>
      </c>
      <c r="X22" s="309" t="s">
        <v>585</v>
      </c>
      <c r="Y22" s="310" t="s">
        <v>591</v>
      </c>
      <c r="Z22" s="336" t="s">
        <v>592</v>
      </c>
      <c r="AA22" s="304" t="str">
        <f t="shared" si="1"/>
        <v xml:space="preserve">El designado por el jefe de la OAP verifica por proceso la pertinencia y justificación de la novedad documental  cada vez que llega una solicitud de aprobación, dejando como evidencia la revisión por sistema  ORFEO. En caso que la novedad documental no sea pertinente y viable se deja observación  en el documento o en ORFEO para su ajuste </v>
      </c>
      <c r="AB22" s="126" t="str">
        <f>IF(OR(AC22="Preventivo",AC22="Detectivo"),"Probabilidad",IF(AC22="Correctivo","Impacto",""))</f>
        <v>Probabilidad</v>
      </c>
      <c r="AC22" s="127" t="s">
        <v>398</v>
      </c>
      <c r="AD22" s="127" t="s">
        <v>394</v>
      </c>
      <c r="AE22" s="128" t="str">
        <f>IF(AND(AC22="Preventivo",AD22="Automático"),"50%",IF(AND(AC22="Preventivo",AD22="Manual"),"40%",IF(AND(AC22="Detectivo",AD22="Automático"),"40%",IF(AND(AC22="Detectivo",AD22="Manual"),"30%",IF(AND(AC22="Correctivo",AD22="Automático"),"35%",IF(AND(AC22="Correctivo",AD22="Manual"),"25%",""))))))</f>
        <v>40%</v>
      </c>
      <c r="AF22" s="127" t="s">
        <v>395</v>
      </c>
      <c r="AG22" s="127" t="s">
        <v>396</v>
      </c>
      <c r="AH22" s="127" t="s">
        <v>397</v>
      </c>
      <c r="AI22" s="129">
        <f>IFERROR(IF(AB22="Probabilidad",(Q22-(+Q22*AE22)),IF(AB22="Impacto",Q22,"")),"")</f>
        <v>0.36</v>
      </c>
      <c r="AJ22" s="130" t="str">
        <f>IFERROR(IF(AI22="","",IF(AI22&lt;=0.2,"Muy Baja",IF(AI22&lt;=0.4,"Baja",IF(AI22&lt;=0.6,"Media",IF(AI22&lt;=0.8,"Alta","Muy Alta"))))),"")</f>
        <v>Baja</v>
      </c>
      <c r="AK22" s="128">
        <f>+AI22</f>
        <v>0.36</v>
      </c>
      <c r="AL22" s="130" t="str">
        <f>IFERROR(IF(AM22="","",IF(AM22&lt;=0.2,"Leve",IF(AM22&lt;=0.4,"Menor",IF(AM22&lt;=0.6,"Moderado",IF(AM22&lt;=0.8,"Mayor","Catastrófico"))))),"")</f>
        <v>Menor</v>
      </c>
      <c r="AM22" s="128">
        <f t="shared" ref="AM22" si="19">IFERROR(IF(AB22="Impacto",(U22-(+U22*AE22)),IF(AB22="Probabilidad",U22,"")),"")</f>
        <v>0.4</v>
      </c>
      <c r="AN22" s="131" t="str">
        <f>IFERROR(IF(OR(AND(AJ22="Muy Baja",AL22="Leve"),AND(AJ22="Muy Baja",AL22="Menor"),AND(AJ22="Baja",AL22="Leve")),"Bajo",IF(OR(AND(AJ22="Muy baja",AL22="Moderado"),AND(AJ22="Baja",AL22="Menor"),AND(AJ22="Baja",AL22="Moderado"),AND(AJ22="Media",AL22="Leve"),AND(AJ22="Media",AL22="Menor"),AND(AJ22="Media",AL22="Moderado"),AND(AJ22="Alta",AL22="Leve"),AND(AJ22="Alta",AL22="Menor")),"Moderado",IF(OR(AND(AJ22="Muy Baja",AL22="Mayor"),AND(AJ22="Baja",AL22="Mayor"),AND(AJ22="Media",AL22="Mayor"),AND(AJ22="Alta",AL22="Moderado"),AND(AJ22="Alta",AL22="Mayor"),AND(AJ22="Muy Alta",AL22="Leve"),AND(AJ22="Muy Alta",AL22="Menor"),AND(AJ22="Muy Alta",AL22="Moderado"),AND(AJ22="Muy Alta",AL22="Mayor")),"Alto",IF(OR(AND(AJ22="Muy Baja",AL22="Catastrófico"),AND(AJ22="Baja",AL22="Catastrófico"),AND(AJ22="Media",AL22="Catastrófico"),AND(AJ22="Alta",AL22="Catastrófico"),AND(AJ22="Muy Alta",AL22="Catastrófico")),"Extremo","")))),"")</f>
        <v>Moderado</v>
      </c>
      <c r="AO22" s="132"/>
      <c r="AP22" s="125"/>
      <c r="AQ22" s="133"/>
      <c r="AR22" s="133"/>
      <c r="AS22" s="134"/>
      <c r="AT22" s="400" t="s">
        <v>610</v>
      </c>
      <c r="AU22" s="400" t="s">
        <v>615</v>
      </c>
      <c r="AV22" s="400" t="s">
        <v>614</v>
      </c>
    </row>
    <row r="23" spans="1:48" ht="21.75" customHeight="1" x14ac:dyDescent="0.2">
      <c r="A23" s="398"/>
      <c r="B23" s="399"/>
      <c r="C23" s="399"/>
      <c r="D23" s="452"/>
      <c r="E23" s="423"/>
      <c r="F23" s="399"/>
      <c r="G23" s="401"/>
      <c r="H23" s="400"/>
      <c r="I23" s="403"/>
      <c r="J23" s="423"/>
      <c r="K23" s="423"/>
      <c r="L23" s="433"/>
      <c r="M23" s="399"/>
      <c r="N23" s="399"/>
      <c r="O23" s="416"/>
      <c r="P23" s="417"/>
      <c r="Q23" s="405"/>
      <c r="R23" s="406"/>
      <c r="S23" s="405">
        <f>IF(NOT(ISERROR(MATCH(R23,_xlfn.ANCHORARRAY(G34),0))),Q36&amp;"Por favor no seleccionar los criterios de impacto",R23)</f>
        <v>0</v>
      </c>
      <c r="T23" s="417"/>
      <c r="U23" s="405"/>
      <c r="V23" s="418"/>
      <c r="W23" s="149">
        <v>2</v>
      </c>
      <c r="X23" s="309" t="s">
        <v>585</v>
      </c>
      <c r="Y23" s="310" t="s">
        <v>591</v>
      </c>
      <c r="Z23" s="336" t="s">
        <v>593</v>
      </c>
      <c r="AA23" s="304" t="str">
        <f t="shared" si="1"/>
        <v xml:space="preserve">El designado por el jefe de la OAP verifica semanalmente se remita por correo para conocimiento de los colaboradores, como evidencia quedan los correos con las actualizaciones documentales en caso que no se hayan remitido, se debe enviar el respectivo correo </v>
      </c>
      <c r="AB23" s="126" t="str">
        <f>IF(OR(AC23="Preventivo",AC23="Detectivo"),"Probabilidad",IF(AC23="Correctivo","Impacto",""))</f>
        <v>Probabilidad</v>
      </c>
      <c r="AC23" s="127" t="s">
        <v>398</v>
      </c>
      <c r="AD23" s="127" t="s">
        <v>394</v>
      </c>
      <c r="AE23" s="128" t="str">
        <f t="shared" ref="AE23:AE27" si="20">IF(AND(AC23="Preventivo",AD23="Automático"),"50%",IF(AND(AC23="Preventivo",AD23="Manual"),"40%",IF(AND(AC23="Detectivo",AD23="Automático"),"40%",IF(AND(AC23="Detectivo",AD23="Manual"),"30%",IF(AND(AC23="Correctivo",AD23="Automático"),"35%",IF(AND(AC23="Correctivo",AD23="Manual"),"25%",""))))))</f>
        <v>40%</v>
      </c>
      <c r="AF23" s="127" t="s">
        <v>395</v>
      </c>
      <c r="AG23" s="127" t="s">
        <v>396</v>
      </c>
      <c r="AH23" s="127" t="s">
        <v>397</v>
      </c>
      <c r="AI23" s="129">
        <f>IFERROR(IF(AND(AB22="Probabilidad",AB23="Probabilidad"),(AK22-(+AK22*AE23)),IF(AB23="Probabilidad",(Q22-(+Q22*AE23)),IF(AB23="Impacto",AK22,""))),"")</f>
        <v>0.216</v>
      </c>
      <c r="AJ23" s="130" t="str">
        <f t="shared" si="3"/>
        <v>Baja</v>
      </c>
      <c r="AK23" s="128">
        <f t="shared" ref="AK23:AK27" si="21">+AI23</f>
        <v>0.216</v>
      </c>
      <c r="AL23" s="130" t="str">
        <f t="shared" si="5"/>
        <v>Menor</v>
      </c>
      <c r="AM23" s="128">
        <f t="shared" ref="AM23" si="22">IFERROR(IF(AND(AB22="Impacto",AB23="Impacto"),(AM22-(+AM22*AE23)),IF(AB23="Impacto",($U$10-(+$U$10*AE23)),IF(AB23="Probabilidad",AM22,""))),"")</f>
        <v>0.4</v>
      </c>
      <c r="AN23" s="131" t="str">
        <f t="shared" ref="AN23:AN24" si="23">IFERROR(IF(OR(AND(AJ23="Muy Baja",AL23="Leve"),AND(AJ23="Muy Baja",AL23="Menor"),AND(AJ23="Baja",AL23="Leve")),"Bajo",IF(OR(AND(AJ23="Muy baja",AL23="Moderado"),AND(AJ23="Baja",AL23="Menor"),AND(AJ23="Baja",AL23="Moderado"),AND(AJ23="Media",AL23="Leve"),AND(AJ23="Media",AL23="Menor"),AND(AJ23="Media",AL23="Moderado"),AND(AJ23="Alta",AL23="Leve"),AND(AJ23="Alta",AL23="Menor")),"Moderado",IF(OR(AND(AJ23="Muy Baja",AL23="Mayor"),AND(AJ23="Baja",AL23="Mayor"),AND(AJ23="Media",AL23="Mayor"),AND(AJ23="Alta",AL23="Moderado"),AND(AJ23="Alta",AL23="Mayor"),AND(AJ23="Muy Alta",AL23="Leve"),AND(AJ23="Muy Alta",AL23="Menor"),AND(AJ23="Muy Alta",AL23="Moderado"),AND(AJ23="Muy Alta",AL23="Mayor")),"Alto",IF(OR(AND(AJ23="Muy Baja",AL23="Catastrófico"),AND(AJ23="Baja",AL23="Catastrófico"),AND(AJ23="Media",AL23="Catastrófico"),AND(AJ23="Alta",AL23="Catastrófico"),AND(AJ23="Muy Alta",AL23="Catastrófico")),"Extremo","")))),"")</f>
        <v>Moderado</v>
      </c>
      <c r="AO23" s="132"/>
      <c r="AP23" s="125"/>
      <c r="AQ23" s="133"/>
      <c r="AR23" s="133"/>
      <c r="AS23" s="134"/>
      <c r="AT23" s="400"/>
      <c r="AU23" s="400"/>
      <c r="AV23" s="400"/>
    </row>
    <row r="24" spans="1:48" ht="21.75" customHeight="1" x14ac:dyDescent="0.2">
      <c r="A24" s="398"/>
      <c r="B24" s="399"/>
      <c r="C24" s="399"/>
      <c r="D24" s="452"/>
      <c r="E24" s="423"/>
      <c r="F24" s="399"/>
      <c r="G24" s="401"/>
      <c r="H24" s="400"/>
      <c r="I24" s="403"/>
      <c r="J24" s="423"/>
      <c r="K24" s="423"/>
      <c r="L24" s="433"/>
      <c r="M24" s="399"/>
      <c r="N24" s="399"/>
      <c r="O24" s="416"/>
      <c r="P24" s="417"/>
      <c r="Q24" s="405"/>
      <c r="R24" s="406"/>
      <c r="S24" s="405">
        <f>IF(NOT(ISERROR(MATCH(R24,_xlfn.ANCHORARRAY(G35),0))),Q37&amp;"Por favor no seleccionar los criterios de impacto",R24)</f>
        <v>0</v>
      </c>
      <c r="T24" s="417"/>
      <c r="U24" s="405"/>
      <c r="V24" s="418"/>
      <c r="W24" s="149">
        <v>3</v>
      </c>
      <c r="X24" s="309" t="s">
        <v>585</v>
      </c>
      <c r="Y24" s="310" t="s">
        <v>594</v>
      </c>
      <c r="Z24" s="336" t="s">
        <v>595</v>
      </c>
      <c r="AA24" s="304" t="str">
        <f t="shared" si="1"/>
        <v>El designado por el jefe de la OAP revisa semanalmente la consolidación de las actualizaciones documentales (Creación, actualización y/o  eliminación) en el Listado Maestro de Documentos y lo publica en la SIGESTION  de la entidad.En caso de no actualizarse oportunamente, se debe actualizar inmediatamente</v>
      </c>
      <c r="AB24" s="126" t="str">
        <f>IF(OR(AC24="Preventivo",AC24="Detectivo"),"Probabilidad",IF(AC24="Correctivo","Impacto",""))</f>
        <v>Probabilidad</v>
      </c>
      <c r="AC24" s="127" t="s">
        <v>398</v>
      </c>
      <c r="AD24" s="127" t="s">
        <v>394</v>
      </c>
      <c r="AE24" s="128" t="str">
        <f t="shared" si="20"/>
        <v>40%</v>
      </c>
      <c r="AF24" s="127" t="s">
        <v>395</v>
      </c>
      <c r="AG24" s="127" t="s">
        <v>396</v>
      </c>
      <c r="AH24" s="127" t="s">
        <v>397</v>
      </c>
      <c r="AI24" s="129">
        <f>IFERROR(IF(AND(AB23="Probabilidad",AB24="Probabilidad"),(AK23-(+AK23*AE24)),IF(AND(AB23="Impacto",AB24="Probabilidad"),(AK22-(+AK22*AE24)),IF(AB24="Impacto",AK23,""))),"")</f>
        <v>0.12959999999999999</v>
      </c>
      <c r="AJ24" s="130" t="str">
        <f t="shared" si="3"/>
        <v>Muy Baja</v>
      </c>
      <c r="AK24" s="128">
        <f t="shared" si="21"/>
        <v>0.12959999999999999</v>
      </c>
      <c r="AL24" s="130" t="str">
        <f t="shared" si="5"/>
        <v>Menor</v>
      </c>
      <c r="AM24" s="128">
        <f t="shared" ref="AM24" si="24">IFERROR(IF(AND(AB23="Impacto",AB24="Impacto"),(AM23-(+AM23*AE24)),IF(AND(AB23="Probabilidad",AB24="Impacto"),(AM22-(+AM22*AE24)),IF(AB24="Probabilidad",AM23,""))),"")</f>
        <v>0.4</v>
      </c>
      <c r="AN24" s="131" t="str">
        <f t="shared" si="23"/>
        <v>Bajo</v>
      </c>
      <c r="AO24" s="132" t="s">
        <v>35</v>
      </c>
      <c r="AP24" s="125"/>
      <c r="AQ24" s="133"/>
      <c r="AR24" s="133"/>
      <c r="AS24" s="134"/>
      <c r="AT24" s="400"/>
      <c r="AU24" s="400"/>
      <c r="AV24" s="400"/>
    </row>
    <row r="25" spans="1:48" ht="21.75" customHeight="1" x14ac:dyDescent="0.2">
      <c r="A25" s="398"/>
      <c r="B25" s="399"/>
      <c r="C25" s="399"/>
      <c r="D25" s="452"/>
      <c r="E25" s="423"/>
      <c r="F25" s="399"/>
      <c r="G25" s="401"/>
      <c r="H25" s="400"/>
      <c r="I25" s="403"/>
      <c r="J25" s="423"/>
      <c r="K25" s="423"/>
      <c r="L25" s="433"/>
      <c r="M25" s="399"/>
      <c r="N25" s="399"/>
      <c r="O25" s="416"/>
      <c r="P25" s="417"/>
      <c r="Q25" s="405"/>
      <c r="R25" s="406"/>
      <c r="S25" s="405">
        <f>IF(NOT(ISERROR(MATCH(R25,_xlfn.ANCHORARRAY(G36),0))),Q38&amp;"Por favor no seleccionar los criterios de impacto",R25)</f>
        <v>0</v>
      </c>
      <c r="T25" s="417"/>
      <c r="U25" s="405"/>
      <c r="V25" s="418"/>
      <c r="W25" s="149">
        <v>4</v>
      </c>
      <c r="X25" s="149"/>
      <c r="Y25" s="149"/>
      <c r="Z25" s="336"/>
      <c r="AA25" s="304" t="str">
        <f t="shared" si="1"/>
        <v xml:space="preserve">  </v>
      </c>
      <c r="AB25" s="126" t="str">
        <f t="shared" ref="AB25:AB27" si="25">IF(OR(AC25="Preventivo",AC25="Detectivo"),"Probabilidad",IF(AC25="Correctivo","Impacto",""))</f>
        <v/>
      </c>
      <c r="AC25" s="127"/>
      <c r="AD25" s="127"/>
      <c r="AE25" s="128" t="str">
        <f t="shared" si="20"/>
        <v/>
      </c>
      <c r="AF25" s="127"/>
      <c r="AG25" s="127"/>
      <c r="AH25" s="127"/>
      <c r="AI25" s="129" t="str">
        <f t="shared" ref="AI25:AI27" si="26">IFERROR(IF(AND(AB24="Probabilidad",AB25="Probabilidad"),(AK24-(+AK24*AE25)),IF(AND(AB24="Impacto",AB25="Probabilidad"),(AK23-(+AK23*AE25)),IF(AB25="Impacto",AK24,""))),"")</f>
        <v/>
      </c>
      <c r="AJ25" s="130" t="str">
        <f t="shared" si="3"/>
        <v/>
      </c>
      <c r="AK25" s="128" t="str">
        <f t="shared" si="21"/>
        <v/>
      </c>
      <c r="AL25" s="130" t="str">
        <f t="shared" si="5"/>
        <v/>
      </c>
      <c r="AM25" s="128" t="str">
        <f t="shared" si="15"/>
        <v/>
      </c>
      <c r="AN25" s="131" t="str">
        <f>IFERROR(IF(OR(AND(AJ25="Muy Baja",AL25="Leve"),AND(AJ25="Muy Baja",AL25="Menor"),AND(AJ25="Baja",AL25="Leve")),"Bajo",IF(OR(AND(AJ25="Muy baja",AL25="Moderado"),AND(AJ25="Baja",AL25="Menor"),AND(AJ25="Baja",AL25="Moderado"),AND(AJ25="Media",AL25="Leve"),AND(AJ25="Media",AL25="Menor"),AND(AJ25="Media",AL25="Moderado"),AND(AJ25="Alta",AL25="Leve"),AND(AJ25="Alta",AL25="Menor")),"Moderado",IF(OR(AND(AJ25="Muy Baja",AL25="Mayor"),AND(AJ25="Baja",AL25="Mayor"),AND(AJ25="Media",AL25="Mayor"),AND(AJ25="Alta",AL25="Moderado"),AND(AJ25="Alta",AL25="Mayor"),AND(AJ25="Muy Alta",AL25="Leve"),AND(AJ25="Muy Alta",AL25="Menor"),AND(AJ25="Muy Alta",AL25="Moderado"),AND(AJ25="Muy Alta",AL25="Mayor")),"Alto",IF(OR(AND(AJ25="Muy Baja",AL25="Catastrófico"),AND(AJ25="Baja",AL25="Catastrófico"),AND(AJ25="Media",AL25="Catastrófico"),AND(AJ25="Alta",AL25="Catastrófico"),AND(AJ25="Muy Alta",AL25="Catastrófico")),"Extremo","")))),"")</f>
        <v/>
      </c>
      <c r="AO25" s="132"/>
      <c r="AP25" s="125"/>
      <c r="AQ25" s="133"/>
      <c r="AR25" s="133"/>
      <c r="AS25" s="134"/>
      <c r="AT25" s="400"/>
      <c r="AU25" s="400"/>
      <c r="AV25" s="400"/>
    </row>
    <row r="26" spans="1:48" ht="21.75" customHeight="1" x14ac:dyDescent="0.2">
      <c r="A26" s="398"/>
      <c r="B26" s="399"/>
      <c r="C26" s="399"/>
      <c r="D26" s="452"/>
      <c r="E26" s="423"/>
      <c r="F26" s="399"/>
      <c r="G26" s="401"/>
      <c r="H26" s="400"/>
      <c r="I26" s="403"/>
      <c r="J26" s="423"/>
      <c r="K26" s="423"/>
      <c r="L26" s="433"/>
      <c r="M26" s="399"/>
      <c r="N26" s="399"/>
      <c r="O26" s="416"/>
      <c r="P26" s="417"/>
      <c r="Q26" s="405"/>
      <c r="R26" s="406"/>
      <c r="S26" s="405">
        <f>IF(NOT(ISERROR(MATCH(R26,_xlfn.ANCHORARRAY(G37),0))),Q39&amp;"Por favor no seleccionar los criterios de impacto",R26)</f>
        <v>0</v>
      </c>
      <c r="T26" s="417"/>
      <c r="U26" s="405"/>
      <c r="V26" s="418"/>
      <c r="W26" s="149">
        <v>5</v>
      </c>
      <c r="X26" s="149"/>
      <c r="Y26" s="149"/>
      <c r="Z26" s="336"/>
      <c r="AA26" s="304" t="str">
        <f t="shared" si="1"/>
        <v xml:space="preserve">  </v>
      </c>
      <c r="AB26" s="126" t="str">
        <f t="shared" si="25"/>
        <v/>
      </c>
      <c r="AC26" s="127"/>
      <c r="AD26" s="127"/>
      <c r="AE26" s="128" t="str">
        <f t="shared" si="20"/>
        <v/>
      </c>
      <c r="AF26" s="127"/>
      <c r="AG26" s="127"/>
      <c r="AH26" s="127"/>
      <c r="AI26" s="129" t="str">
        <f t="shared" si="26"/>
        <v/>
      </c>
      <c r="AJ26" s="130" t="str">
        <f t="shared" si="3"/>
        <v/>
      </c>
      <c r="AK26" s="128" t="str">
        <f t="shared" si="21"/>
        <v/>
      </c>
      <c r="AL26" s="130" t="str">
        <f t="shared" si="5"/>
        <v/>
      </c>
      <c r="AM26" s="128" t="str">
        <f t="shared" si="15"/>
        <v/>
      </c>
      <c r="AN26" s="131" t="str">
        <f t="shared" ref="AN26:AN27" si="27">IFERROR(IF(OR(AND(AJ26="Muy Baja",AL26="Leve"),AND(AJ26="Muy Baja",AL26="Menor"),AND(AJ26="Baja",AL26="Leve")),"Bajo",IF(OR(AND(AJ26="Muy baja",AL26="Moderado"),AND(AJ26="Baja",AL26="Menor"),AND(AJ26="Baja",AL26="Moderado"),AND(AJ26="Media",AL26="Leve"),AND(AJ26="Media",AL26="Menor"),AND(AJ26="Media",AL26="Moderado"),AND(AJ26="Alta",AL26="Leve"),AND(AJ26="Alta",AL26="Menor")),"Moderado",IF(OR(AND(AJ26="Muy Baja",AL26="Mayor"),AND(AJ26="Baja",AL26="Mayor"),AND(AJ26="Media",AL26="Mayor"),AND(AJ26="Alta",AL26="Moderado"),AND(AJ26="Alta",AL26="Mayor"),AND(AJ26="Muy Alta",AL26="Leve"),AND(AJ26="Muy Alta",AL26="Menor"),AND(AJ26="Muy Alta",AL26="Moderado"),AND(AJ26="Muy Alta",AL26="Mayor")),"Alto",IF(OR(AND(AJ26="Muy Baja",AL26="Catastrófico"),AND(AJ26="Baja",AL26="Catastrófico"),AND(AJ26="Media",AL26="Catastrófico"),AND(AJ26="Alta",AL26="Catastrófico"),AND(AJ26="Muy Alta",AL26="Catastrófico")),"Extremo","")))),"")</f>
        <v/>
      </c>
      <c r="AO26" s="132"/>
      <c r="AP26" s="125"/>
      <c r="AQ26" s="133"/>
      <c r="AR26" s="133"/>
      <c r="AS26" s="134"/>
      <c r="AT26" s="400"/>
      <c r="AU26" s="400"/>
      <c r="AV26" s="400"/>
    </row>
    <row r="27" spans="1:48" ht="21.75" customHeight="1" x14ac:dyDescent="0.2">
      <c r="A27" s="398"/>
      <c r="B27" s="399"/>
      <c r="C27" s="399"/>
      <c r="D27" s="453"/>
      <c r="E27" s="423"/>
      <c r="F27" s="399"/>
      <c r="G27" s="401"/>
      <c r="H27" s="400"/>
      <c r="I27" s="404"/>
      <c r="J27" s="423"/>
      <c r="K27" s="423"/>
      <c r="L27" s="434"/>
      <c r="M27" s="399"/>
      <c r="N27" s="399"/>
      <c r="O27" s="416"/>
      <c r="P27" s="417"/>
      <c r="Q27" s="405"/>
      <c r="R27" s="406"/>
      <c r="S27" s="405">
        <f>IF(NOT(ISERROR(MATCH(R27,_xlfn.ANCHORARRAY(G38),0))),Q40&amp;"Por favor no seleccionar los criterios de impacto",R27)</f>
        <v>0</v>
      </c>
      <c r="T27" s="417"/>
      <c r="U27" s="405"/>
      <c r="V27" s="418"/>
      <c r="W27" s="149">
        <v>6</v>
      </c>
      <c r="X27" s="149"/>
      <c r="Y27" s="149"/>
      <c r="Z27" s="336"/>
      <c r="AA27" s="304" t="str">
        <f t="shared" si="1"/>
        <v xml:space="preserve">  </v>
      </c>
      <c r="AB27" s="126" t="str">
        <f t="shared" si="25"/>
        <v/>
      </c>
      <c r="AC27" s="127"/>
      <c r="AD27" s="127"/>
      <c r="AE27" s="128" t="str">
        <f t="shared" si="20"/>
        <v/>
      </c>
      <c r="AF27" s="127"/>
      <c r="AG27" s="127"/>
      <c r="AH27" s="127"/>
      <c r="AI27" s="129" t="str">
        <f t="shared" si="26"/>
        <v/>
      </c>
      <c r="AJ27" s="130" t="str">
        <f t="shared" si="3"/>
        <v/>
      </c>
      <c r="AK27" s="128" t="str">
        <f t="shared" si="21"/>
        <v/>
      </c>
      <c r="AL27" s="130" t="str">
        <f t="shared" si="5"/>
        <v/>
      </c>
      <c r="AM27" s="128" t="str">
        <f t="shared" si="15"/>
        <v/>
      </c>
      <c r="AN27" s="131" t="str">
        <f t="shared" si="27"/>
        <v/>
      </c>
      <c r="AO27" s="132"/>
      <c r="AP27" s="125"/>
      <c r="AQ27" s="133"/>
      <c r="AR27" s="133"/>
      <c r="AS27" s="134"/>
      <c r="AT27" s="400"/>
      <c r="AU27" s="400"/>
      <c r="AV27" s="400"/>
    </row>
    <row r="28" spans="1:48" ht="69" customHeight="1" x14ac:dyDescent="0.2">
      <c r="A28" s="398">
        <v>4</v>
      </c>
      <c r="B28" s="400" t="s">
        <v>547</v>
      </c>
      <c r="C28" s="402" t="s">
        <v>40</v>
      </c>
      <c r="D28" s="470" t="s">
        <v>616</v>
      </c>
      <c r="E28" s="420" t="s">
        <v>630</v>
      </c>
      <c r="F28" s="402" t="s">
        <v>617</v>
      </c>
      <c r="G28" s="401" t="str">
        <f t="shared" ref="G28" si="28">+CONCATENATE(C28," ",D28," ",E28)</f>
        <v xml:space="preserve">Posibilidad de afectación reputacional Por requerimientos de entes de control y de los procesos internos de la entidad  Debido a deficiencias en la publicación de información, ya sea desactualizada o incorrecta, lo que genera comunicación inexacta hacia los colaboradores y ciudadanía.
Baja capacidad de las dependencias para interrelacionar las necesidades de divulgación y comunicación.
Desconocimiento de los canales de comunicación interna y la forma de acceder a ellos, asi como el apoyo que  prestar el equipo de comunicaciones </v>
      </c>
      <c r="H28" s="400" t="s">
        <v>391</v>
      </c>
      <c r="I28" s="402" t="s">
        <v>59</v>
      </c>
      <c r="J28" s="423" t="s">
        <v>618</v>
      </c>
      <c r="K28" s="423" t="s">
        <v>619</v>
      </c>
      <c r="L28" s="428" t="s">
        <v>620</v>
      </c>
      <c r="M28" s="402" t="s">
        <v>621</v>
      </c>
      <c r="N28" s="402" t="s">
        <v>622</v>
      </c>
      <c r="O28" s="416">
        <v>24</v>
      </c>
      <c r="P28" s="417" t="str">
        <f>IF(O28&lt;=0,"",IF(O28&lt;=2,"Muy Baja",IF(O28&lt;=24,"Baja",IF(O28&lt;=500,"Media",IF(O28&lt;=5000,"Alta","Muy Alta")))))</f>
        <v>Baja</v>
      </c>
      <c r="Q28" s="405">
        <f>IF(P28="","",IF(P28="Muy Baja",0.2,IF(P28="Baja",0.4,IF(P28="Media",0.6,IF(P28="Alta",0.8,IF(P28="Muy Alta",1,))))))</f>
        <v>0.4</v>
      </c>
      <c r="R28" s="406" t="s">
        <v>513</v>
      </c>
      <c r="S28" s="405" t="str">
        <f>IF(NOT(ISERROR(MATCH(R28,'Tabla Impacto'!$B$245:$B$247,0))),'Tabla Impacto'!$F$224&amp;"Por favor no seleccionar los criterios de impacto(Afectación Económica o presupuestal y Pérdida Reputacional)",R28)</f>
        <v xml:space="preserve">     El riesgo afecta la imagen de la entidad internamente, de conocimiento general, nivel interno, de junta dircetiva y accionistas y/o de provedores</v>
      </c>
      <c r="T28" s="417" t="str">
        <f>IF(OR(S28='Tabla Impacto'!$C$12,S28='Tabla Impacto'!$D$12),"Leve",IF(OR(S28='Tabla Impacto'!$C$13,S28='Tabla Impacto'!$D$13),"Menor",IF(OR(S28='Tabla Impacto'!$C$14,S28='Tabla Impacto'!$D$14),"Moderado",IF(OR(S28='Tabla Impacto'!$C$15,S28='Tabla Impacto'!$D$15),"Mayor",IF(OR(S28='Tabla Impacto'!$C$16,S28='Tabla Impacto'!$D$16),"Catastrófico","")))))</f>
        <v>Menor</v>
      </c>
      <c r="U28" s="405">
        <f>IF(T28="","",IF(T28="Leve",0.2,IF(T28="Menor",0.4,IF(T28="Moderado",0.6,IF(T28="Mayor",0.8,IF(T28="Catastrófico",1,))))))</f>
        <v>0.4</v>
      </c>
      <c r="V28" s="418" t="str">
        <f>IF(OR(AND(P28="Muy Baja",T28="Leve"),AND(P28="Muy Baja",T28="Menor"),AND(P28="Baja",T28="Leve")),"Bajo",IF(OR(AND(P28="Muy baja",T28="Moderado"),AND(P28="Baja",T28="Menor"),AND(P28="Baja",T28="Moderado"),AND(P28="Media",T28="Leve"),AND(P28="Media",T28="Menor"),AND(P28="Media",T28="Moderado"),AND(P28="Alta",T28="Leve"),AND(P28="Alta",T28="Menor")),"Moderado",IF(OR(AND(P28="Muy Baja",T28="Mayor"),AND(P28="Baja",T28="Mayor"),AND(P28="Media",T28="Mayor"),AND(P28="Alta",T28="Moderado"),AND(P28="Alta",T28="Mayor"),AND(P28="Muy Alta",T28="Leve"),AND(P28="Muy Alta",T28="Menor"),AND(P28="Muy Alta",T28="Moderado"),AND(P28="Muy Alta",T28="Mayor")),"Alto",IF(OR(AND(P28="Muy Baja",T28="Catastrófico"),AND(P28="Baja",T28="Catastrófico"),AND(P28="Media",T28="Catastrófico"),AND(P28="Alta",T28="Catastrófico"),AND(P28="Muy Alta",T28="Catastrófico")),"Extremo",""))))</f>
        <v>Moderado</v>
      </c>
      <c r="W28" s="149">
        <v>1</v>
      </c>
      <c r="X28" s="182" t="s">
        <v>623</v>
      </c>
      <c r="Y28" s="182" t="s">
        <v>41</v>
      </c>
      <c r="Z28" s="336" t="s">
        <v>624</v>
      </c>
      <c r="AA28" s="304" t="str">
        <f t="shared" si="1"/>
        <v xml:space="preserve">Profesional Equipo de Comunicaciones y la jefe de Comunicaciones Valida Bimestralmente dentro del consejo de redacción, que se estén  llevando a cabo las actividades asociadas a la divulgación del manejo del Aplicativo de Comunicaciones. Como evidencia quedarán las actas de reunión del consejo de redacción. 
En caso de evidenciar que las actividades presenten demoras en su ejecución, se generará la alerta de tal forma que se pueda reprogramar, sin superar 15 dias calendario siguiente a la reunión. </v>
      </c>
      <c r="AB28" s="126" t="str">
        <f>IF(OR(AC28="Preventivo",AC28="Detectivo"),"Probabilidad",IF(AC28="Correctivo","Impacto",""))</f>
        <v>Probabilidad</v>
      </c>
      <c r="AC28" s="127" t="s">
        <v>398</v>
      </c>
      <c r="AD28" s="127" t="s">
        <v>394</v>
      </c>
      <c r="AE28" s="128" t="str">
        <f>IF(AND(AC28="Preventivo",AD28="Automático"),"50%",IF(AND(AC28="Preventivo",AD28="Manual"),"40%",IF(AND(AC28="Detectivo",AD28="Automático"),"40%",IF(AND(AC28="Detectivo",AD28="Manual"),"30%",IF(AND(AC28="Correctivo",AD28="Automático"),"35%",IF(AND(AC28="Correctivo",AD28="Manual"),"25%",""))))))</f>
        <v>40%</v>
      </c>
      <c r="AF28" s="127" t="s">
        <v>395</v>
      </c>
      <c r="AG28" s="127" t="s">
        <v>396</v>
      </c>
      <c r="AH28" s="127" t="s">
        <v>397</v>
      </c>
      <c r="AI28" s="129">
        <f>IFERROR(IF(AB28="Probabilidad",(Q28-(+Q28*AE28)),IF(AB28="Impacto",Q28,"")),"")</f>
        <v>0.24</v>
      </c>
      <c r="AJ28" s="130" t="str">
        <f>IFERROR(IF(AI28="","",IF(AI28&lt;=0.2,"Muy Baja",IF(AI28&lt;=0.4,"Baja",IF(AI28&lt;=0.6,"Media",IF(AI28&lt;=0.8,"Alta","Muy Alta"))))),"")</f>
        <v>Baja</v>
      </c>
      <c r="AK28" s="128">
        <f>+AI28</f>
        <v>0.24</v>
      </c>
      <c r="AL28" s="130" t="str">
        <f>IFERROR(IF(AM28="","",IF(AM28&lt;=0.2,"Leve",IF(AM28&lt;=0.4,"Menor",IF(AM28&lt;=0.6,"Moderado",IF(AM28&lt;=0.8,"Mayor","Catastrófico"))))),"")</f>
        <v>Menor</v>
      </c>
      <c r="AM28" s="128">
        <f t="shared" ref="AM28" si="29">IFERROR(IF(AB28="Impacto",(U28-(+U28*AE28)),IF(AB28="Probabilidad",U28,"")),"")</f>
        <v>0.4</v>
      </c>
      <c r="AN28" s="131" t="str">
        <f>IFERROR(IF(OR(AND(AJ28="Muy Baja",AL28="Leve"),AND(AJ28="Muy Baja",AL28="Menor"),AND(AJ28="Baja",AL28="Leve")),"Bajo",IF(OR(AND(AJ28="Muy baja",AL28="Moderado"),AND(AJ28="Baja",AL28="Menor"),AND(AJ28="Baja",AL28="Moderado"),AND(AJ28="Media",AL28="Leve"),AND(AJ28="Media",AL28="Menor"),AND(AJ28="Media",AL28="Moderado"),AND(AJ28="Alta",AL28="Leve"),AND(AJ28="Alta",AL28="Menor")),"Moderado",IF(OR(AND(AJ28="Muy Baja",AL28="Mayor"),AND(AJ28="Baja",AL28="Mayor"),AND(AJ28="Media",AL28="Mayor"),AND(AJ28="Alta",AL28="Moderado"),AND(AJ28="Alta",AL28="Mayor"),AND(AJ28="Muy Alta",AL28="Leve"),AND(AJ28="Muy Alta",AL28="Menor"),AND(AJ28="Muy Alta",AL28="Moderado"),AND(AJ28="Muy Alta",AL28="Mayor")),"Alto",IF(OR(AND(AJ28="Muy Baja",AL28="Catastrófico"),AND(AJ28="Baja",AL28="Catastrófico"),AND(AJ28="Media",AL28="Catastrófico"),AND(AJ28="Alta",AL28="Catastrófico"),AND(AJ28="Muy Alta",AL28="Catastrófico")),"Extremo","")))),"")</f>
        <v>Moderado</v>
      </c>
      <c r="AO28" s="132"/>
      <c r="AP28" s="125"/>
      <c r="AQ28" s="133"/>
      <c r="AR28" s="133"/>
      <c r="AS28" s="134"/>
      <c r="AT28" s="402" t="s">
        <v>626</v>
      </c>
      <c r="AU28" s="402" t="s">
        <v>627</v>
      </c>
      <c r="AV28" s="402" t="s">
        <v>628</v>
      </c>
    </row>
    <row r="29" spans="1:48" ht="60.75" customHeight="1" x14ac:dyDescent="0.2">
      <c r="A29" s="398"/>
      <c r="B29" s="400"/>
      <c r="C29" s="403"/>
      <c r="D29" s="403"/>
      <c r="E29" s="421"/>
      <c r="F29" s="403"/>
      <c r="G29" s="401"/>
      <c r="H29" s="400"/>
      <c r="I29" s="403"/>
      <c r="J29" s="423"/>
      <c r="K29" s="423"/>
      <c r="L29" s="429"/>
      <c r="M29" s="403"/>
      <c r="N29" s="403"/>
      <c r="O29" s="416"/>
      <c r="P29" s="417"/>
      <c r="Q29" s="405"/>
      <c r="R29" s="406"/>
      <c r="S29" s="405">
        <f>IF(NOT(ISERROR(MATCH(R29,_xlfn.ANCHORARRAY(G40),0))),Q42&amp;"Por favor no seleccionar los criterios de impacto",R29)</f>
        <v>0</v>
      </c>
      <c r="T29" s="417"/>
      <c r="U29" s="405"/>
      <c r="V29" s="418"/>
      <c r="W29" s="149">
        <v>2</v>
      </c>
      <c r="X29" s="182" t="s">
        <v>623</v>
      </c>
      <c r="Y29" s="149" t="s">
        <v>37</v>
      </c>
      <c r="Z29" s="336" t="s">
        <v>625</v>
      </c>
      <c r="AA29" s="304" t="str">
        <f t="shared" si="1"/>
        <v xml:space="preserve">Profesional Equipo de Comunicaciones y la jefe de Comunicaciones Verifica Trimestralmente dentro del consejo de redacción, la Publicación de piezas de invitación para la utilización de los canales de comunicación existentes en la entidad. Como evidencia quedarán las actas de reunión del consejo de redacción. 
En caso de evidenciar que las actividades presenten demoras en su ejecución, se realizará la publicación de las piezas, sin superar los 8 dias calendario siguientes a la finalización del trimestre. Como soporte quedarán capturas de pantalla, piezas gráficas o fotografías. </v>
      </c>
      <c r="AB29" s="126" t="str">
        <f>IF(OR(AC29="Preventivo",AC29="Detectivo"),"Probabilidad",IF(AC29="Correctivo","Impacto",""))</f>
        <v>Probabilidad</v>
      </c>
      <c r="AC29" s="127" t="s">
        <v>398</v>
      </c>
      <c r="AD29" s="127" t="s">
        <v>394</v>
      </c>
      <c r="AE29" s="128" t="str">
        <f t="shared" ref="AE29:AE33" si="30">IF(AND(AC29="Preventivo",AD29="Automático"),"50%",IF(AND(AC29="Preventivo",AD29="Manual"),"40%",IF(AND(AC29="Detectivo",AD29="Automático"),"40%",IF(AND(AC29="Detectivo",AD29="Manual"),"30%",IF(AND(AC29="Correctivo",AD29="Automático"),"35%",IF(AND(AC29="Correctivo",AD29="Manual"),"25%",""))))))</f>
        <v>40%</v>
      </c>
      <c r="AF29" s="127" t="s">
        <v>395</v>
      </c>
      <c r="AG29" s="127" t="s">
        <v>396</v>
      </c>
      <c r="AH29" s="127" t="s">
        <v>397</v>
      </c>
      <c r="AI29" s="129">
        <f>IFERROR(IF(AND(AB28="Probabilidad",AB29="Probabilidad"),(AK28-(+AK28*AE29)),IF(AB29="Probabilidad",(Q28-(+Q28*AE29)),IF(AB29="Impacto",AK28,""))),"")</f>
        <v>0.14399999999999999</v>
      </c>
      <c r="AJ29" s="130" t="str">
        <f t="shared" si="3"/>
        <v>Muy Baja</v>
      </c>
      <c r="AK29" s="128">
        <f t="shared" ref="AK29:AK33" si="31">+AI29</f>
        <v>0.14399999999999999</v>
      </c>
      <c r="AL29" s="130" t="str">
        <f t="shared" si="5"/>
        <v>Menor</v>
      </c>
      <c r="AM29" s="128">
        <f t="shared" ref="AM29" si="32">IFERROR(IF(AND(AB28="Impacto",AB29="Impacto"),(AM28-(+AM28*AE29)),IF(AB29="Impacto",($U$10-(+$U$10*AE29)),IF(AB29="Probabilidad",AM28,""))),"")</f>
        <v>0.4</v>
      </c>
      <c r="AN29" s="131" t="str">
        <f t="shared" ref="AN29:AN30" si="33">IFERROR(IF(OR(AND(AJ29="Muy Baja",AL29="Leve"),AND(AJ29="Muy Baja",AL29="Menor"),AND(AJ29="Baja",AL29="Leve")),"Bajo",IF(OR(AND(AJ29="Muy baja",AL29="Moderado"),AND(AJ29="Baja",AL29="Menor"),AND(AJ29="Baja",AL29="Moderado"),AND(AJ29="Media",AL29="Leve"),AND(AJ29="Media",AL29="Menor"),AND(AJ29="Media",AL29="Moderado"),AND(AJ29="Alta",AL29="Leve"),AND(AJ29="Alta",AL29="Menor")),"Moderado",IF(OR(AND(AJ29="Muy Baja",AL29="Mayor"),AND(AJ29="Baja",AL29="Mayor"),AND(AJ29="Media",AL29="Mayor"),AND(AJ29="Alta",AL29="Moderado"),AND(AJ29="Alta",AL29="Mayor"),AND(AJ29="Muy Alta",AL29="Leve"),AND(AJ29="Muy Alta",AL29="Menor"),AND(AJ29="Muy Alta",AL29="Moderado"),AND(AJ29="Muy Alta",AL29="Mayor")),"Alto",IF(OR(AND(AJ29="Muy Baja",AL29="Catastrófico"),AND(AJ29="Baja",AL29="Catastrófico"),AND(AJ29="Media",AL29="Catastrófico"),AND(AJ29="Alta",AL29="Catastrófico"),AND(AJ29="Muy Alta",AL29="Catastrófico")),"Extremo","")))),"")</f>
        <v>Bajo</v>
      </c>
      <c r="AO29" s="132" t="s">
        <v>35</v>
      </c>
      <c r="AP29" s="125"/>
      <c r="AQ29" s="133"/>
      <c r="AR29" s="133"/>
      <c r="AS29" s="134"/>
      <c r="AT29" s="403"/>
      <c r="AU29" s="403"/>
      <c r="AV29" s="403"/>
    </row>
    <row r="30" spans="1:48" x14ac:dyDescent="0.2">
      <c r="A30" s="398"/>
      <c r="B30" s="400"/>
      <c r="C30" s="403"/>
      <c r="D30" s="403"/>
      <c r="E30" s="421"/>
      <c r="F30" s="403"/>
      <c r="G30" s="401"/>
      <c r="H30" s="400"/>
      <c r="I30" s="403"/>
      <c r="J30" s="423"/>
      <c r="K30" s="423"/>
      <c r="L30" s="429"/>
      <c r="M30" s="403"/>
      <c r="N30" s="403"/>
      <c r="O30" s="416"/>
      <c r="P30" s="417"/>
      <c r="Q30" s="405"/>
      <c r="R30" s="406"/>
      <c r="S30" s="405">
        <f>IF(NOT(ISERROR(MATCH(R30,_xlfn.ANCHORARRAY(G41),0))),Q43&amp;"Por favor no seleccionar los criterios de impacto",R30)</f>
        <v>0</v>
      </c>
      <c r="T30" s="417"/>
      <c r="U30" s="405"/>
      <c r="V30" s="418"/>
      <c r="W30" s="149">
        <v>3</v>
      </c>
      <c r="X30" s="149"/>
      <c r="Y30" s="149"/>
      <c r="Z30" s="336"/>
      <c r="AA30" s="304" t="str">
        <f t="shared" si="1"/>
        <v xml:space="preserve">  </v>
      </c>
      <c r="AB30" s="126" t="str">
        <f>IF(OR(AC30="Preventivo",AC30="Detectivo"),"Probabilidad",IF(AC30="Correctivo","Impacto",""))</f>
        <v/>
      </c>
      <c r="AC30" s="127"/>
      <c r="AD30" s="127"/>
      <c r="AE30" s="128" t="str">
        <f t="shared" si="30"/>
        <v/>
      </c>
      <c r="AF30" s="127"/>
      <c r="AG30" s="127"/>
      <c r="AH30" s="127"/>
      <c r="AI30" s="129" t="str">
        <f>IFERROR(IF(AND(AB29="Probabilidad",AB30="Probabilidad"),(AK29-(+AK29*AE30)),IF(AND(AB29="Impacto",AB30="Probabilidad"),(AK28-(+AK28*AE30)),IF(AB30="Impacto",AK29,""))),"")</f>
        <v/>
      </c>
      <c r="AJ30" s="130" t="str">
        <f t="shared" si="3"/>
        <v/>
      </c>
      <c r="AK30" s="128" t="str">
        <f t="shared" si="31"/>
        <v/>
      </c>
      <c r="AL30" s="130" t="str">
        <f t="shared" si="5"/>
        <v/>
      </c>
      <c r="AM30" s="128" t="str">
        <f t="shared" ref="AM30" si="34">IFERROR(IF(AND(AB29="Impacto",AB30="Impacto"),(AM29-(+AM29*AE30)),IF(AND(AB29="Probabilidad",AB30="Impacto"),(AM28-(+AM28*AE30)),IF(AB30="Probabilidad",AM29,""))),"")</f>
        <v/>
      </c>
      <c r="AN30" s="131" t="str">
        <f t="shared" si="33"/>
        <v/>
      </c>
      <c r="AO30" s="132"/>
      <c r="AP30" s="125"/>
      <c r="AQ30" s="133"/>
      <c r="AR30" s="133"/>
      <c r="AS30" s="134"/>
      <c r="AT30" s="403"/>
      <c r="AU30" s="403"/>
      <c r="AV30" s="403"/>
    </row>
    <row r="31" spans="1:48" x14ac:dyDescent="0.2">
      <c r="A31" s="398"/>
      <c r="B31" s="400"/>
      <c r="C31" s="403"/>
      <c r="D31" s="403"/>
      <c r="E31" s="421"/>
      <c r="F31" s="403"/>
      <c r="G31" s="401"/>
      <c r="H31" s="400"/>
      <c r="I31" s="403"/>
      <c r="J31" s="423"/>
      <c r="K31" s="423"/>
      <c r="L31" s="429"/>
      <c r="M31" s="403"/>
      <c r="N31" s="403"/>
      <c r="O31" s="416"/>
      <c r="P31" s="417"/>
      <c r="Q31" s="405"/>
      <c r="R31" s="406"/>
      <c r="S31" s="405">
        <f>IF(NOT(ISERROR(MATCH(R31,_xlfn.ANCHORARRAY(G42),0))),Q44&amp;"Por favor no seleccionar los criterios de impacto",R31)</f>
        <v>0</v>
      </c>
      <c r="T31" s="417"/>
      <c r="U31" s="405"/>
      <c r="V31" s="418"/>
      <c r="W31" s="149">
        <v>4</v>
      </c>
      <c r="X31" s="149"/>
      <c r="Y31" s="149"/>
      <c r="Z31" s="336"/>
      <c r="AA31" s="304" t="str">
        <f t="shared" si="1"/>
        <v xml:space="preserve">  </v>
      </c>
      <c r="AB31" s="126" t="str">
        <f t="shared" ref="AB31:AB33" si="35">IF(OR(AC31="Preventivo",AC31="Detectivo"),"Probabilidad",IF(AC31="Correctivo","Impacto",""))</f>
        <v/>
      </c>
      <c r="AC31" s="127"/>
      <c r="AD31" s="127"/>
      <c r="AE31" s="128" t="str">
        <f t="shared" si="30"/>
        <v/>
      </c>
      <c r="AF31" s="127"/>
      <c r="AG31" s="127"/>
      <c r="AH31" s="127"/>
      <c r="AI31" s="129" t="str">
        <f t="shared" ref="AI31:AI33" si="36">IFERROR(IF(AND(AB30="Probabilidad",AB31="Probabilidad"),(AK30-(+AK30*AE31)),IF(AND(AB30="Impacto",AB31="Probabilidad"),(AK29-(+AK29*AE31)),IF(AB31="Impacto",AK30,""))),"")</f>
        <v/>
      </c>
      <c r="AJ31" s="130" t="str">
        <f t="shared" si="3"/>
        <v/>
      </c>
      <c r="AK31" s="128" t="str">
        <f t="shared" si="31"/>
        <v/>
      </c>
      <c r="AL31" s="130" t="str">
        <f t="shared" si="5"/>
        <v/>
      </c>
      <c r="AM31" s="128" t="str">
        <f t="shared" si="15"/>
        <v/>
      </c>
      <c r="AN31" s="131" t="str">
        <f>IFERROR(IF(OR(AND(AJ31="Muy Baja",AL31="Leve"),AND(AJ31="Muy Baja",AL31="Menor"),AND(AJ31="Baja",AL31="Leve")),"Bajo",IF(OR(AND(AJ31="Muy baja",AL31="Moderado"),AND(AJ31="Baja",AL31="Menor"),AND(AJ31="Baja",AL31="Moderado"),AND(AJ31="Media",AL31="Leve"),AND(AJ31="Media",AL31="Menor"),AND(AJ31="Media",AL31="Moderado"),AND(AJ31="Alta",AL31="Leve"),AND(AJ31="Alta",AL31="Menor")),"Moderado",IF(OR(AND(AJ31="Muy Baja",AL31="Mayor"),AND(AJ31="Baja",AL31="Mayor"),AND(AJ31="Media",AL31="Mayor"),AND(AJ31="Alta",AL31="Moderado"),AND(AJ31="Alta",AL31="Mayor"),AND(AJ31="Muy Alta",AL31="Leve"),AND(AJ31="Muy Alta",AL31="Menor"),AND(AJ31="Muy Alta",AL31="Moderado"),AND(AJ31="Muy Alta",AL31="Mayor")),"Alto",IF(OR(AND(AJ31="Muy Baja",AL31="Catastrófico"),AND(AJ31="Baja",AL31="Catastrófico"),AND(AJ31="Media",AL31="Catastrófico"),AND(AJ31="Alta",AL31="Catastrófico"),AND(AJ31="Muy Alta",AL31="Catastrófico")),"Extremo","")))),"")</f>
        <v/>
      </c>
      <c r="AO31" s="132"/>
      <c r="AP31" s="125"/>
      <c r="AQ31" s="133"/>
      <c r="AR31" s="133"/>
      <c r="AS31" s="134"/>
      <c r="AT31" s="403"/>
      <c r="AU31" s="403"/>
      <c r="AV31" s="403"/>
    </row>
    <row r="32" spans="1:48" x14ac:dyDescent="0.2">
      <c r="A32" s="398"/>
      <c r="B32" s="400"/>
      <c r="C32" s="403"/>
      <c r="D32" s="403"/>
      <c r="E32" s="421"/>
      <c r="F32" s="403"/>
      <c r="G32" s="401"/>
      <c r="H32" s="400"/>
      <c r="I32" s="403"/>
      <c r="J32" s="423"/>
      <c r="K32" s="423"/>
      <c r="L32" s="429"/>
      <c r="M32" s="403"/>
      <c r="N32" s="403"/>
      <c r="O32" s="416"/>
      <c r="P32" s="417"/>
      <c r="Q32" s="405"/>
      <c r="R32" s="406"/>
      <c r="S32" s="405">
        <f>IF(NOT(ISERROR(MATCH(R32,_xlfn.ANCHORARRAY(G43),0))),Q45&amp;"Por favor no seleccionar los criterios de impacto",R32)</f>
        <v>0</v>
      </c>
      <c r="T32" s="417"/>
      <c r="U32" s="405"/>
      <c r="V32" s="418"/>
      <c r="W32" s="149">
        <v>5</v>
      </c>
      <c r="X32" s="149"/>
      <c r="Y32" s="149"/>
      <c r="Z32" s="336"/>
      <c r="AA32" s="304" t="str">
        <f t="shared" si="1"/>
        <v xml:space="preserve">  </v>
      </c>
      <c r="AB32" s="126" t="str">
        <f t="shared" si="35"/>
        <v/>
      </c>
      <c r="AC32" s="127"/>
      <c r="AD32" s="127"/>
      <c r="AE32" s="128" t="str">
        <f t="shared" si="30"/>
        <v/>
      </c>
      <c r="AF32" s="127"/>
      <c r="AG32" s="127"/>
      <c r="AH32" s="127"/>
      <c r="AI32" s="129" t="str">
        <f t="shared" si="36"/>
        <v/>
      </c>
      <c r="AJ32" s="130" t="str">
        <f>IFERROR(IF(AI32="","",IF(AI32&lt;=0.2,"Muy Baja",IF(AI32&lt;=0.4,"Baja",IF(AI32&lt;=0.6,"Media",IF(AI32&lt;=0.8,"Alta","Muy Alta"))))),"")</f>
        <v/>
      </c>
      <c r="AK32" s="128" t="str">
        <f t="shared" si="31"/>
        <v/>
      </c>
      <c r="AL32" s="130" t="str">
        <f t="shared" si="5"/>
        <v/>
      </c>
      <c r="AM32" s="128" t="str">
        <f t="shared" si="15"/>
        <v/>
      </c>
      <c r="AN32" s="131" t="str">
        <f t="shared" ref="AN32:AN33" si="37">IFERROR(IF(OR(AND(AJ32="Muy Baja",AL32="Leve"),AND(AJ32="Muy Baja",AL32="Menor"),AND(AJ32="Baja",AL32="Leve")),"Bajo",IF(OR(AND(AJ32="Muy baja",AL32="Moderado"),AND(AJ32="Baja",AL32="Menor"),AND(AJ32="Baja",AL32="Moderado"),AND(AJ32="Media",AL32="Leve"),AND(AJ32="Media",AL32="Menor"),AND(AJ32="Media",AL32="Moderado"),AND(AJ32="Alta",AL32="Leve"),AND(AJ32="Alta",AL32="Menor")),"Moderado",IF(OR(AND(AJ32="Muy Baja",AL32="Mayor"),AND(AJ32="Baja",AL32="Mayor"),AND(AJ32="Media",AL32="Mayor"),AND(AJ32="Alta",AL32="Moderado"),AND(AJ32="Alta",AL32="Mayor"),AND(AJ32="Muy Alta",AL32="Leve"),AND(AJ32="Muy Alta",AL32="Menor"),AND(AJ32="Muy Alta",AL32="Moderado"),AND(AJ32="Muy Alta",AL32="Mayor")),"Alto",IF(OR(AND(AJ32="Muy Baja",AL32="Catastrófico"),AND(AJ32="Baja",AL32="Catastrófico"),AND(AJ32="Media",AL32="Catastrófico"),AND(AJ32="Alta",AL32="Catastrófico"),AND(AJ32="Muy Alta",AL32="Catastrófico")),"Extremo","")))),"")</f>
        <v/>
      </c>
      <c r="AO32" s="132"/>
      <c r="AP32" s="125"/>
      <c r="AQ32" s="133"/>
      <c r="AR32" s="133"/>
      <c r="AS32" s="134"/>
      <c r="AT32" s="403"/>
      <c r="AU32" s="403"/>
      <c r="AV32" s="403"/>
    </row>
    <row r="33" spans="1:48" x14ac:dyDescent="0.2">
      <c r="A33" s="398"/>
      <c r="B33" s="400"/>
      <c r="C33" s="404"/>
      <c r="D33" s="404"/>
      <c r="E33" s="422"/>
      <c r="F33" s="404"/>
      <c r="G33" s="401"/>
      <c r="H33" s="400"/>
      <c r="I33" s="404"/>
      <c r="J33" s="423"/>
      <c r="K33" s="423"/>
      <c r="L33" s="430"/>
      <c r="M33" s="404"/>
      <c r="N33" s="404"/>
      <c r="O33" s="416"/>
      <c r="P33" s="417"/>
      <c r="Q33" s="405"/>
      <c r="R33" s="406"/>
      <c r="S33" s="405">
        <f>IF(NOT(ISERROR(MATCH(R33,_xlfn.ANCHORARRAY(G44),0))),Q46&amp;"Por favor no seleccionar los criterios de impacto",R33)</f>
        <v>0</v>
      </c>
      <c r="T33" s="417"/>
      <c r="U33" s="405"/>
      <c r="V33" s="418"/>
      <c r="W33" s="149">
        <v>6</v>
      </c>
      <c r="X33" s="149"/>
      <c r="Y33" s="149"/>
      <c r="Z33" s="336"/>
      <c r="AA33" s="304" t="str">
        <f t="shared" si="1"/>
        <v xml:space="preserve">  </v>
      </c>
      <c r="AB33" s="126" t="str">
        <f t="shared" si="35"/>
        <v/>
      </c>
      <c r="AC33" s="127"/>
      <c r="AD33" s="127"/>
      <c r="AE33" s="128" t="str">
        <f t="shared" si="30"/>
        <v/>
      </c>
      <c r="AF33" s="127"/>
      <c r="AG33" s="127"/>
      <c r="AH33" s="127"/>
      <c r="AI33" s="129" t="str">
        <f t="shared" si="36"/>
        <v/>
      </c>
      <c r="AJ33" s="130" t="str">
        <f t="shared" si="3"/>
        <v/>
      </c>
      <c r="AK33" s="128" t="str">
        <f t="shared" si="31"/>
        <v/>
      </c>
      <c r="AL33" s="130" t="str">
        <f t="shared" si="5"/>
        <v/>
      </c>
      <c r="AM33" s="128" t="str">
        <f t="shared" si="15"/>
        <v/>
      </c>
      <c r="AN33" s="131" t="str">
        <f t="shared" si="37"/>
        <v/>
      </c>
      <c r="AO33" s="132"/>
      <c r="AP33" s="125"/>
      <c r="AQ33" s="133"/>
      <c r="AR33" s="133"/>
      <c r="AS33" s="134"/>
      <c r="AT33" s="404"/>
      <c r="AU33" s="404"/>
      <c r="AV33" s="404"/>
    </row>
    <row r="34" spans="1:48" ht="62.25" customHeight="1" x14ac:dyDescent="0.2">
      <c r="A34" s="398">
        <v>5</v>
      </c>
      <c r="B34" s="400" t="s">
        <v>548</v>
      </c>
      <c r="C34" s="400" t="s">
        <v>40</v>
      </c>
      <c r="D34" s="402" t="s">
        <v>631</v>
      </c>
      <c r="E34" s="401" t="s">
        <v>633</v>
      </c>
      <c r="F34" s="400" t="s">
        <v>634</v>
      </c>
      <c r="G34" s="401" t="str">
        <f t="shared" ref="G34" si="38">+CONCATENATE(C34," ",D34," ",E34)</f>
        <v>Posibilidad de afectación reputacional por inconformidad y baja credibilidad frente al servicio brindado por la Entidad debido a deficiencia en el envío de la totalidad de las peticiones que ingresen por los canales de atención al ciudadano para su radicación y gestion,   o aquellas que no se les realice un adecuado analisis que le permita obtener la respuesta de una petición</v>
      </c>
      <c r="H34" s="400" t="s">
        <v>391</v>
      </c>
      <c r="I34" s="402" t="s">
        <v>59</v>
      </c>
      <c r="J34" s="423" t="s">
        <v>636</v>
      </c>
      <c r="K34" s="423" t="s">
        <v>638</v>
      </c>
      <c r="L34" s="424" t="s">
        <v>639</v>
      </c>
      <c r="M34" s="464" t="s">
        <v>77</v>
      </c>
      <c r="N34" s="464" t="s">
        <v>46</v>
      </c>
      <c r="O34" s="427">
        <v>6681</v>
      </c>
      <c r="P34" s="417" t="str">
        <f>IF(O34&lt;=0,"",IF(O34&lt;=2,"Muy Baja",IF(O34&lt;=24,"Baja",IF(O34&lt;=500,"Media",IF(O34&lt;=5000,"Alta","Muy Alta")))))</f>
        <v>Muy Alta</v>
      </c>
      <c r="Q34" s="405">
        <f>IF(P34="","",IF(P34="Muy Baja",0.2,IF(P34="Baja",0.4,IF(P34="Media",0.6,IF(P34="Alta",0.8,IF(P34="Muy Alta",1,))))))</f>
        <v>1</v>
      </c>
      <c r="R34" s="406" t="s">
        <v>428</v>
      </c>
      <c r="S34" s="405" t="str">
        <f>IF(NOT(ISERROR(MATCH(R34,'Tabla Impacto'!$B$245:$B$247,0))),'Tabla Impacto'!$F$224&amp;"Por favor no seleccionar los criterios de impacto(Afectación Económica o presupuestal y Pérdida Reputacional)",R34)</f>
        <v xml:space="preserve">     El riesgo afecta la imagen de la entidad con algunos usuarios de relevancia frente al logro de los objetivos</v>
      </c>
      <c r="T34" s="417" t="str">
        <f>IF(OR(S34='Tabla Impacto'!$C$12,S34='Tabla Impacto'!$D$12),"Leve",IF(OR(S34='Tabla Impacto'!$C$13,S34='Tabla Impacto'!$D$13),"Menor",IF(OR(S34='Tabla Impacto'!$C$14,S34='Tabla Impacto'!$D$14),"Moderado",IF(OR(S34='Tabla Impacto'!$C$15,S34='Tabla Impacto'!$D$15),"Mayor",IF(OR(S34='Tabla Impacto'!$C$16,S34='Tabla Impacto'!$D$16),"Catastrófico","")))))</f>
        <v>Moderado</v>
      </c>
      <c r="U34" s="405">
        <f>IF(T34="","",IF(T34="Leve",0.2,IF(T34="Menor",0.4,IF(T34="Moderado",0.6,IF(T34="Mayor",0.8,IF(T34="Catastrófico",1,))))))</f>
        <v>0.6</v>
      </c>
      <c r="V34" s="418" t="str">
        <f>IF(OR(AND(P34="Muy Baja",T34="Leve"),AND(P34="Muy Baja",T34="Menor"),AND(P34="Baja",T34="Leve")),"Bajo",IF(OR(AND(P34="Muy baja",T34="Moderado"),AND(P34="Baja",T34="Menor"),AND(P34="Baja",T34="Moderado"),AND(P34="Media",T34="Leve"),AND(P34="Media",T34="Menor"),AND(P34="Media",T34="Moderado"),AND(P34="Alta",T34="Leve"),AND(P34="Alta",T34="Menor")),"Moderado",IF(OR(AND(P34="Muy Baja",T34="Mayor"),AND(P34="Baja",T34="Mayor"),AND(P34="Media",T34="Mayor"),AND(P34="Alta",T34="Moderado"),AND(P34="Alta",T34="Mayor"),AND(P34="Muy Alta",T34="Leve"),AND(P34="Muy Alta",T34="Menor"),AND(P34="Muy Alta",T34="Moderado"),AND(P34="Muy Alta",T34="Mayor")),"Alto",IF(OR(AND(P34="Muy Baja",T34="Catastrófico"),AND(P34="Baja",T34="Catastrófico"),AND(P34="Media",T34="Catastrófico"),AND(P34="Alta",T34="Catastrófico"),AND(P34="Muy Alta",T34="Catastrófico")),"Extremo",""))))</f>
        <v>Alto</v>
      </c>
      <c r="W34" s="149">
        <v>1</v>
      </c>
      <c r="X34" s="182" t="s">
        <v>642</v>
      </c>
      <c r="Y34" s="182" t="s">
        <v>37</v>
      </c>
      <c r="Z34" s="336" t="s">
        <v>643</v>
      </c>
      <c r="AA34" s="174" t="str">
        <f>+CONCATENATE(X34," ",Y34," ",Z34)</f>
        <v>El colaborador de la Oficina de Servicio a la Ciudadania y Sostenibilidad asignado a Servicio al Ciudadano, operador de Orfeo y Bogotá te Escuch Verifica  y guarda aleatoriamente registro de la retipificación de las peticiones recibidas en los aplicativos, para clasificar adecuadamente las peticiones y evitar los reprocesos al momento de reasignar los requerimientos. Como evidencia queda un registro aleatorio mensual de peticiones del aplicativo Orfeo y Bogotá te Escucha de la tipificación inicial y la tipificación final.
En caso de no realizarse  este control, se corregirá inmediatamente y se retroalimentará al colaborador responsable para que se tomen a las acciones de mejora correspondientes.</v>
      </c>
      <c r="AB34" s="126" t="str">
        <f>IF(OR(AC34="Preventivo",AC34="Detectivo"),"Probabilidad",IF(AC34="Correctivo","Impacto",""))</f>
        <v>Probabilidad</v>
      </c>
      <c r="AC34" s="127" t="s">
        <v>398</v>
      </c>
      <c r="AD34" s="127" t="s">
        <v>394</v>
      </c>
      <c r="AE34" s="128" t="str">
        <f>IF(AND(AC34="Preventivo",AD34="Automático"),"50%",IF(AND(AC34="Preventivo",AD34="Manual"),"40%",IF(AND(AC34="Detectivo",AD34="Automático"),"40%",IF(AND(AC34="Detectivo",AD34="Manual"),"30%",IF(AND(AC34="Correctivo",AD34="Automático"),"35%",IF(AND(AC34="Correctivo",AD34="Manual"),"25%",""))))))</f>
        <v>40%</v>
      </c>
      <c r="AF34" s="330" t="s">
        <v>421</v>
      </c>
      <c r="AG34" s="330" t="s">
        <v>396</v>
      </c>
      <c r="AH34" s="330" t="s">
        <v>397</v>
      </c>
      <c r="AI34" s="129">
        <f>IFERROR(IF(AB34="Probabilidad",(Q34-(+Q34*AE34)),IF(AB34="Impacto",Q34,"")),"")</f>
        <v>0.6</v>
      </c>
      <c r="AJ34" s="130" t="str">
        <f>IFERROR(IF(AI34="","",IF(AI34&lt;=0.2,"Muy Baja",IF(AI34&lt;=0.4,"Baja",IF(AI34&lt;=0.6,"Media",IF(AI34&lt;=0.8,"Alta","Muy Alta"))))),"")</f>
        <v>Media</v>
      </c>
      <c r="AK34" s="128">
        <f>+AI34</f>
        <v>0.6</v>
      </c>
      <c r="AL34" s="130" t="str">
        <f>IFERROR(IF(AM34="","",IF(AM34&lt;=0.2,"Leve",IF(AM34&lt;=0.4,"Menor",IF(AM34&lt;=0.6,"Moderado",IF(AM34&lt;=0.8,"Mayor","Catastrófico"))))),"")</f>
        <v>Moderado</v>
      </c>
      <c r="AM34" s="128">
        <f t="shared" ref="AM34" si="39">IFERROR(IF(AB34="Impacto",(U34-(+U34*AE34)),IF(AB34="Probabilidad",U34,"")),"")</f>
        <v>0.6</v>
      </c>
      <c r="AN34" s="131" t="str">
        <f>IFERROR(IF(OR(AND(AJ34="Muy Baja",AL34="Leve"),AND(AJ34="Muy Baja",AL34="Menor"),AND(AJ34="Baja",AL34="Leve")),"Bajo",IF(OR(AND(AJ34="Muy baja",AL34="Moderado"),AND(AJ34="Baja",AL34="Menor"),AND(AJ34="Baja",AL34="Moderado"),AND(AJ34="Media",AL34="Leve"),AND(AJ34="Media",AL34="Menor"),AND(AJ34="Media",AL34="Moderado"),AND(AJ34="Alta",AL34="Leve"),AND(AJ34="Alta",AL34="Menor")),"Moderado",IF(OR(AND(AJ34="Muy Baja",AL34="Mayor"),AND(AJ34="Baja",AL34="Mayor"),AND(AJ34="Media",AL34="Mayor"),AND(AJ34="Alta",AL34="Moderado"),AND(AJ34="Alta",AL34="Mayor"),AND(AJ34="Muy Alta",AL34="Leve"),AND(AJ34="Muy Alta",AL34="Menor"),AND(AJ34="Muy Alta",AL34="Moderado"),AND(AJ34="Muy Alta",AL34="Mayor")),"Alto",IF(OR(AND(AJ34="Muy Baja",AL34="Catastrófico"),AND(AJ34="Baja",AL34="Catastrófico"),AND(AJ34="Media",AL34="Catastrófico"),AND(AJ34="Alta",AL34="Catastrófico"),AND(AJ34="Muy Alta",AL34="Catastrófico")),"Extremo","")))),"")</f>
        <v>Moderado</v>
      </c>
      <c r="AO34" s="132"/>
      <c r="AP34" s="125" t="s">
        <v>671</v>
      </c>
      <c r="AQ34" s="125" t="s">
        <v>672</v>
      </c>
      <c r="AR34" s="125" t="s">
        <v>673</v>
      </c>
      <c r="AS34" s="134" t="s">
        <v>601</v>
      </c>
      <c r="AT34" s="402" t="s">
        <v>681</v>
      </c>
      <c r="AU34" s="402" t="s">
        <v>682</v>
      </c>
      <c r="AV34" s="402" t="s">
        <v>683</v>
      </c>
    </row>
    <row r="35" spans="1:48" ht="62.25" customHeight="1" x14ac:dyDescent="0.2">
      <c r="A35" s="398"/>
      <c r="B35" s="400"/>
      <c r="C35" s="400"/>
      <c r="D35" s="403"/>
      <c r="E35" s="401"/>
      <c r="F35" s="400"/>
      <c r="G35" s="401"/>
      <c r="H35" s="400"/>
      <c r="I35" s="403"/>
      <c r="J35" s="423"/>
      <c r="K35" s="423"/>
      <c r="L35" s="425"/>
      <c r="M35" s="465"/>
      <c r="N35" s="465"/>
      <c r="O35" s="427"/>
      <c r="P35" s="417"/>
      <c r="Q35" s="405"/>
      <c r="R35" s="406"/>
      <c r="S35" s="405">
        <f>IF(NOT(ISERROR(MATCH(R35,_xlfn.ANCHORARRAY(G46),0))),Q48&amp;"Por favor no seleccionar los criterios de impacto",R35)</f>
        <v>0</v>
      </c>
      <c r="T35" s="417"/>
      <c r="U35" s="405"/>
      <c r="V35" s="418"/>
      <c r="W35" s="149">
        <v>2</v>
      </c>
      <c r="X35" s="182" t="s">
        <v>644</v>
      </c>
      <c r="Y35" s="149" t="s">
        <v>37</v>
      </c>
      <c r="Z35" s="336" t="s">
        <v>645</v>
      </c>
      <c r="AA35" s="174" t="str">
        <f t="shared" ref="AA35:AA41" si="40">+CONCATENATE(X35," ",Y35," ",Z35)</f>
        <v xml:space="preserve">El colaborador de la Oficina de Servicio a la Ciudadania y Sostenibilidad asignado a Servicio al Ciudadano, Verifica diariamente la base de datos  de seguimiento y control a las respuestas PQRSFD y remite los correos de  alertas que correspondan a las dependecias encargadas de dar respuesta, de acuerdo con  lo establecido en los controles del procedimiento Gestión de Requerimientos PQRSFD, de tal manera que se pueda hacer el seguimiento a la oportunidad de las respuestas.  La evidencia corresponde a un aleatorio de correos remitidos a las dependencias responsables y la base de  datos ACI 2022 que contiene la información sobre las alertas realizadas.
En caso de identificar peticiones por fuera de los términos legales establecidos, se procede a requerir  al colaborador responsable con el fin de  que  realice la respuesta de manera  inmediata y revisar las razones de fondo para dicho incumplimiento. </v>
      </c>
      <c r="AB35" s="126" t="str">
        <f>IF(OR(AC35="Preventivo",AC35="Detectivo"),"Probabilidad",IF(AC35="Correctivo","Impacto",""))</f>
        <v>Probabilidad</v>
      </c>
      <c r="AC35" s="127" t="s">
        <v>398</v>
      </c>
      <c r="AD35" s="127" t="s">
        <v>394</v>
      </c>
      <c r="AE35" s="128" t="str">
        <f t="shared" ref="AE35:AE39" si="41">IF(AND(AC35="Preventivo",AD35="Automático"),"50%",IF(AND(AC35="Preventivo",AD35="Manual"),"40%",IF(AND(AC35="Detectivo",AD35="Automático"),"40%",IF(AND(AC35="Detectivo",AD35="Manual"),"30%",IF(AND(AC35="Correctivo",AD35="Automático"),"35%",IF(AND(AC35="Correctivo",AD35="Manual"),"25%",""))))))</f>
        <v>40%</v>
      </c>
      <c r="AF35" s="127" t="s">
        <v>395</v>
      </c>
      <c r="AG35" s="127" t="s">
        <v>396</v>
      </c>
      <c r="AH35" s="127" t="s">
        <v>397</v>
      </c>
      <c r="AI35" s="129">
        <f>IFERROR(IF(AND(AB34="Probabilidad",AB35="Probabilidad"),(AK34-(+AK34*AE35)),IF(AB35="Probabilidad",(Q34-(+Q34*AE35)),IF(AB35="Impacto",AK34,""))),"")</f>
        <v>0.36</v>
      </c>
      <c r="AJ35" s="130" t="str">
        <f t="shared" si="3"/>
        <v>Baja</v>
      </c>
      <c r="AK35" s="128">
        <f t="shared" ref="AK35:AK39" si="42">+AI35</f>
        <v>0.36</v>
      </c>
      <c r="AL35" s="130" t="str">
        <f t="shared" si="5"/>
        <v>Moderado</v>
      </c>
      <c r="AM35" s="128">
        <f t="shared" ref="AM35" si="43">IFERROR(IF(AND(AB34="Impacto",AB35="Impacto"),(AM34-(+AM34*AE35)),IF(AB35="Impacto",($U$10-(+$U$10*AE35)),IF(AB35="Probabilidad",AM34,""))),"")</f>
        <v>0.6</v>
      </c>
      <c r="AN35" s="131" t="str">
        <f t="shared" ref="AN35:AN36" si="44">IFERROR(IF(OR(AND(AJ35="Muy Baja",AL35="Leve"),AND(AJ35="Muy Baja",AL35="Menor"),AND(AJ35="Baja",AL35="Leve")),"Bajo",IF(OR(AND(AJ35="Muy baja",AL35="Moderado"),AND(AJ35="Baja",AL35="Menor"),AND(AJ35="Baja",AL35="Moderado"),AND(AJ35="Media",AL35="Leve"),AND(AJ35="Media",AL35="Menor"),AND(AJ35="Media",AL35="Moderado"),AND(AJ35="Alta",AL35="Leve"),AND(AJ35="Alta",AL35="Menor")),"Moderado",IF(OR(AND(AJ35="Muy Baja",AL35="Mayor"),AND(AJ35="Baja",AL35="Mayor"),AND(AJ35="Media",AL35="Mayor"),AND(AJ35="Alta",AL35="Moderado"),AND(AJ35="Alta",AL35="Mayor"),AND(AJ35="Muy Alta",AL35="Leve"),AND(AJ35="Muy Alta",AL35="Menor"),AND(AJ35="Muy Alta",AL35="Moderado"),AND(AJ35="Muy Alta",AL35="Mayor")),"Alto",IF(OR(AND(AJ35="Muy Baja",AL35="Catastrófico"),AND(AJ35="Baja",AL35="Catastrófico"),AND(AJ35="Media",AL35="Catastrófico"),AND(AJ35="Alta",AL35="Catastrófico"),AND(AJ35="Muy Alta",AL35="Catastrófico")),"Extremo","")))),"")</f>
        <v>Moderado</v>
      </c>
      <c r="AO35" s="132"/>
      <c r="AP35" s="125" t="s">
        <v>674</v>
      </c>
      <c r="AQ35" s="125" t="s">
        <v>672</v>
      </c>
      <c r="AR35" s="125" t="s">
        <v>675</v>
      </c>
      <c r="AS35" s="134" t="s">
        <v>601</v>
      </c>
      <c r="AT35" s="403"/>
      <c r="AU35" s="403"/>
      <c r="AV35" s="403"/>
    </row>
    <row r="36" spans="1:48" ht="62.25" customHeight="1" x14ac:dyDescent="0.2">
      <c r="A36" s="398"/>
      <c r="B36" s="400"/>
      <c r="C36" s="400"/>
      <c r="D36" s="403"/>
      <c r="E36" s="401"/>
      <c r="F36" s="400"/>
      <c r="G36" s="401"/>
      <c r="H36" s="400"/>
      <c r="I36" s="403"/>
      <c r="J36" s="423"/>
      <c r="K36" s="423"/>
      <c r="L36" s="425"/>
      <c r="M36" s="465"/>
      <c r="N36" s="465"/>
      <c r="O36" s="427"/>
      <c r="P36" s="417"/>
      <c r="Q36" s="405"/>
      <c r="R36" s="406"/>
      <c r="S36" s="405">
        <f>IF(NOT(ISERROR(MATCH(R36,_xlfn.ANCHORARRAY(G47),0))),Q49&amp;"Por favor no seleccionar los criterios de impacto",R36)</f>
        <v>0</v>
      </c>
      <c r="T36" s="417"/>
      <c r="U36" s="405"/>
      <c r="V36" s="418"/>
      <c r="W36" s="149">
        <v>3</v>
      </c>
      <c r="X36" s="182" t="s">
        <v>646</v>
      </c>
      <c r="Y36" s="149" t="s">
        <v>37</v>
      </c>
      <c r="Z36" s="336" t="s">
        <v>647</v>
      </c>
      <c r="AA36" s="174" t="str">
        <f t="shared" si="40"/>
        <v>El colaborador de la Oficina de Servicio a la Ciudadania y Sostenibilidad asignado a Servicio al Ciudadano Verifica semanalmente  que la totalidad de requerimientos allegados a la Entidad hayan sido reasignados a Atención al Ciudadano, mediante la generación de un reporte del sistema de gestión documental Orfeo,  el cual es cruzado contra  la bandeja de entrada del correo electrónico de Atención al Ciudadano, verificando que las asignaciones sean equivalentes, Como evidencia se genera el archivo RADICADOS ORFEO y RADICADOS MES.
En caso de evidenciar requerimientos de entrada faltantes, se remite como soporte, un correo al proceso de Gestión Documental informando la situación y se verifica en el nuevo envío que dichos radicados hayan sido reasignados. Lo anterior se realiza con el fin de garantizar la centralización de la totalidad de las peticiones en el proceso para su adecuado reparto. La evidencia es el archivo Excel RADICADOS ORFEO, el cual debe ser almacenado en la carpeta  compartida en One Drive por el proceso.</v>
      </c>
      <c r="AB36" s="126" t="str">
        <f>IF(OR(AC36="Preventivo",AC36="Detectivo"),"Probabilidad",IF(AC36="Correctivo","Impacto",""))</f>
        <v>Probabilidad</v>
      </c>
      <c r="AC36" s="127" t="s">
        <v>398</v>
      </c>
      <c r="AD36" s="127" t="s">
        <v>394</v>
      </c>
      <c r="AE36" s="128" t="str">
        <f t="shared" si="41"/>
        <v>40%</v>
      </c>
      <c r="AF36" s="127" t="s">
        <v>421</v>
      </c>
      <c r="AG36" s="127" t="s">
        <v>396</v>
      </c>
      <c r="AH36" s="127" t="s">
        <v>397</v>
      </c>
      <c r="AI36" s="129">
        <f>IFERROR(IF(AND(AB35="Probabilidad",AB36="Probabilidad"),(AK35-(+AK35*AE36)),IF(AND(AB35="Impacto",AB36="Probabilidad"),(AK34-(+AK34*AE36)),IF(AB36="Impacto",AK35,""))),"")</f>
        <v>0.216</v>
      </c>
      <c r="AJ36" s="130" t="str">
        <f t="shared" si="3"/>
        <v>Baja</v>
      </c>
      <c r="AK36" s="128">
        <f t="shared" si="42"/>
        <v>0.216</v>
      </c>
      <c r="AL36" s="130" t="str">
        <f t="shared" si="5"/>
        <v>Moderado</v>
      </c>
      <c r="AM36" s="128">
        <f t="shared" ref="AM36" si="45">IFERROR(IF(AND(AB35="Impacto",AB36="Impacto"),(AM35-(+AM35*AE36)),IF(AND(AB35="Probabilidad",AB36="Impacto"),(AM34-(+AM34*AE36)),IF(AB36="Probabilidad",AM35,""))),"")</f>
        <v>0.6</v>
      </c>
      <c r="AN36" s="131" t="str">
        <f t="shared" si="44"/>
        <v>Moderado</v>
      </c>
      <c r="AO36" s="132"/>
      <c r="AP36" s="125"/>
      <c r="AQ36" s="133"/>
      <c r="AR36" s="133"/>
      <c r="AS36" s="134"/>
      <c r="AT36" s="403"/>
      <c r="AU36" s="403"/>
      <c r="AV36" s="403"/>
    </row>
    <row r="37" spans="1:48" ht="62.25" customHeight="1" x14ac:dyDescent="0.2">
      <c r="A37" s="398"/>
      <c r="B37" s="400"/>
      <c r="C37" s="400"/>
      <c r="D37" s="403"/>
      <c r="E37" s="401"/>
      <c r="F37" s="400"/>
      <c r="G37" s="401"/>
      <c r="H37" s="400"/>
      <c r="I37" s="403"/>
      <c r="J37" s="423"/>
      <c r="K37" s="423"/>
      <c r="L37" s="425"/>
      <c r="M37" s="465"/>
      <c r="N37" s="465"/>
      <c r="O37" s="427"/>
      <c r="P37" s="417"/>
      <c r="Q37" s="405"/>
      <c r="R37" s="406"/>
      <c r="S37" s="405">
        <f>IF(NOT(ISERROR(MATCH(R37,_xlfn.ANCHORARRAY(G48),0))),Q50&amp;"Por favor no seleccionar los criterios de impacto",R37)</f>
        <v>0</v>
      </c>
      <c r="T37" s="417"/>
      <c r="U37" s="405"/>
      <c r="V37" s="418"/>
      <c r="W37" s="149">
        <v>4</v>
      </c>
      <c r="X37" s="182" t="s">
        <v>646</v>
      </c>
      <c r="Y37" s="149" t="s">
        <v>41</v>
      </c>
      <c r="Z37" s="336" t="s">
        <v>648</v>
      </c>
      <c r="AA37" s="174" t="str">
        <f t="shared" si="40"/>
        <v xml:space="preserve">El colaborador de la Oficina de Servicio a la Ciudadania y Sostenibilidad asignado a Servicio al Ciudadano Valida diariamente el envío de todos los requerimientos ciudadanos recibidos en Bogotá te Escucha a través del correo electrónico de atención al ciudadano para su correspondiente radicación.  Como evidencia se remite registro aleatorio de los correos electrónicos de atención al ciudadano y  la matriz de control y seguimiento de envío de peticiones.
En caso de no radicar alguna petición recibida a través de Bogotá te Escucha, se debe notificar a correspondencia para realizar la radicación de manera inmediata y establecer comunicación con la dependencia responsable de generar respuesta con el fin de que se priorice el trámite. </v>
      </c>
      <c r="AB37" s="126" t="str">
        <f t="shared" ref="AB37:AB39" si="46">IF(OR(AC37="Preventivo",AC37="Detectivo"),"Probabilidad",IF(AC37="Correctivo","Impacto",""))</f>
        <v>Probabilidad</v>
      </c>
      <c r="AC37" s="127" t="s">
        <v>393</v>
      </c>
      <c r="AD37" s="127" t="s">
        <v>394</v>
      </c>
      <c r="AE37" s="128" t="str">
        <f t="shared" si="41"/>
        <v>30%</v>
      </c>
      <c r="AF37" s="127" t="s">
        <v>421</v>
      </c>
      <c r="AG37" s="127" t="s">
        <v>396</v>
      </c>
      <c r="AH37" s="127" t="s">
        <v>397</v>
      </c>
      <c r="AI37" s="129">
        <f t="shared" ref="AI37:AI39" si="47">IFERROR(IF(AND(AB36="Probabilidad",AB37="Probabilidad"),(AK36-(+AK36*AE37)),IF(AND(AB36="Impacto",AB37="Probabilidad"),(AK35-(+AK35*AE37)),IF(AB37="Impacto",AK36,""))),"")</f>
        <v>0.1512</v>
      </c>
      <c r="AJ37" s="130" t="str">
        <f t="shared" si="3"/>
        <v>Muy Baja</v>
      </c>
      <c r="AK37" s="128">
        <f t="shared" si="42"/>
        <v>0.1512</v>
      </c>
      <c r="AL37" s="130" t="str">
        <f t="shared" si="5"/>
        <v>Moderado</v>
      </c>
      <c r="AM37" s="128">
        <f t="shared" si="15"/>
        <v>0.6</v>
      </c>
      <c r="AN37" s="131" t="str">
        <f>IFERROR(IF(OR(AND(AJ37="Muy Baja",AL37="Leve"),AND(AJ37="Muy Baja",AL37="Menor"),AND(AJ37="Baja",AL37="Leve")),"Bajo",IF(OR(AND(AJ37="Muy baja",AL37="Moderado"),AND(AJ37="Baja",AL37="Menor"),AND(AJ37="Baja",AL37="Moderado"),AND(AJ37="Media",AL37="Leve"),AND(AJ37="Media",AL37="Menor"),AND(AJ37="Media",AL37="Moderado"),AND(AJ37="Alta",AL37="Leve"),AND(AJ37="Alta",AL37="Menor")),"Moderado",IF(OR(AND(AJ37="Muy Baja",AL37="Mayor"),AND(AJ37="Baja",AL37="Mayor"),AND(AJ37="Media",AL37="Mayor"),AND(AJ37="Alta",AL37="Moderado"),AND(AJ37="Alta",AL37="Mayor"),AND(AJ37="Muy Alta",AL37="Leve"),AND(AJ37="Muy Alta",AL37="Menor"),AND(AJ37="Muy Alta",AL37="Moderado"),AND(AJ37="Muy Alta",AL37="Mayor")),"Alto",IF(OR(AND(AJ37="Muy Baja",AL37="Catastrófico"),AND(AJ37="Baja",AL37="Catastrófico"),AND(AJ37="Media",AL37="Catastrófico"),AND(AJ37="Alta",AL37="Catastrófico"),AND(AJ37="Muy Alta",AL37="Catastrófico")),"Extremo","")))),"")</f>
        <v>Moderado</v>
      </c>
      <c r="AO37" s="132" t="s">
        <v>43</v>
      </c>
      <c r="AP37" s="125"/>
      <c r="AQ37" s="133"/>
      <c r="AR37" s="133"/>
      <c r="AS37" s="134"/>
      <c r="AT37" s="403"/>
      <c r="AU37" s="403"/>
      <c r="AV37" s="403"/>
    </row>
    <row r="38" spans="1:48" x14ac:dyDescent="0.2">
      <c r="A38" s="398"/>
      <c r="B38" s="400"/>
      <c r="C38" s="400"/>
      <c r="D38" s="403"/>
      <c r="E38" s="401"/>
      <c r="F38" s="400"/>
      <c r="G38" s="401"/>
      <c r="H38" s="400"/>
      <c r="I38" s="403"/>
      <c r="J38" s="423"/>
      <c r="K38" s="423"/>
      <c r="L38" s="425"/>
      <c r="M38" s="465"/>
      <c r="N38" s="465"/>
      <c r="O38" s="427"/>
      <c r="P38" s="417"/>
      <c r="Q38" s="405"/>
      <c r="R38" s="406"/>
      <c r="S38" s="405">
        <f>IF(NOT(ISERROR(MATCH(R38,_xlfn.ANCHORARRAY(G49),0))),Q51&amp;"Por favor no seleccionar los criterios de impacto",R38)</f>
        <v>0</v>
      </c>
      <c r="T38" s="417"/>
      <c r="U38" s="405"/>
      <c r="V38" s="418"/>
      <c r="W38" s="149">
        <v>5</v>
      </c>
      <c r="X38" s="182"/>
      <c r="Y38" s="149"/>
      <c r="Z38" s="336"/>
      <c r="AA38" s="174" t="str">
        <f t="shared" si="40"/>
        <v xml:space="preserve">  </v>
      </c>
      <c r="AB38" s="126" t="str">
        <f t="shared" si="46"/>
        <v/>
      </c>
      <c r="AC38" s="127"/>
      <c r="AD38" s="127"/>
      <c r="AE38" s="128" t="str">
        <f t="shared" si="41"/>
        <v/>
      </c>
      <c r="AF38" s="127"/>
      <c r="AG38" s="127"/>
      <c r="AH38" s="127"/>
      <c r="AI38" s="129" t="str">
        <f t="shared" si="47"/>
        <v/>
      </c>
      <c r="AJ38" s="130" t="str">
        <f t="shared" si="3"/>
        <v/>
      </c>
      <c r="AK38" s="128" t="str">
        <f t="shared" si="42"/>
        <v/>
      </c>
      <c r="AL38" s="130" t="str">
        <f t="shared" si="5"/>
        <v/>
      </c>
      <c r="AM38" s="128" t="str">
        <f t="shared" si="15"/>
        <v/>
      </c>
      <c r="AN38" s="131" t="str">
        <f t="shared" ref="AN38:AN39" si="48">IFERROR(IF(OR(AND(AJ38="Muy Baja",AL38="Leve"),AND(AJ38="Muy Baja",AL38="Menor"),AND(AJ38="Baja",AL38="Leve")),"Bajo",IF(OR(AND(AJ38="Muy baja",AL38="Moderado"),AND(AJ38="Baja",AL38="Menor"),AND(AJ38="Baja",AL38="Moderado"),AND(AJ38="Media",AL38="Leve"),AND(AJ38="Media",AL38="Menor"),AND(AJ38="Media",AL38="Moderado"),AND(AJ38="Alta",AL38="Leve"),AND(AJ38="Alta",AL38="Menor")),"Moderado",IF(OR(AND(AJ38="Muy Baja",AL38="Mayor"),AND(AJ38="Baja",AL38="Mayor"),AND(AJ38="Media",AL38="Mayor"),AND(AJ38="Alta",AL38="Moderado"),AND(AJ38="Alta",AL38="Mayor"),AND(AJ38="Muy Alta",AL38="Leve"),AND(AJ38="Muy Alta",AL38="Menor"),AND(AJ38="Muy Alta",AL38="Moderado"),AND(AJ38="Muy Alta",AL38="Mayor")),"Alto",IF(OR(AND(AJ38="Muy Baja",AL38="Catastrófico"),AND(AJ38="Baja",AL38="Catastrófico"),AND(AJ38="Media",AL38="Catastrófico"),AND(AJ38="Alta",AL38="Catastrófico"),AND(AJ38="Muy Alta",AL38="Catastrófico")),"Extremo","")))),"")</f>
        <v/>
      </c>
      <c r="AO38" s="132"/>
      <c r="AP38" s="125"/>
      <c r="AQ38" s="133"/>
      <c r="AR38" s="133"/>
      <c r="AS38" s="134"/>
      <c r="AT38" s="403"/>
      <c r="AU38" s="403"/>
      <c r="AV38" s="403"/>
    </row>
    <row r="39" spans="1:48" x14ac:dyDescent="0.2">
      <c r="A39" s="398"/>
      <c r="B39" s="400"/>
      <c r="C39" s="400"/>
      <c r="D39" s="404"/>
      <c r="E39" s="401"/>
      <c r="F39" s="400"/>
      <c r="G39" s="401"/>
      <c r="H39" s="400"/>
      <c r="I39" s="404"/>
      <c r="J39" s="423"/>
      <c r="K39" s="423"/>
      <c r="L39" s="426"/>
      <c r="M39" s="466"/>
      <c r="N39" s="466"/>
      <c r="O39" s="427"/>
      <c r="P39" s="417"/>
      <c r="Q39" s="405"/>
      <c r="R39" s="406"/>
      <c r="S39" s="405">
        <f>IF(NOT(ISERROR(MATCH(R39,_xlfn.ANCHORARRAY(G50),0))),Q52&amp;"Por favor no seleccionar los criterios de impacto",R39)</f>
        <v>0</v>
      </c>
      <c r="T39" s="417"/>
      <c r="U39" s="405"/>
      <c r="V39" s="418"/>
      <c r="W39" s="149">
        <v>6</v>
      </c>
      <c r="X39" s="182"/>
      <c r="Y39" s="149"/>
      <c r="Z39" s="336"/>
      <c r="AA39" s="174" t="str">
        <f t="shared" si="40"/>
        <v xml:space="preserve">  </v>
      </c>
      <c r="AB39" s="126" t="str">
        <f t="shared" si="46"/>
        <v/>
      </c>
      <c r="AC39" s="127"/>
      <c r="AD39" s="127"/>
      <c r="AE39" s="128" t="str">
        <f t="shared" si="41"/>
        <v/>
      </c>
      <c r="AF39" s="127"/>
      <c r="AG39" s="127"/>
      <c r="AH39" s="127"/>
      <c r="AI39" s="129" t="str">
        <f t="shared" si="47"/>
        <v/>
      </c>
      <c r="AJ39" s="130" t="str">
        <f t="shared" si="3"/>
        <v/>
      </c>
      <c r="AK39" s="128" t="str">
        <f t="shared" si="42"/>
        <v/>
      </c>
      <c r="AL39" s="130" t="str">
        <f t="shared" si="5"/>
        <v/>
      </c>
      <c r="AM39" s="128" t="str">
        <f t="shared" si="15"/>
        <v/>
      </c>
      <c r="AN39" s="131" t="str">
        <f t="shared" si="48"/>
        <v/>
      </c>
      <c r="AO39" s="132"/>
      <c r="AP39" s="125"/>
      <c r="AQ39" s="133"/>
      <c r="AR39" s="133"/>
      <c r="AS39" s="134"/>
      <c r="AT39" s="404"/>
      <c r="AU39" s="404"/>
      <c r="AV39" s="404"/>
    </row>
    <row r="40" spans="1:48" ht="42.75" customHeight="1" x14ac:dyDescent="0.2">
      <c r="A40" s="398">
        <v>6</v>
      </c>
      <c r="B40" s="400" t="s">
        <v>548</v>
      </c>
      <c r="C40" s="400" t="s">
        <v>44</v>
      </c>
      <c r="D40" s="402" t="s">
        <v>632</v>
      </c>
      <c r="E40" s="401" t="s">
        <v>765</v>
      </c>
      <c r="F40" s="400" t="s">
        <v>635</v>
      </c>
      <c r="G40" s="401" t="str">
        <f t="shared" ref="G40" si="49">+CONCATENATE(C40," ",D40," ",E40)</f>
        <v xml:space="preserve">Posibilidad de afectación Económica y Reputacional por sanciones e incumplimientos normativos dado el desconocimiento de los lineamientos y metodologías existentes asociadas a la politica de participación ciudadana en la entidad
Desconocimiento de los espacios de participación ciudadana que tiene la entidad y de las metodologías existentes para desarrollar dichos espacios </v>
      </c>
      <c r="H40" s="400" t="s">
        <v>391</v>
      </c>
      <c r="I40" s="402" t="s">
        <v>59</v>
      </c>
      <c r="J40" s="423" t="s">
        <v>637</v>
      </c>
      <c r="K40" s="423" t="s">
        <v>640</v>
      </c>
      <c r="L40" s="424" t="s">
        <v>641</v>
      </c>
      <c r="M40" s="464" t="s">
        <v>67</v>
      </c>
      <c r="N40" s="464" t="s">
        <v>53</v>
      </c>
      <c r="O40" s="427">
        <v>39</v>
      </c>
      <c r="P40" s="417" t="str">
        <f>IF(O40&lt;=0,"",IF(O40&lt;=2,"Muy Baja",IF(O40&lt;=24,"Baja",IF(O40&lt;=500,"Media",IF(O40&lt;=5000,"Alta","Muy Alta")))))</f>
        <v>Media</v>
      </c>
      <c r="Q40" s="405">
        <f>IF(P40="","",IF(P40="Muy Baja",0.2,IF(P40="Baja",0.4,IF(P40="Media",0.6,IF(P40="Alta",0.8,IF(P40="Muy Alta",1,))))))</f>
        <v>0.6</v>
      </c>
      <c r="R40" s="406" t="s">
        <v>428</v>
      </c>
      <c r="S40" s="405" t="str">
        <f>IF(NOT(ISERROR(MATCH(R40,'Tabla Impacto'!$B$245:$B$247,0))),'Tabla Impacto'!$F$224&amp;"Por favor no seleccionar los criterios de impacto(Afectación Económica o presupuestal y Pérdida Reputacional)",R40)</f>
        <v xml:space="preserve">     El riesgo afecta la imagen de la entidad con algunos usuarios de relevancia frente al logro de los objetivos</v>
      </c>
      <c r="T40" s="417" t="str">
        <f>IF(OR(S40='Tabla Impacto'!$C$12,S40='Tabla Impacto'!$D$12),"Leve",IF(OR(S40='Tabla Impacto'!$C$13,S40='Tabla Impacto'!$D$13),"Menor",IF(OR(S40='Tabla Impacto'!$C$14,S40='Tabla Impacto'!$D$14),"Moderado",IF(OR(S40='Tabla Impacto'!$C$15,S40='Tabla Impacto'!$D$15),"Mayor",IF(OR(S40='Tabla Impacto'!$C$16,S40='Tabla Impacto'!$D$16),"Catastrófico","")))))</f>
        <v>Moderado</v>
      </c>
      <c r="U40" s="405">
        <f>IF(T40="","",IF(T40="Leve",0.2,IF(T40="Menor",0.4,IF(T40="Moderado",0.6,IF(T40="Mayor",0.8,IF(T40="Catastrófico",1,))))))</f>
        <v>0.6</v>
      </c>
      <c r="V40" s="418" t="str">
        <f>IF(OR(AND(P40="Muy Baja",T40="Leve"),AND(P40="Muy Baja",T40="Menor"),AND(P40="Baja",T40="Leve")),"Bajo",IF(OR(AND(P40="Muy baja",T40="Moderado"),AND(P40="Baja",T40="Menor"),AND(P40="Baja",T40="Moderado"),AND(P40="Media",T40="Leve"),AND(P40="Media",T40="Menor"),AND(P40="Media",T40="Moderado"),AND(P40="Alta",T40="Leve"),AND(P40="Alta",T40="Menor")),"Moderado",IF(OR(AND(P40="Muy Baja",T40="Mayor"),AND(P40="Baja",T40="Mayor"),AND(P40="Media",T40="Mayor"),AND(P40="Alta",T40="Moderado"),AND(P40="Alta",T40="Mayor"),AND(P40="Muy Alta",T40="Leve"),AND(P40="Muy Alta",T40="Menor"),AND(P40="Muy Alta",T40="Moderado"),AND(P40="Muy Alta",T40="Mayor")),"Alto",IF(OR(AND(P40="Muy Baja",T40="Catastrófico"),AND(P40="Baja",T40="Catastrófico"),AND(P40="Media",T40="Catastrófico"),AND(P40="Alta",T40="Catastrófico"),AND(P40="Muy Alta",T40="Catastrófico")),"Extremo",""))))</f>
        <v>Moderado</v>
      </c>
      <c r="W40" s="149">
        <v>1</v>
      </c>
      <c r="X40" s="182" t="s">
        <v>649</v>
      </c>
      <c r="Y40" s="149" t="s">
        <v>52</v>
      </c>
      <c r="Z40" s="336" t="s">
        <v>650</v>
      </c>
      <c r="AA40" s="174" t="str">
        <f t="shared" si="40"/>
        <v xml:space="preserve">El Jefe de la Oficina de Servicio a la Ciudadanía y Sostenibilidad  Revisa Cuatrimestralmente el Informe ejecutivo  de las sensibilizaciones sobre los lineamientos y el plan de participación ciudadana de la entidad, que lleva consigo la aplicación de encuestas para conocer la aprehensión de los temas tratados en las sensibilizaciones y socializaciones. Como evidencia de esta actividad queda la presentación de la sensibilización, el listado de asistencia, material fotográfico y el informe ejecutivo revisado por jefe de la oficina. 
En caso de evidenciar que no se han adelantado las sensibilizaciones y socializaciones de participación ciudadana, se procede a generar mesa de trabajo para tomar las medidas pertinentes de manera inmediata. </v>
      </c>
      <c r="AB40" s="126" t="str">
        <f>IF(OR(AC40="Preventivo",AC40="Detectivo"),"Probabilidad",IF(AC40="Correctivo","Impacto",""))</f>
        <v>Probabilidad</v>
      </c>
      <c r="AC40" s="127" t="s">
        <v>398</v>
      </c>
      <c r="AD40" s="127" t="s">
        <v>394</v>
      </c>
      <c r="AE40" s="128" t="str">
        <f>IF(AND(AC40="Preventivo",AD40="Automático"),"50%",IF(AND(AC40="Preventivo",AD40="Manual"),"40%",IF(AND(AC40="Detectivo",AD40="Automático"),"40%",IF(AND(AC40="Detectivo",AD40="Manual"),"30%",IF(AND(AC40="Correctivo",AD40="Automático"),"35%",IF(AND(AC40="Correctivo",AD40="Manual"),"25%",""))))))</f>
        <v>40%</v>
      </c>
      <c r="AF40" s="127" t="s">
        <v>395</v>
      </c>
      <c r="AG40" s="127" t="s">
        <v>396</v>
      </c>
      <c r="AH40" s="127" t="s">
        <v>397</v>
      </c>
      <c r="AI40" s="129">
        <f>IFERROR(IF(AB40="Probabilidad",(Q40-(+Q40*AE40)),IF(AB40="Impacto",Q40,"")),"")</f>
        <v>0.36</v>
      </c>
      <c r="AJ40" s="130" t="str">
        <f>IFERROR(IF(AI40="","",IF(AI40&lt;=0.2,"Muy Baja",IF(AI40&lt;=0.4,"Baja",IF(AI40&lt;=0.6,"Media",IF(AI40&lt;=0.8,"Alta","Muy Alta"))))),"")</f>
        <v>Baja</v>
      </c>
      <c r="AK40" s="128">
        <f>+AI40</f>
        <v>0.36</v>
      </c>
      <c r="AL40" s="130" t="str">
        <f>IFERROR(IF(AM40="","",IF(AM40&lt;=0.2,"Leve",IF(AM40&lt;=0.4,"Menor",IF(AM40&lt;=0.6,"Moderado",IF(AM40&lt;=0.8,"Mayor","Catastrófico"))))),"")</f>
        <v>Moderado</v>
      </c>
      <c r="AM40" s="128">
        <f t="shared" ref="AM40" si="50">IFERROR(IF(AB40="Impacto",(U40-(+U40*AE40)),IF(AB40="Probabilidad",U40,"")),"")</f>
        <v>0.6</v>
      </c>
      <c r="AN40" s="131" t="str">
        <f>IFERROR(IF(OR(AND(AJ40="Muy Baja",AL40="Leve"),AND(AJ40="Muy Baja",AL40="Menor"),AND(AJ40="Baja",AL40="Leve")),"Bajo",IF(OR(AND(AJ40="Muy baja",AL40="Moderado"),AND(AJ40="Baja",AL40="Menor"),AND(AJ40="Baja",AL40="Moderado"),AND(AJ40="Media",AL40="Leve"),AND(AJ40="Media",AL40="Menor"),AND(AJ40="Media",AL40="Moderado"),AND(AJ40="Alta",AL40="Leve"),AND(AJ40="Alta",AL40="Menor")),"Moderado",IF(OR(AND(AJ40="Muy Baja",AL40="Mayor"),AND(AJ40="Baja",AL40="Mayor"),AND(AJ40="Media",AL40="Mayor"),AND(AJ40="Alta",AL40="Moderado"),AND(AJ40="Alta",AL40="Mayor"),AND(AJ40="Muy Alta",AL40="Leve"),AND(AJ40="Muy Alta",AL40="Menor"),AND(AJ40="Muy Alta",AL40="Moderado"),AND(AJ40="Muy Alta",AL40="Mayor")),"Alto",IF(OR(AND(AJ40="Muy Baja",AL40="Catastrófico"),AND(AJ40="Baja",AL40="Catastrófico"),AND(AJ40="Media",AL40="Catastrófico"),AND(AJ40="Alta",AL40="Catastrófico"),AND(AJ40="Muy Alta",AL40="Catastrófico")),"Extremo","")))),"")</f>
        <v>Moderado</v>
      </c>
      <c r="AO40" s="127"/>
      <c r="AP40" s="125" t="s">
        <v>676</v>
      </c>
      <c r="AQ40" s="331" t="s">
        <v>672</v>
      </c>
      <c r="AR40" s="125" t="s">
        <v>677</v>
      </c>
      <c r="AS40" s="134" t="s">
        <v>601</v>
      </c>
      <c r="AT40" s="402" t="s">
        <v>684</v>
      </c>
      <c r="AU40" s="402" t="s">
        <v>685</v>
      </c>
      <c r="AV40" s="402" t="s">
        <v>683</v>
      </c>
    </row>
    <row r="41" spans="1:48" ht="42.75" customHeight="1" x14ac:dyDescent="0.2">
      <c r="A41" s="398"/>
      <c r="B41" s="400"/>
      <c r="C41" s="400"/>
      <c r="D41" s="403"/>
      <c r="E41" s="401"/>
      <c r="F41" s="400"/>
      <c r="G41" s="401"/>
      <c r="H41" s="400"/>
      <c r="I41" s="403"/>
      <c r="J41" s="423"/>
      <c r="K41" s="423"/>
      <c r="L41" s="425"/>
      <c r="M41" s="465"/>
      <c r="N41" s="465"/>
      <c r="O41" s="427"/>
      <c r="P41" s="417"/>
      <c r="Q41" s="405"/>
      <c r="R41" s="406"/>
      <c r="S41" s="405">
        <f>IF(NOT(ISERROR(MATCH(R41,_xlfn.ANCHORARRAY(G52),0))),Q54&amp;"Por favor no seleccionar los criterios de impacto",R41)</f>
        <v>0</v>
      </c>
      <c r="T41" s="417"/>
      <c r="U41" s="405"/>
      <c r="V41" s="418"/>
      <c r="W41" s="149">
        <v>2</v>
      </c>
      <c r="X41" s="182" t="s">
        <v>680</v>
      </c>
      <c r="Y41" s="149" t="s">
        <v>52</v>
      </c>
      <c r="Z41" s="336" t="s">
        <v>651</v>
      </c>
      <c r="AA41" s="174" t="str">
        <f t="shared" si="40"/>
        <v xml:space="preserve">El colaborador designado del proceso SRPI asignado a participación ciudadana  Revisa de manera trimestral la aplicación de requisitos legales  establecidos en el marco de la participación ciudadana, de tal manera que se estén llevando a cabo y que la información consignada en el normograma y los diferetes documentos asociados sea veraz.  Como evidencia queda el acta de reunión de la revisión efectuada. 
En caso que se identifiquen anomalías en el cumplimiento del normograma, se informa al jefe de la oficina, y se procede inmediatamente a la aplicación de la normatividad y el ajuste del normograma y documentos. </v>
      </c>
      <c r="AB41" s="126" t="str">
        <f>IF(OR(AC41="Preventivo",AC41="Detectivo"),"Probabilidad",IF(AC41="Correctivo","Impacto",""))</f>
        <v>Probabilidad</v>
      </c>
      <c r="AC41" s="127" t="s">
        <v>393</v>
      </c>
      <c r="AD41" s="127" t="s">
        <v>394</v>
      </c>
      <c r="AE41" s="128" t="str">
        <f t="shared" ref="AE41:AE45" si="51">IF(AND(AC41="Preventivo",AD41="Automático"),"50%",IF(AND(AC41="Preventivo",AD41="Manual"),"40%",IF(AND(AC41="Detectivo",AD41="Automático"),"40%",IF(AND(AC41="Detectivo",AD41="Manual"),"30%",IF(AND(AC41="Correctivo",AD41="Automático"),"35%",IF(AND(AC41="Correctivo",AD41="Manual"),"25%",""))))))</f>
        <v>30%</v>
      </c>
      <c r="AF41" s="127" t="s">
        <v>395</v>
      </c>
      <c r="AG41" s="127" t="s">
        <v>396</v>
      </c>
      <c r="AH41" s="127" t="s">
        <v>397</v>
      </c>
      <c r="AI41" s="129">
        <f>IFERROR(IF(AND(AB40="Probabilidad",AB41="Probabilidad"),(AK40-(+AK40*AE41)),IF(AB41="Probabilidad",(Q40-(+Q40*AE41)),IF(AB41="Impacto",AK40,""))),"")</f>
        <v>0.252</v>
      </c>
      <c r="AJ41" s="130" t="str">
        <f t="shared" si="3"/>
        <v>Baja</v>
      </c>
      <c r="AK41" s="128">
        <f t="shared" ref="AK41:AK45" si="52">+AI41</f>
        <v>0.252</v>
      </c>
      <c r="AL41" s="130" t="str">
        <f t="shared" si="5"/>
        <v>Moderado</v>
      </c>
      <c r="AM41" s="128">
        <f t="shared" ref="AM41" si="53">IFERROR(IF(AND(AB40="Impacto",AB41="Impacto"),(AM40-(+AM40*AE41)),IF(AB41="Impacto",($U$10-(+$U$10*AE41)),IF(AB41="Probabilidad",AM40,""))),"")</f>
        <v>0.6</v>
      </c>
      <c r="AN41" s="131" t="str">
        <f t="shared" ref="AN41:AN42" si="54">IFERROR(IF(OR(AND(AJ41="Muy Baja",AL41="Leve"),AND(AJ41="Muy Baja",AL41="Menor"),AND(AJ41="Baja",AL41="Leve")),"Bajo",IF(OR(AND(AJ41="Muy baja",AL41="Moderado"),AND(AJ41="Baja",AL41="Menor"),AND(AJ41="Baja",AL41="Moderado"),AND(AJ41="Media",AL41="Leve"),AND(AJ41="Media",AL41="Menor"),AND(AJ41="Media",AL41="Moderado"),AND(AJ41="Alta",AL41="Leve"),AND(AJ41="Alta",AL41="Menor")),"Moderado",IF(OR(AND(AJ41="Muy Baja",AL41="Mayor"),AND(AJ41="Baja",AL41="Mayor"),AND(AJ41="Media",AL41="Mayor"),AND(AJ41="Alta",AL41="Moderado"),AND(AJ41="Alta",AL41="Mayor"),AND(AJ41="Muy Alta",AL41="Leve"),AND(AJ41="Muy Alta",AL41="Menor"),AND(AJ41="Muy Alta",AL41="Moderado"),AND(AJ41="Muy Alta",AL41="Mayor")),"Alto",IF(OR(AND(AJ41="Muy Baja",AL41="Catastrófico"),AND(AJ41="Baja",AL41="Catastrófico"),AND(AJ41="Media",AL41="Catastrófico"),AND(AJ41="Alta",AL41="Catastrófico"),AND(AJ41="Muy Alta",AL41="Catastrófico")),"Extremo","")))),"")</f>
        <v>Moderado</v>
      </c>
      <c r="AO41" s="132" t="s">
        <v>43</v>
      </c>
      <c r="AP41" s="332" t="s">
        <v>678</v>
      </c>
      <c r="AQ41" s="333" t="s">
        <v>672</v>
      </c>
      <c r="AR41" s="334" t="s">
        <v>679</v>
      </c>
      <c r="AS41" s="334" t="s">
        <v>601</v>
      </c>
      <c r="AT41" s="403"/>
      <c r="AU41" s="403"/>
      <c r="AV41" s="403"/>
    </row>
    <row r="42" spans="1:48" x14ac:dyDescent="0.2">
      <c r="A42" s="398"/>
      <c r="B42" s="400"/>
      <c r="C42" s="400"/>
      <c r="D42" s="403"/>
      <c r="E42" s="401"/>
      <c r="F42" s="400"/>
      <c r="G42" s="401"/>
      <c r="H42" s="400"/>
      <c r="I42" s="403"/>
      <c r="J42" s="423"/>
      <c r="K42" s="423"/>
      <c r="L42" s="425"/>
      <c r="M42" s="465"/>
      <c r="N42" s="465"/>
      <c r="O42" s="427"/>
      <c r="P42" s="417"/>
      <c r="Q42" s="405"/>
      <c r="R42" s="406"/>
      <c r="S42" s="405">
        <f>IF(NOT(ISERROR(MATCH(R42,_xlfn.ANCHORARRAY(G53),0))),Q55&amp;"Por favor no seleccionar los criterios de impacto",R42)</f>
        <v>0</v>
      </c>
      <c r="T42" s="417"/>
      <c r="U42" s="405"/>
      <c r="V42" s="418"/>
      <c r="W42" s="149">
        <v>3</v>
      </c>
      <c r="X42" s="149"/>
      <c r="Y42" s="149"/>
      <c r="Z42" s="336"/>
      <c r="AA42" s="304" t="str">
        <f t="shared" si="1"/>
        <v xml:space="preserve">  </v>
      </c>
      <c r="AB42" s="126" t="str">
        <f>IF(OR(AC42="Preventivo",AC42="Detectivo"),"Probabilidad",IF(AC42="Correctivo","Impacto",""))</f>
        <v/>
      </c>
      <c r="AC42" s="127"/>
      <c r="AD42" s="127"/>
      <c r="AE42" s="128" t="str">
        <f t="shared" si="51"/>
        <v/>
      </c>
      <c r="AF42" s="127"/>
      <c r="AG42" s="127"/>
      <c r="AH42" s="127"/>
      <c r="AI42" s="129" t="str">
        <f>IFERROR(IF(AND(AB41="Probabilidad",AB42="Probabilidad"),(AK41-(+AK41*AE42)),IF(AND(AB41="Impacto",AB42="Probabilidad"),(AK40-(+AK40*AE42)),IF(AB42="Impacto",AK41,""))),"")</f>
        <v/>
      </c>
      <c r="AJ42" s="130" t="str">
        <f t="shared" si="3"/>
        <v/>
      </c>
      <c r="AK42" s="128" t="str">
        <f t="shared" si="52"/>
        <v/>
      </c>
      <c r="AL42" s="130" t="str">
        <f t="shared" si="5"/>
        <v/>
      </c>
      <c r="AM42" s="128" t="str">
        <f t="shared" ref="AM42" si="55">IFERROR(IF(AND(AB41="Impacto",AB42="Impacto"),(AM41-(+AM41*AE42)),IF(AND(AB41="Probabilidad",AB42="Impacto"),(AM40-(+AM40*AE42)),IF(AB42="Probabilidad",AM41,""))),"")</f>
        <v/>
      </c>
      <c r="AN42" s="131" t="str">
        <f t="shared" si="54"/>
        <v/>
      </c>
      <c r="AO42" s="132"/>
      <c r="AP42" s="125"/>
      <c r="AQ42" s="133"/>
      <c r="AR42" s="133"/>
      <c r="AS42" s="134"/>
      <c r="AT42" s="403"/>
      <c r="AU42" s="403"/>
      <c r="AV42" s="403"/>
    </row>
    <row r="43" spans="1:48" x14ac:dyDescent="0.2">
      <c r="A43" s="398"/>
      <c r="B43" s="400"/>
      <c r="C43" s="400"/>
      <c r="D43" s="403"/>
      <c r="E43" s="401"/>
      <c r="F43" s="400"/>
      <c r="G43" s="401"/>
      <c r="H43" s="400"/>
      <c r="I43" s="403"/>
      <c r="J43" s="423"/>
      <c r="K43" s="423"/>
      <c r="L43" s="425"/>
      <c r="M43" s="465"/>
      <c r="N43" s="465"/>
      <c r="O43" s="427"/>
      <c r="P43" s="417"/>
      <c r="Q43" s="405"/>
      <c r="R43" s="406"/>
      <c r="S43" s="405">
        <f>IF(NOT(ISERROR(MATCH(R43,_xlfn.ANCHORARRAY(G54),0))),Q56&amp;"Por favor no seleccionar los criterios de impacto",R43)</f>
        <v>0</v>
      </c>
      <c r="T43" s="417"/>
      <c r="U43" s="405"/>
      <c r="V43" s="418"/>
      <c r="W43" s="149">
        <v>4</v>
      </c>
      <c r="X43" s="149"/>
      <c r="Y43" s="149"/>
      <c r="Z43" s="336"/>
      <c r="AA43" s="304" t="str">
        <f t="shared" si="1"/>
        <v xml:space="preserve">  </v>
      </c>
      <c r="AB43" s="126" t="str">
        <f t="shared" ref="AB43:AB45" si="56">IF(OR(AC43="Preventivo",AC43="Detectivo"),"Probabilidad",IF(AC43="Correctivo","Impacto",""))</f>
        <v/>
      </c>
      <c r="AC43" s="127"/>
      <c r="AD43" s="127"/>
      <c r="AE43" s="128" t="str">
        <f t="shared" si="51"/>
        <v/>
      </c>
      <c r="AF43" s="127"/>
      <c r="AG43" s="127"/>
      <c r="AH43" s="127"/>
      <c r="AI43" s="129" t="str">
        <f t="shared" ref="AI43:AI45" si="57">IFERROR(IF(AND(AB42="Probabilidad",AB43="Probabilidad"),(AK42-(+AK42*AE43)),IF(AND(AB42="Impacto",AB43="Probabilidad"),(AK41-(+AK41*AE43)),IF(AB43="Impacto",AK42,""))),"")</f>
        <v/>
      </c>
      <c r="AJ43" s="130" t="str">
        <f t="shared" si="3"/>
        <v/>
      </c>
      <c r="AK43" s="128" t="str">
        <f t="shared" si="52"/>
        <v/>
      </c>
      <c r="AL43" s="130" t="str">
        <f t="shared" si="5"/>
        <v/>
      </c>
      <c r="AM43" s="128" t="str">
        <f t="shared" si="15"/>
        <v/>
      </c>
      <c r="AN43" s="131" t="str">
        <f>IFERROR(IF(OR(AND(AJ43="Muy Baja",AL43="Leve"),AND(AJ43="Muy Baja",AL43="Menor"),AND(AJ43="Baja",AL43="Leve")),"Bajo",IF(OR(AND(AJ43="Muy baja",AL43="Moderado"),AND(AJ43="Baja",AL43="Menor"),AND(AJ43="Baja",AL43="Moderado"),AND(AJ43="Media",AL43="Leve"),AND(AJ43="Media",AL43="Menor"),AND(AJ43="Media",AL43="Moderado"),AND(AJ43="Alta",AL43="Leve"),AND(AJ43="Alta",AL43="Menor")),"Moderado",IF(OR(AND(AJ43="Muy Baja",AL43="Mayor"),AND(AJ43="Baja",AL43="Mayor"),AND(AJ43="Media",AL43="Mayor"),AND(AJ43="Alta",AL43="Moderado"),AND(AJ43="Alta",AL43="Mayor"),AND(AJ43="Muy Alta",AL43="Leve"),AND(AJ43="Muy Alta",AL43="Menor"),AND(AJ43="Muy Alta",AL43="Moderado"),AND(AJ43="Muy Alta",AL43="Mayor")),"Alto",IF(OR(AND(AJ43="Muy Baja",AL43="Catastrófico"),AND(AJ43="Baja",AL43="Catastrófico"),AND(AJ43="Media",AL43="Catastrófico"),AND(AJ43="Alta",AL43="Catastrófico"),AND(AJ43="Muy Alta",AL43="Catastrófico")),"Extremo","")))),"")</f>
        <v/>
      </c>
      <c r="AO43" s="132"/>
      <c r="AP43" s="125"/>
      <c r="AQ43" s="133"/>
      <c r="AR43" s="133"/>
      <c r="AS43" s="134"/>
      <c r="AT43" s="403"/>
      <c r="AU43" s="403"/>
      <c r="AV43" s="403"/>
    </row>
    <row r="44" spans="1:48" x14ac:dyDescent="0.2">
      <c r="A44" s="398"/>
      <c r="B44" s="400"/>
      <c r="C44" s="400"/>
      <c r="D44" s="403"/>
      <c r="E44" s="401"/>
      <c r="F44" s="400"/>
      <c r="G44" s="401"/>
      <c r="H44" s="400"/>
      <c r="I44" s="403"/>
      <c r="J44" s="423"/>
      <c r="K44" s="423"/>
      <c r="L44" s="425"/>
      <c r="M44" s="465"/>
      <c r="N44" s="465"/>
      <c r="O44" s="427"/>
      <c r="P44" s="417"/>
      <c r="Q44" s="405"/>
      <c r="R44" s="406"/>
      <c r="S44" s="405">
        <f>IF(NOT(ISERROR(MATCH(R44,_xlfn.ANCHORARRAY(G55),0))),Q57&amp;"Por favor no seleccionar los criterios de impacto",R44)</f>
        <v>0</v>
      </c>
      <c r="T44" s="417"/>
      <c r="U44" s="405"/>
      <c r="V44" s="418"/>
      <c r="W44" s="149">
        <v>5</v>
      </c>
      <c r="X44" s="149"/>
      <c r="Y44" s="149"/>
      <c r="Z44" s="336"/>
      <c r="AA44" s="304" t="str">
        <f t="shared" si="1"/>
        <v xml:space="preserve">  </v>
      </c>
      <c r="AB44" s="126" t="str">
        <f t="shared" si="56"/>
        <v/>
      </c>
      <c r="AC44" s="127"/>
      <c r="AD44" s="127"/>
      <c r="AE44" s="128" t="str">
        <f t="shared" si="51"/>
        <v/>
      </c>
      <c r="AF44" s="127"/>
      <c r="AG44" s="127"/>
      <c r="AH44" s="127"/>
      <c r="AI44" s="129" t="str">
        <f t="shared" si="57"/>
        <v/>
      </c>
      <c r="AJ44" s="130" t="str">
        <f t="shared" si="3"/>
        <v/>
      </c>
      <c r="AK44" s="128" t="str">
        <f t="shared" si="52"/>
        <v/>
      </c>
      <c r="AL44" s="130" t="str">
        <f t="shared" si="5"/>
        <v/>
      </c>
      <c r="AM44" s="128" t="str">
        <f t="shared" si="15"/>
        <v/>
      </c>
      <c r="AN44" s="131" t="str">
        <f t="shared" ref="AN44" si="58">IFERROR(IF(OR(AND(AJ44="Muy Baja",AL44="Leve"),AND(AJ44="Muy Baja",AL44="Menor"),AND(AJ44="Baja",AL44="Leve")),"Bajo",IF(OR(AND(AJ44="Muy baja",AL44="Moderado"),AND(AJ44="Baja",AL44="Menor"),AND(AJ44="Baja",AL44="Moderado"),AND(AJ44="Media",AL44="Leve"),AND(AJ44="Media",AL44="Menor"),AND(AJ44="Media",AL44="Moderado"),AND(AJ44="Alta",AL44="Leve"),AND(AJ44="Alta",AL44="Menor")),"Moderado",IF(OR(AND(AJ44="Muy Baja",AL44="Mayor"),AND(AJ44="Baja",AL44="Mayor"),AND(AJ44="Media",AL44="Mayor"),AND(AJ44="Alta",AL44="Moderado"),AND(AJ44="Alta",AL44="Mayor"),AND(AJ44="Muy Alta",AL44="Leve"),AND(AJ44="Muy Alta",AL44="Menor"),AND(AJ44="Muy Alta",AL44="Moderado"),AND(AJ44="Muy Alta",AL44="Mayor")),"Alto",IF(OR(AND(AJ44="Muy Baja",AL44="Catastrófico"),AND(AJ44="Baja",AL44="Catastrófico"),AND(AJ44="Media",AL44="Catastrófico"),AND(AJ44="Alta",AL44="Catastrófico"),AND(AJ44="Muy Alta",AL44="Catastrófico")),"Extremo","")))),"")</f>
        <v/>
      </c>
      <c r="AO44" s="132"/>
      <c r="AP44" s="125"/>
      <c r="AQ44" s="133"/>
      <c r="AR44" s="133"/>
      <c r="AS44" s="134"/>
      <c r="AT44" s="403"/>
      <c r="AU44" s="403"/>
      <c r="AV44" s="403"/>
    </row>
    <row r="45" spans="1:48" x14ac:dyDescent="0.2">
      <c r="A45" s="398"/>
      <c r="B45" s="400"/>
      <c r="C45" s="400"/>
      <c r="D45" s="404"/>
      <c r="E45" s="401"/>
      <c r="F45" s="400"/>
      <c r="G45" s="401"/>
      <c r="H45" s="400"/>
      <c r="I45" s="404"/>
      <c r="J45" s="423"/>
      <c r="K45" s="423"/>
      <c r="L45" s="426"/>
      <c r="M45" s="466"/>
      <c r="N45" s="466"/>
      <c r="O45" s="427"/>
      <c r="P45" s="417"/>
      <c r="Q45" s="405"/>
      <c r="R45" s="406"/>
      <c r="S45" s="405">
        <f>IF(NOT(ISERROR(MATCH(R45,_xlfn.ANCHORARRAY(G56),0))),Q58&amp;"Por favor no seleccionar los criterios de impacto",R45)</f>
        <v>0</v>
      </c>
      <c r="T45" s="417"/>
      <c r="U45" s="405"/>
      <c r="V45" s="418"/>
      <c r="W45" s="149">
        <v>6</v>
      </c>
      <c r="X45" s="149"/>
      <c r="Y45" s="149"/>
      <c r="Z45" s="336"/>
      <c r="AA45" s="304" t="str">
        <f t="shared" si="1"/>
        <v xml:space="preserve">  </v>
      </c>
      <c r="AB45" s="126" t="str">
        <f t="shared" si="56"/>
        <v/>
      </c>
      <c r="AC45" s="127"/>
      <c r="AD45" s="127"/>
      <c r="AE45" s="128" t="str">
        <f t="shared" si="51"/>
        <v/>
      </c>
      <c r="AF45" s="127"/>
      <c r="AG45" s="127"/>
      <c r="AH45" s="127"/>
      <c r="AI45" s="129" t="str">
        <f t="shared" si="57"/>
        <v/>
      </c>
      <c r="AJ45" s="130" t="str">
        <f t="shared" si="3"/>
        <v/>
      </c>
      <c r="AK45" s="128" t="str">
        <f t="shared" si="52"/>
        <v/>
      </c>
      <c r="AL45" s="130" t="str">
        <f>IFERROR(IF(AM45="","",IF(AM45&lt;=0.2,"Leve",IF(AM45&lt;=0.4,"Menor",IF(AM45&lt;=0.6,"Moderado",IF(AM45&lt;=0.8,"Mayor","Catastrófico"))))),"")</f>
        <v/>
      </c>
      <c r="AM45" s="128" t="str">
        <f t="shared" si="15"/>
        <v/>
      </c>
      <c r="AN45" s="131" t="str">
        <f>IFERROR(IF(OR(AND(AJ45="Muy Baja",AL45="Leve"),AND(AJ45="Muy Baja",AL45="Menor"),AND(AJ45="Baja",AL45="Leve")),"Bajo",IF(OR(AND(AJ45="Muy baja",AL45="Moderado"),AND(AJ45="Baja",AL45="Menor"),AND(AJ45="Baja",AL45="Moderado"),AND(AJ45="Media",AL45="Leve"),AND(AJ45="Media",AL45="Menor"),AND(AJ45="Media",AL45="Moderado"),AND(AJ45="Alta",AL45="Leve"),AND(AJ45="Alta",AL45="Menor")),"Moderado",IF(OR(AND(AJ45="Muy Baja",AL45="Mayor"),AND(AJ45="Baja",AL45="Mayor"),AND(AJ45="Media",AL45="Mayor"),AND(AJ45="Alta",AL45="Moderado"),AND(AJ45="Alta",AL45="Mayor"),AND(AJ45="Muy Alta",AL45="Leve"),AND(AJ45="Muy Alta",AL45="Menor"),AND(AJ45="Muy Alta",AL45="Moderado"),AND(AJ45="Muy Alta",AL45="Mayor")),"Alto",IF(OR(AND(AJ45="Muy Baja",AL45="Catastrófico"),AND(AJ45="Baja",AL45="Catastrófico"),AND(AJ45="Media",AL45="Catastrófico"),AND(AJ45="Alta",AL45="Catastrófico"),AND(AJ45="Muy Alta",AL45="Catastrófico")),"Extremo","")))),"")</f>
        <v/>
      </c>
      <c r="AO45" s="132"/>
      <c r="AP45" s="125"/>
      <c r="AQ45" s="133"/>
      <c r="AR45" s="133"/>
      <c r="AS45" s="134"/>
      <c r="AT45" s="404"/>
      <c r="AU45" s="404"/>
      <c r="AV45" s="404"/>
    </row>
    <row r="46" spans="1:48" ht="71.25" customHeight="1" x14ac:dyDescent="0.2">
      <c r="A46" s="398">
        <v>7</v>
      </c>
      <c r="B46" s="400" t="s">
        <v>549</v>
      </c>
      <c r="C46" s="400" t="s">
        <v>44</v>
      </c>
      <c r="D46" s="402" t="s">
        <v>775</v>
      </c>
      <c r="E46" s="401" t="s">
        <v>776</v>
      </c>
      <c r="F46" s="400" t="s">
        <v>702</v>
      </c>
      <c r="G46" s="401" t="str">
        <f t="shared" ref="G46" si="59">+CONCATENATE(C46," ",D46," ",E46)</f>
        <v>Posibilidad de afectación Económica y Reputacional Por modificación de la estrategia de TI que pueden generar desviaciones en el plan  presupuestal y a los proyectos de TI Debido a cambios en la definción de lineamientos institucionales durante la ejecución del portafolio de proyectos planificados en la hoja de ruta del Plan Estratégico de Tecnologías de Información</v>
      </c>
      <c r="H46" s="400" t="s">
        <v>391</v>
      </c>
      <c r="I46" s="402" t="s">
        <v>59</v>
      </c>
      <c r="J46" s="423"/>
      <c r="K46" s="423"/>
      <c r="L46" s="402" t="s">
        <v>703</v>
      </c>
      <c r="M46" s="402" t="s">
        <v>65</v>
      </c>
      <c r="N46" s="402" t="s">
        <v>50</v>
      </c>
      <c r="O46" s="416">
        <v>47</v>
      </c>
      <c r="P46" s="417" t="str">
        <f>IF(O46&lt;=0,"",IF(O46&lt;=2,"Muy Baja",IF(O46&lt;=24,"Baja",IF(O46&lt;=500,"Media",IF(O46&lt;=5000,"Alta","Muy Alta")))))</f>
        <v>Media</v>
      </c>
      <c r="Q46" s="405">
        <f>IF(P46="","",IF(P46="Muy Baja",0.2,IF(P46="Baja",0.4,IF(P46="Media",0.6,IF(P46="Alta",0.8,IF(P46="Muy Alta",1,))))))</f>
        <v>0.6</v>
      </c>
      <c r="R46" s="406" t="s">
        <v>513</v>
      </c>
      <c r="S46" s="405" t="str">
        <f>IF(NOT(ISERROR(MATCH(R46,'Tabla Impacto'!$B$245:$B$247,0))),'Tabla Impacto'!$F$224&amp;"Por favor no seleccionar los criterios de impacto(Afectación Económica o presupuestal y Pérdida Reputacional)",R46)</f>
        <v xml:space="preserve">     El riesgo afecta la imagen de la entidad internamente, de conocimiento general, nivel interno, de junta dircetiva y accionistas y/o de provedores</v>
      </c>
      <c r="T46" s="417" t="str">
        <f>IF(OR(S46='Tabla Impacto'!$C$12,S46='Tabla Impacto'!$D$12),"Leve",IF(OR(S46='Tabla Impacto'!$C$13,S46='Tabla Impacto'!$D$13),"Menor",IF(OR(S46='Tabla Impacto'!$C$14,S46='Tabla Impacto'!$D$14),"Moderado",IF(OR(S46='Tabla Impacto'!$C$15,S46='Tabla Impacto'!$D$15),"Mayor",IF(OR(S46='Tabla Impacto'!$C$16,S46='Tabla Impacto'!$D$16),"Catastrófico","")))))</f>
        <v>Menor</v>
      </c>
      <c r="U46" s="405">
        <f>IF(T46="","",IF(T46="Leve",0.2,IF(T46="Menor",0.4,IF(T46="Moderado",0.6,IF(T46="Mayor",0.8,IF(T46="Catastrófico",1,))))))</f>
        <v>0.4</v>
      </c>
      <c r="V46" s="418" t="str">
        <f>IF(OR(AND(P46="Muy Baja",T46="Leve"),AND(P46="Muy Baja",T46="Menor"),AND(P46="Baja",T46="Leve")),"Bajo",IF(OR(AND(P46="Muy baja",T46="Moderado"),AND(P46="Baja",T46="Menor"),AND(P46="Baja",T46="Moderado"),AND(P46="Media",T46="Leve"),AND(P46="Media",T46="Menor"),AND(P46="Media",T46="Moderado"),AND(P46="Alta",T46="Leve"),AND(P46="Alta",T46="Menor")),"Moderado",IF(OR(AND(P46="Muy Baja",T46="Mayor"),AND(P46="Baja",T46="Mayor"),AND(P46="Media",T46="Mayor"),AND(P46="Alta",T46="Moderado"),AND(P46="Alta",T46="Mayor"),AND(P46="Muy Alta",T46="Leve"),AND(P46="Muy Alta",T46="Menor"),AND(P46="Muy Alta",T46="Moderado"),AND(P46="Muy Alta",T46="Mayor")),"Alto",IF(OR(AND(P46="Muy Baja",T46="Catastrófico"),AND(P46="Baja",T46="Catastrófico"),AND(P46="Media",T46="Catastrófico"),AND(P46="Alta",T46="Catastrófico"),AND(P46="Muy Alta",T46="Catastrófico")),"Extremo",""))))</f>
        <v>Moderado</v>
      </c>
      <c r="W46" s="149">
        <v>1</v>
      </c>
      <c r="X46" s="182" t="s">
        <v>704</v>
      </c>
      <c r="Y46" s="182" t="s">
        <v>52</v>
      </c>
      <c r="Z46" s="336" t="s">
        <v>705</v>
      </c>
      <c r="AA46" s="304" t="str">
        <f t="shared" si="1"/>
        <v>El jefe de la Oficina de Tecnologías de la Información (OTI) Revisa El estado de ejecución del portafolio de proyectos para identificar avances, detectar riesgos y proponer acciones correctivas que permitan garantizar el alcance, tiempo y costos de los proyectos.
Cómo se realiza: A través de reuniones de seguimiento semanales con los responsables de cada proyecto, utilizando herramientas de gestión como cronogramas, logros alcanzados, tareas realizadas, puntos de atención y tableros de control. 
Evidencia: Reportes semanal del estado y actas de reuniones de seguimiento.
Desviación: Cualquier desviación detectada será registrada con responsables y tiempos definidos, para mitigar el impacto y asegurar la alineación con los objetivos del proyecto.</v>
      </c>
      <c r="AB46" s="126" t="str">
        <f>IF(OR(AC46="Preventivo",AC46="Detectivo"),"Probabilidad",IF(AC46="Correctivo","Impacto",""))</f>
        <v>Probabilidad</v>
      </c>
      <c r="AC46" s="127" t="s">
        <v>398</v>
      </c>
      <c r="AD46" s="127" t="s">
        <v>394</v>
      </c>
      <c r="AE46" s="128" t="str">
        <f>IF(AND(AC46="Preventivo",AD46="Automático"),"50%",IF(AND(AC46="Preventivo",AD46="Manual"),"40%",IF(AND(AC46="Detectivo",AD46="Automático"),"40%",IF(AND(AC46="Detectivo",AD46="Manual"),"30%",IF(AND(AC46="Correctivo",AD46="Automático"),"35%",IF(AND(AC46="Correctivo",AD46="Manual"),"25%",""))))))</f>
        <v>40%</v>
      </c>
      <c r="AF46" s="127" t="s">
        <v>395</v>
      </c>
      <c r="AG46" s="127" t="s">
        <v>396</v>
      </c>
      <c r="AH46" s="127" t="s">
        <v>397</v>
      </c>
      <c r="AI46" s="129">
        <f>IFERROR(IF(AB46="Probabilidad",(Q46-(+Q46*AE46)),IF(AB46="Impacto",Q46,"")),"")</f>
        <v>0.36</v>
      </c>
      <c r="AJ46" s="130" t="str">
        <f>IFERROR(IF(AI46="","",IF(AI46&lt;=0.2,"Muy Baja",IF(AI46&lt;=0.4,"Baja",IF(AI46&lt;=0.6,"Media",IF(AI46&lt;=0.8,"Alta","Muy Alta"))))),"")</f>
        <v>Baja</v>
      </c>
      <c r="AK46" s="128">
        <f>+AI46</f>
        <v>0.36</v>
      </c>
      <c r="AL46" s="130" t="str">
        <f>IFERROR(IF(AM46="","",IF(AM46&lt;=0.2,"Leve",IF(AM46&lt;=0.4,"Menor",IF(AM46&lt;=0.6,"Moderado",IF(AM46&lt;=0.8,"Mayor","Catastrófico"))))),"")</f>
        <v>Menor</v>
      </c>
      <c r="AM46" s="128">
        <f t="shared" ref="AM46" si="60">IFERROR(IF(AB46="Impacto",(U46-(+U46*AE46)),IF(AB46="Probabilidad",U46,"")),"")</f>
        <v>0.4</v>
      </c>
      <c r="AN46" s="131" t="str">
        <f>IFERROR(IF(OR(AND(AJ46="Muy Baja",AL46="Leve"),AND(AJ46="Muy Baja",AL46="Menor"),AND(AJ46="Baja",AL46="Leve")),"Bajo",IF(OR(AND(AJ46="Muy baja",AL46="Moderado"),AND(AJ46="Baja",AL46="Menor"),AND(AJ46="Baja",AL46="Moderado"),AND(AJ46="Media",AL46="Leve"),AND(AJ46="Media",AL46="Menor"),AND(AJ46="Media",AL46="Moderado"),AND(AJ46="Alta",AL46="Leve"),AND(AJ46="Alta",AL46="Menor")),"Moderado",IF(OR(AND(AJ46="Muy Baja",AL46="Mayor"),AND(AJ46="Baja",AL46="Mayor"),AND(AJ46="Media",AL46="Mayor"),AND(AJ46="Alta",AL46="Moderado"),AND(AJ46="Alta",AL46="Mayor"),AND(AJ46="Muy Alta",AL46="Leve"),AND(AJ46="Muy Alta",AL46="Menor"),AND(AJ46="Muy Alta",AL46="Moderado"),AND(AJ46="Muy Alta",AL46="Mayor")),"Alto",IF(OR(AND(AJ46="Muy Baja",AL46="Catastrófico"),AND(AJ46="Baja",AL46="Catastrófico"),AND(AJ46="Media",AL46="Catastrófico"),AND(AJ46="Alta",AL46="Catastrófico"),AND(AJ46="Muy Alta",AL46="Catastrófico")),"Extremo","")))),"")</f>
        <v>Moderado</v>
      </c>
      <c r="AO46" s="132"/>
      <c r="AP46" s="125" t="s">
        <v>707</v>
      </c>
      <c r="AQ46" s="125" t="s">
        <v>708</v>
      </c>
      <c r="AR46" s="125" t="s">
        <v>709</v>
      </c>
      <c r="AS46" s="134" t="s">
        <v>710</v>
      </c>
      <c r="AT46" s="400" t="s">
        <v>711</v>
      </c>
      <c r="AU46" s="400" t="s">
        <v>712</v>
      </c>
      <c r="AV46" s="400" t="s">
        <v>708</v>
      </c>
    </row>
    <row r="47" spans="1:48" ht="71.25" customHeight="1" x14ac:dyDescent="0.2">
      <c r="A47" s="398"/>
      <c r="B47" s="400"/>
      <c r="C47" s="400"/>
      <c r="D47" s="403"/>
      <c r="E47" s="401"/>
      <c r="F47" s="400"/>
      <c r="G47" s="401"/>
      <c r="H47" s="400"/>
      <c r="I47" s="403"/>
      <c r="J47" s="423"/>
      <c r="K47" s="423"/>
      <c r="L47" s="403"/>
      <c r="M47" s="403"/>
      <c r="N47" s="403"/>
      <c r="O47" s="416"/>
      <c r="P47" s="417"/>
      <c r="Q47" s="405"/>
      <c r="R47" s="406"/>
      <c r="S47" s="405">
        <f>IF(NOT(ISERROR(MATCH(R47,_xlfn.ANCHORARRAY(G58),0))),Q60&amp;"Por favor no seleccionar los criterios de impacto",R47)</f>
        <v>0</v>
      </c>
      <c r="T47" s="417"/>
      <c r="U47" s="405"/>
      <c r="V47" s="418"/>
      <c r="W47" s="149">
        <v>2</v>
      </c>
      <c r="X47" s="182" t="s">
        <v>704</v>
      </c>
      <c r="Y47" s="182" t="s">
        <v>41</v>
      </c>
      <c r="Z47" s="336" t="s">
        <v>706</v>
      </c>
      <c r="AA47" s="304" t="str">
        <f t="shared" si="1"/>
        <v>El jefe de la Oficina de Tecnologías de la Información (OTI) Valida Trimestralmente, el reporte del estado actual del portafolio de proyectos programados para la presente vigencia, mediante el diligenciamiento del formato EGTI-FM-008: Seguimiento al Plan Estratégico de Tecnologías de Información (PETI).
En caso de que se incorporen nuevos lineamientos institucionales que impliquen la adición o eliminación de uno o varios proyectos planificados, se realizará un control de cambios a la hoja de ruta del PETI, el cual será presentado a la mesa de arquitectura empresarial para su correspondiente aprobación.</v>
      </c>
      <c r="AB47" s="126" t="str">
        <f>IF(OR(AC47="Preventivo",AC47="Detectivo"),"Probabilidad",IF(AC47="Correctivo","Impacto",""))</f>
        <v>Impacto</v>
      </c>
      <c r="AC47" s="127" t="s">
        <v>419</v>
      </c>
      <c r="AD47" s="127" t="s">
        <v>394</v>
      </c>
      <c r="AE47" s="128" t="str">
        <f t="shared" ref="AE47:AE51" si="61">IF(AND(AC47="Preventivo",AD47="Automático"),"50%",IF(AND(AC47="Preventivo",AD47="Manual"),"40%",IF(AND(AC47="Detectivo",AD47="Automático"),"40%",IF(AND(AC47="Detectivo",AD47="Manual"),"30%",IF(AND(AC47="Correctivo",AD47="Automático"),"35%",IF(AND(AC47="Correctivo",AD47="Manual"),"25%",""))))))</f>
        <v>25%</v>
      </c>
      <c r="AF47" s="127" t="s">
        <v>395</v>
      </c>
      <c r="AG47" s="127" t="s">
        <v>396</v>
      </c>
      <c r="AH47" s="127" t="s">
        <v>397</v>
      </c>
      <c r="AI47" s="129">
        <f>IFERROR(IF(AND(AB46="Probabilidad",AB47="Probabilidad"),(AK46-(+AK46*AE47)),IF(AB47="Probabilidad",(Q46-(+Q46*AE47)),IF(AB47="Impacto",AK46,""))),"")</f>
        <v>0.36</v>
      </c>
      <c r="AJ47" s="130" t="str">
        <f t="shared" si="3"/>
        <v>Baja</v>
      </c>
      <c r="AK47" s="128">
        <f t="shared" ref="AK47:AK51" si="62">+AI47</f>
        <v>0.36</v>
      </c>
      <c r="AL47" s="130" t="str">
        <f t="shared" si="5"/>
        <v>Moderado</v>
      </c>
      <c r="AM47" s="128">
        <f t="shared" ref="AM47" si="63">IFERROR(IF(AND(AB46="Impacto",AB47="Impacto"),(AM46-(+AM46*AE47)),IF(AB47="Impacto",($U$10-(+$U$10*AE47)),IF(AB47="Probabilidad",AM46,""))),"")</f>
        <v>0.44999999999999996</v>
      </c>
      <c r="AN47" s="131" t="str">
        <f t="shared" ref="AN47:AN48" si="64">IFERROR(IF(OR(AND(AJ47="Muy Baja",AL47="Leve"),AND(AJ47="Muy Baja",AL47="Menor"),AND(AJ47="Baja",AL47="Leve")),"Bajo",IF(OR(AND(AJ47="Muy baja",AL47="Moderado"),AND(AJ47="Baja",AL47="Menor"),AND(AJ47="Baja",AL47="Moderado"),AND(AJ47="Media",AL47="Leve"),AND(AJ47="Media",AL47="Menor"),AND(AJ47="Media",AL47="Moderado"),AND(AJ47="Alta",AL47="Leve"),AND(AJ47="Alta",AL47="Menor")),"Moderado",IF(OR(AND(AJ47="Muy Baja",AL47="Mayor"),AND(AJ47="Baja",AL47="Mayor"),AND(AJ47="Media",AL47="Mayor"),AND(AJ47="Alta",AL47="Moderado"),AND(AJ47="Alta",AL47="Mayor"),AND(AJ47="Muy Alta",AL47="Leve"),AND(AJ47="Muy Alta",AL47="Menor"),AND(AJ47="Muy Alta",AL47="Moderado"),AND(AJ47="Muy Alta",AL47="Mayor")),"Alto",IF(OR(AND(AJ47="Muy Baja",AL47="Catastrófico"),AND(AJ47="Baja",AL47="Catastrófico"),AND(AJ47="Media",AL47="Catastrófico"),AND(AJ47="Alta",AL47="Catastrófico"),AND(AJ47="Muy Alta",AL47="Catastrófico")),"Extremo","")))),"")</f>
        <v>Moderado</v>
      </c>
      <c r="AO47" s="132" t="s">
        <v>43</v>
      </c>
      <c r="AP47" s="125"/>
      <c r="AQ47" s="133"/>
      <c r="AR47" s="133"/>
      <c r="AS47" s="134"/>
      <c r="AT47" s="400"/>
      <c r="AU47" s="400"/>
      <c r="AV47" s="400"/>
    </row>
    <row r="48" spans="1:48" x14ac:dyDescent="0.2">
      <c r="A48" s="398"/>
      <c r="B48" s="400"/>
      <c r="C48" s="400"/>
      <c r="D48" s="403"/>
      <c r="E48" s="401"/>
      <c r="F48" s="400"/>
      <c r="G48" s="401"/>
      <c r="H48" s="400"/>
      <c r="I48" s="403"/>
      <c r="J48" s="423"/>
      <c r="K48" s="423"/>
      <c r="L48" s="403"/>
      <c r="M48" s="403"/>
      <c r="N48" s="403"/>
      <c r="O48" s="416"/>
      <c r="P48" s="417"/>
      <c r="Q48" s="405"/>
      <c r="R48" s="406"/>
      <c r="S48" s="405">
        <f>IF(NOT(ISERROR(MATCH(R48,_xlfn.ANCHORARRAY(G59),0))),Q61&amp;"Por favor no seleccionar los criterios de impacto",R48)</f>
        <v>0</v>
      </c>
      <c r="T48" s="417"/>
      <c r="U48" s="405"/>
      <c r="V48" s="418"/>
      <c r="W48" s="149">
        <v>3</v>
      </c>
      <c r="X48" s="149"/>
      <c r="Y48" s="149"/>
      <c r="Z48" s="336"/>
      <c r="AA48" s="304" t="str">
        <f t="shared" si="1"/>
        <v xml:space="preserve">  </v>
      </c>
      <c r="AB48" s="126" t="str">
        <f>IF(OR(AC48="Preventivo",AC48="Detectivo"),"Probabilidad",IF(AC48="Correctivo","Impacto",""))</f>
        <v/>
      </c>
      <c r="AC48" s="127"/>
      <c r="AD48" s="127"/>
      <c r="AE48" s="128" t="str">
        <f t="shared" si="61"/>
        <v/>
      </c>
      <c r="AF48" s="127"/>
      <c r="AG48" s="127"/>
      <c r="AH48" s="127"/>
      <c r="AI48" s="129" t="str">
        <f>IFERROR(IF(AND(AB47="Probabilidad",AB48="Probabilidad"),(AK47-(+AK47*AE48)),IF(AND(AB47="Impacto",AB48="Probabilidad"),(AK46-(+AK46*AE48)),IF(AB48="Impacto",AK47,""))),"")</f>
        <v/>
      </c>
      <c r="AJ48" s="130" t="str">
        <f t="shared" si="3"/>
        <v/>
      </c>
      <c r="AK48" s="128" t="str">
        <f t="shared" si="62"/>
        <v/>
      </c>
      <c r="AL48" s="130" t="str">
        <f t="shared" si="5"/>
        <v/>
      </c>
      <c r="AM48" s="128" t="str">
        <f t="shared" ref="AM48" si="65">IFERROR(IF(AND(AB47="Impacto",AB48="Impacto"),(AM47-(+AM47*AE48)),IF(AND(AB47="Probabilidad",AB48="Impacto"),(AM46-(+AM46*AE48)),IF(AB48="Probabilidad",AM47,""))),"")</f>
        <v/>
      </c>
      <c r="AN48" s="131" t="str">
        <f t="shared" si="64"/>
        <v/>
      </c>
      <c r="AO48" s="132"/>
      <c r="AP48" s="125"/>
      <c r="AQ48" s="133"/>
      <c r="AR48" s="133"/>
      <c r="AS48" s="134"/>
      <c r="AT48" s="400"/>
      <c r="AU48" s="400"/>
      <c r="AV48" s="400"/>
    </row>
    <row r="49" spans="1:48" x14ac:dyDescent="0.2">
      <c r="A49" s="398"/>
      <c r="B49" s="400"/>
      <c r="C49" s="400"/>
      <c r="D49" s="403"/>
      <c r="E49" s="401"/>
      <c r="F49" s="400"/>
      <c r="G49" s="401"/>
      <c r="H49" s="400"/>
      <c r="I49" s="403"/>
      <c r="J49" s="423"/>
      <c r="K49" s="423"/>
      <c r="L49" s="403"/>
      <c r="M49" s="403"/>
      <c r="N49" s="403"/>
      <c r="O49" s="416"/>
      <c r="P49" s="417"/>
      <c r="Q49" s="405"/>
      <c r="R49" s="406"/>
      <c r="S49" s="405">
        <f>IF(NOT(ISERROR(MATCH(R49,_xlfn.ANCHORARRAY(G60),0))),Q62&amp;"Por favor no seleccionar los criterios de impacto",R49)</f>
        <v>0</v>
      </c>
      <c r="T49" s="417"/>
      <c r="U49" s="405"/>
      <c r="V49" s="418"/>
      <c r="W49" s="149">
        <v>4</v>
      </c>
      <c r="X49" s="149"/>
      <c r="Y49" s="149"/>
      <c r="Z49" s="336"/>
      <c r="AA49" s="304" t="str">
        <f t="shared" si="1"/>
        <v xml:space="preserve">  </v>
      </c>
      <c r="AB49" s="126" t="str">
        <f t="shared" ref="AB49:AB51" si="66">IF(OR(AC49="Preventivo",AC49="Detectivo"),"Probabilidad",IF(AC49="Correctivo","Impacto",""))</f>
        <v/>
      </c>
      <c r="AC49" s="127"/>
      <c r="AD49" s="127"/>
      <c r="AE49" s="128" t="str">
        <f t="shared" si="61"/>
        <v/>
      </c>
      <c r="AF49" s="127"/>
      <c r="AG49" s="127"/>
      <c r="AH49" s="127"/>
      <c r="AI49" s="129" t="str">
        <f t="shared" ref="AI49:AI51" si="67">IFERROR(IF(AND(AB48="Probabilidad",AB49="Probabilidad"),(AK48-(+AK48*AE49)),IF(AND(AB48="Impacto",AB49="Probabilidad"),(AK47-(+AK47*AE49)),IF(AB49="Impacto",AK48,""))),"")</f>
        <v/>
      </c>
      <c r="AJ49" s="130" t="str">
        <f t="shared" si="3"/>
        <v/>
      </c>
      <c r="AK49" s="128" t="str">
        <f t="shared" si="62"/>
        <v/>
      </c>
      <c r="AL49" s="130" t="str">
        <f t="shared" si="5"/>
        <v/>
      </c>
      <c r="AM49" s="128" t="str">
        <f t="shared" si="15"/>
        <v/>
      </c>
      <c r="AN49" s="131" t="str">
        <f>IFERROR(IF(OR(AND(AJ49="Muy Baja",AL49="Leve"),AND(AJ49="Muy Baja",AL49="Menor"),AND(AJ49="Baja",AL49="Leve")),"Bajo",IF(OR(AND(AJ49="Muy baja",AL49="Moderado"),AND(AJ49="Baja",AL49="Menor"),AND(AJ49="Baja",AL49="Moderado"),AND(AJ49="Media",AL49="Leve"),AND(AJ49="Media",AL49="Menor"),AND(AJ49="Media",AL49="Moderado"),AND(AJ49="Alta",AL49="Leve"),AND(AJ49="Alta",AL49="Menor")),"Moderado",IF(OR(AND(AJ49="Muy Baja",AL49="Mayor"),AND(AJ49="Baja",AL49="Mayor"),AND(AJ49="Media",AL49="Mayor"),AND(AJ49="Alta",AL49="Moderado"),AND(AJ49="Alta",AL49="Mayor"),AND(AJ49="Muy Alta",AL49="Leve"),AND(AJ49="Muy Alta",AL49="Menor"),AND(AJ49="Muy Alta",AL49="Moderado"),AND(AJ49="Muy Alta",AL49="Mayor")),"Alto",IF(OR(AND(AJ49="Muy Baja",AL49="Catastrófico"),AND(AJ49="Baja",AL49="Catastrófico"),AND(AJ49="Media",AL49="Catastrófico"),AND(AJ49="Alta",AL49="Catastrófico"),AND(AJ49="Muy Alta",AL49="Catastrófico")),"Extremo","")))),"")</f>
        <v/>
      </c>
      <c r="AO49" s="132"/>
      <c r="AP49" s="125"/>
      <c r="AQ49" s="133"/>
      <c r="AR49" s="133"/>
      <c r="AS49" s="134"/>
      <c r="AT49" s="400"/>
      <c r="AU49" s="400"/>
      <c r="AV49" s="400"/>
    </row>
    <row r="50" spans="1:48" x14ac:dyDescent="0.2">
      <c r="A50" s="398"/>
      <c r="B50" s="400"/>
      <c r="C50" s="400"/>
      <c r="D50" s="403"/>
      <c r="E50" s="401"/>
      <c r="F50" s="400"/>
      <c r="G50" s="401"/>
      <c r="H50" s="400"/>
      <c r="I50" s="403"/>
      <c r="J50" s="423"/>
      <c r="K50" s="423"/>
      <c r="L50" s="403"/>
      <c r="M50" s="403"/>
      <c r="N50" s="403"/>
      <c r="O50" s="416"/>
      <c r="P50" s="417"/>
      <c r="Q50" s="405"/>
      <c r="R50" s="406"/>
      <c r="S50" s="405">
        <f>IF(NOT(ISERROR(MATCH(R50,_xlfn.ANCHORARRAY(G61),0))),Q65&amp;"Por favor no seleccionar los criterios de impacto",R50)</f>
        <v>0</v>
      </c>
      <c r="T50" s="417"/>
      <c r="U50" s="405"/>
      <c r="V50" s="418"/>
      <c r="W50" s="149">
        <v>5</v>
      </c>
      <c r="X50" s="149"/>
      <c r="Y50" s="149"/>
      <c r="Z50" s="336"/>
      <c r="AA50" s="304" t="str">
        <f t="shared" si="1"/>
        <v xml:space="preserve">  </v>
      </c>
      <c r="AB50" s="126" t="str">
        <f t="shared" si="66"/>
        <v/>
      </c>
      <c r="AC50" s="127"/>
      <c r="AD50" s="127"/>
      <c r="AE50" s="128" t="str">
        <f t="shared" si="61"/>
        <v/>
      </c>
      <c r="AF50" s="127"/>
      <c r="AG50" s="127"/>
      <c r="AH50" s="127"/>
      <c r="AI50" s="129" t="str">
        <f t="shared" si="67"/>
        <v/>
      </c>
      <c r="AJ50" s="130" t="str">
        <f t="shared" si="3"/>
        <v/>
      </c>
      <c r="AK50" s="128" t="str">
        <f t="shared" si="62"/>
        <v/>
      </c>
      <c r="AL50" s="130" t="str">
        <f t="shared" si="5"/>
        <v/>
      </c>
      <c r="AM50" s="128" t="str">
        <f t="shared" si="15"/>
        <v/>
      </c>
      <c r="AN50" s="131" t="str">
        <f t="shared" ref="AN50:AN51" si="68">IFERROR(IF(OR(AND(AJ50="Muy Baja",AL50="Leve"),AND(AJ50="Muy Baja",AL50="Menor"),AND(AJ50="Baja",AL50="Leve")),"Bajo",IF(OR(AND(AJ50="Muy baja",AL50="Moderado"),AND(AJ50="Baja",AL50="Menor"),AND(AJ50="Baja",AL50="Moderado"),AND(AJ50="Media",AL50="Leve"),AND(AJ50="Media",AL50="Menor"),AND(AJ50="Media",AL50="Moderado"),AND(AJ50="Alta",AL50="Leve"),AND(AJ50="Alta",AL50="Menor")),"Moderado",IF(OR(AND(AJ50="Muy Baja",AL50="Mayor"),AND(AJ50="Baja",AL50="Mayor"),AND(AJ50="Media",AL50="Mayor"),AND(AJ50="Alta",AL50="Moderado"),AND(AJ50="Alta",AL50="Mayor"),AND(AJ50="Muy Alta",AL50="Leve"),AND(AJ50="Muy Alta",AL50="Menor"),AND(AJ50="Muy Alta",AL50="Moderado"),AND(AJ50="Muy Alta",AL50="Mayor")),"Alto",IF(OR(AND(AJ50="Muy Baja",AL50="Catastrófico"),AND(AJ50="Baja",AL50="Catastrófico"),AND(AJ50="Media",AL50="Catastrófico"),AND(AJ50="Alta",AL50="Catastrófico"),AND(AJ50="Muy Alta",AL50="Catastrófico")),"Extremo","")))),"")</f>
        <v/>
      </c>
      <c r="AO50" s="132"/>
      <c r="AP50" s="125"/>
      <c r="AQ50" s="133"/>
      <c r="AR50" s="133"/>
      <c r="AS50" s="134"/>
      <c r="AT50" s="400"/>
      <c r="AU50" s="400"/>
      <c r="AV50" s="400"/>
    </row>
    <row r="51" spans="1:48" x14ac:dyDescent="0.2">
      <c r="A51" s="398"/>
      <c r="B51" s="400"/>
      <c r="C51" s="400"/>
      <c r="D51" s="404"/>
      <c r="E51" s="401"/>
      <c r="F51" s="400"/>
      <c r="G51" s="401"/>
      <c r="H51" s="400"/>
      <c r="I51" s="404"/>
      <c r="J51" s="423"/>
      <c r="K51" s="423"/>
      <c r="L51" s="404"/>
      <c r="M51" s="404"/>
      <c r="N51" s="404"/>
      <c r="O51" s="416"/>
      <c r="P51" s="417"/>
      <c r="Q51" s="405"/>
      <c r="R51" s="406"/>
      <c r="S51" s="405">
        <f>IF(NOT(ISERROR(MATCH(R51,_xlfn.ANCHORARRAY(G62),0))),Q66&amp;"Por favor no seleccionar los criterios de impacto",R51)</f>
        <v>0</v>
      </c>
      <c r="T51" s="417"/>
      <c r="U51" s="405"/>
      <c r="V51" s="418"/>
      <c r="W51" s="149">
        <v>6</v>
      </c>
      <c r="X51" s="149"/>
      <c r="Y51" s="149"/>
      <c r="Z51" s="336"/>
      <c r="AA51" s="304" t="str">
        <f t="shared" si="1"/>
        <v xml:space="preserve">  </v>
      </c>
      <c r="AB51" s="126" t="str">
        <f t="shared" si="66"/>
        <v/>
      </c>
      <c r="AC51" s="127"/>
      <c r="AD51" s="127"/>
      <c r="AE51" s="128" t="str">
        <f t="shared" si="61"/>
        <v/>
      </c>
      <c r="AF51" s="127"/>
      <c r="AG51" s="127"/>
      <c r="AH51" s="127"/>
      <c r="AI51" s="129" t="str">
        <f t="shared" si="67"/>
        <v/>
      </c>
      <c r="AJ51" s="130" t="str">
        <f t="shared" si="3"/>
        <v/>
      </c>
      <c r="AK51" s="128" t="str">
        <f t="shared" si="62"/>
        <v/>
      </c>
      <c r="AL51" s="130" t="str">
        <f t="shared" si="5"/>
        <v/>
      </c>
      <c r="AM51" s="128" t="str">
        <f t="shared" si="15"/>
        <v/>
      </c>
      <c r="AN51" s="131" t="str">
        <f t="shared" si="68"/>
        <v/>
      </c>
      <c r="AO51" s="132"/>
      <c r="AP51" s="125"/>
      <c r="AQ51" s="133"/>
      <c r="AR51" s="133"/>
      <c r="AS51" s="134"/>
      <c r="AT51" s="400"/>
      <c r="AU51" s="400"/>
      <c r="AV51" s="400"/>
    </row>
    <row r="52" spans="1:48" ht="33" customHeight="1" x14ac:dyDescent="0.2">
      <c r="A52" s="398">
        <v>8</v>
      </c>
      <c r="B52" s="400" t="s">
        <v>550</v>
      </c>
      <c r="C52" s="400" t="s">
        <v>44</v>
      </c>
      <c r="D52" s="402" t="s">
        <v>719</v>
      </c>
      <c r="E52" s="401" t="s">
        <v>720</v>
      </c>
      <c r="F52" s="400" t="s">
        <v>721</v>
      </c>
      <c r="G52" s="401" t="str">
        <f t="shared" ref="G52" si="69">+CONCATENATE(C52," ",D52," ",E52)</f>
        <v xml:space="preserve">Posibilidad de afectación Económica y Reputacional por incumplimiento en la ejecución de las metas físicas planteadas por la Entidad para la vigencia 2025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H52" s="400" t="s">
        <v>391</v>
      </c>
      <c r="I52" s="402" t="s">
        <v>59</v>
      </c>
      <c r="J52" s="423" t="s">
        <v>722</v>
      </c>
      <c r="K52" s="423" t="s">
        <v>723</v>
      </c>
      <c r="L52" s="402" t="s">
        <v>724</v>
      </c>
      <c r="M52" s="402" t="s">
        <v>81</v>
      </c>
      <c r="N52" s="402" t="s">
        <v>42</v>
      </c>
      <c r="O52" s="416">
        <v>182</v>
      </c>
      <c r="P52" s="417" t="str">
        <f>IF(O52&lt;=0,"",IF(O52&lt;=2,"Muy Baja",IF(O52&lt;=24,"Baja",IF(O52&lt;=500,"Media",IF(O52&lt;=5000,"Alta","Muy Alta")))))</f>
        <v>Media</v>
      </c>
      <c r="Q52" s="405">
        <f>IF(P52="","",IF(P52="Muy Baja",0.2,IF(P52="Baja",0.4,IF(P52="Media",0.6,IF(P52="Alta",0.8,IF(P52="Muy Alta",1,))))))</f>
        <v>0.6</v>
      </c>
      <c r="R52" s="406" t="s">
        <v>428</v>
      </c>
      <c r="S52" s="405" t="str">
        <f>IF(NOT(ISERROR(MATCH(R52,'Tabla Impacto'!$B$245:$B$247,0))),'Tabla Impacto'!$F$224&amp;"Por favor no seleccionar los criterios de impacto(Afectación Económica o presupuestal y Pérdida Reputacional)",R52)</f>
        <v xml:space="preserve">     El riesgo afecta la imagen de la entidad con algunos usuarios de relevancia frente al logro de los objetivos</v>
      </c>
      <c r="T52" s="417" t="str">
        <f>IF(OR(S52='Tabla Impacto'!$C$12,S52='Tabla Impacto'!$D$12),"Leve",IF(OR(S52='Tabla Impacto'!$C$13,S52='Tabla Impacto'!$D$13),"Menor",IF(OR(S52='Tabla Impacto'!$C$14,S52='Tabla Impacto'!$D$14),"Moderado",IF(OR(S52='Tabla Impacto'!$C$15,S52='Tabla Impacto'!$D$15),"Mayor",IF(OR(S52='Tabla Impacto'!$C$16,S52='Tabla Impacto'!$D$16),"Catastrófico","")))))</f>
        <v>Moderado</v>
      </c>
      <c r="U52" s="405">
        <f>IF(T52="","",IF(T52="Leve",0.2,IF(T52="Menor",0.4,IF(T52="Moderado",0.6,IF(T52="Mayor",0.8,IF(T52="Catastrófico",1,))))))</f>
        <v>0.6</v>
      </c>
      <c r="V52" s="418" t="str">
        <f>IF(OR(AND(P52="Muy Baja",T52="Leve"),AND(P52="Muy Baja",T52="Menor"),AND(P52="Baja",T52="Leve")),"Bajo",IF(OR(AND(P52="Muy baja",T52="Moderado"),AND(P52="Baja",T52="Menor"),AND(P52="Baja",T52="Moderado"),AND(P52="Media",T52="Leve"),AND(P52="Media",T52="Menor"),AND(P52="Media",T52="Moderado"),AND(P52="Alta",T52="Leve"),AND(P52="Alta",T52="Menor")),"Moderado",IF(OR(AND(P52="Muy Baja",T52="Mayor"),AND(P52="Baja",T52="Mayor"),AND(P52="Media",T52="Mayor"),AND(P52="Alta",T52="Moderado"),AND(P52="Alta",T52="Mayor"),AND(P52="Muy Alta",T52="Leve"),AND(P52="Muy Alta",T52="Menor"),AND(P52="Muy Alta",T52="Moderado"),AND(P52="Muy Alta",T52="Mayor")),"Alto",IF(OR(AND(P52="Muy Baja",T52="Catastrófico"),AND(P52="Baja",T52="Catastrófico"),AND(P52="Media",T52="Catastrófico"),AND(P52="Alta",T52="Catastrófico"),AND(P52="Muy Alta",T52="Catastrófico")),"Extremo",""))))</f>
        <v>Moderado</v>
      </c>
      <c r="W52" s="149">
        <v>1</v>
      </c>
      <c r="X52" s="182" t="s">
        <v>725</v>
      </c>
      <c r="Y52" s="182" t="s">
        <v>52</v>
      </c>
      <c r="Z52" s="336" t="s">
        <v>726</v>
      </c>
      <c r="AA52" s="304" t="str">
        <f t="shared" si="1"/>
        <v xml:space="preserve">El colaborador designado por el (la) Subdirector(a) de Planificación y de Conservación Revisa Trimestralmente, el avance en las metas de priorización plasmadas en los indicadores de la SPC: PCI-IND-001 y PCI-IN-004, con el fin de verificar que las metas no hayan aumentado o se hayan incumplido, dejando registro en un archivo de excel.
En caso de que la meta aumente o se esté incumpliendo las metas de priorización, se informará a través de un correo electrónico a el (la) Subdirector(a) de Planificación y de Conservación, para que redistribuya las tareas al equipo de la SPC para dar prioridad a las actividades de diseño. El registro del control son los correos eléctronicos mencionados cuando aplique y link de reunión de seguimiento trimestral a los resultados de los inicadores. </v>
      </c>
      <c r="AB52" s="126" t="str">
        <f>IF(OR(AC52="Preventivo",AC52="Detectivo"),"Probabilidad",IF(AC52="Correctivo","Impacto",""))</f>
        <v>Probabilidad</v>
      </c>
      <c r="AC52" s="127" t="s">
        <v>393</v>
      </c>
      <c r="AD52" s="127" t="s">
        <v>394</v>
      </c>
      <c r="AE52" s="128" t="str">
        <f>IF(AND(AC52="Preventivo",AD52="Automático"),"50%",IF(AND(AC52="Preventivo",AD52="Manual"),"40%",IF(AND(AC52="Detectivo",AD52="Automático"),"40%",IF(AND(AC52="Detectivo",AD52="Manual"),"30%",IF(AND(AC52="Correctivo",AD52="Automático"),"35%",IF(AND(AC52="Correctivo",AD52="Manual"),"25%",""))))))</f>
        <v>30%</v>
      </c>
      <c r="AF52" s="127" t="s">
        <v>395</v>
      </c>
      <c r="AG52" s="127" t="s">
        <v>396</v>
      </c>
      <c r="AH52" s="127" t="s">
        <v>397</v>
      </c>
      <c r="AI52" s="129">
        <f>IFERROR(IF(AB52="Probabilidad",(Q52-(+Q52*AE52)),IF(AB52="Impacto",Q52,"")),"")</f>
        <v>0.42</v>
      </c>
      <c r="AJ52" s="130" t="str">
        <f>IFERROR(IF(AI52="","",IF(AI52&lt;=0.2,"Muy Baja",IF(AI52&lt;=0.4,"Baja",IF(AI52&lt;=0.6,"Media",IF(AI52&lt;=0.8,"Alta","Muy Alta"))))),"")</f>
        <v>Media</v>
      </c>
      <c r="AK52" s="128">
        <f>+AI52</f>
        <v>0.42</v>
      </c>
      <c r="AL52" s="130" t="str">
        <f>IFERROR(IF(AM52="","",IF(AM52&lt;=0.2,"Leve",IF(AM52&lt;=0.4,"Menor",IF(AM52&lt;=0.6,"Moderado",IF(AM52&lt;=0.8,"Mayor","Catastrófico"))))),"")</f>
        <v>Moderado</v>
      </c>
      <c r="AM52" s="128">
        <f t="shared" ref="AM52" si="70">IFERROR(IF(AB52="Impacto",(U52-(+U52*AE52)),IF(AB52="Probabilidad",U52,"")),"")</f>
        <v>0.6</v>
      </c>
      <c r="AN52" s="131" t="str">
        <f>IFERROR(IF(OR(AND(AJ52="Muy Baja",AL52="Leve"),AND(AJ52="Muy Baja",AL52="Menor"),AND(AJ52="Baja",AL52="Leve")),"Bajo",IF(OR(AND(AJ52="Muy baja",AL52="Moderado"),AND(AJ52="Baja",AL52="Menor"),AND(AJ52="Baja",AL52="Moderado"),AND(AJ52="Media",AL52="Leve"),AND(AJ52="Media",AL52="Menor"),AND(AJ52="Media",AL52="Moderado"),AND(AJ52="Alta",AL52="Leve"),AND(AJ52="Alta",AL52="Menor")),"Moderado",IF(OR(AND(AJ52="Muy Baja",AL52="Mayor"),AND(AJ52="Baja",AL52="Mayor"),AND(AJ52="Media",AL52="Mayor"),AND(AJ52="Alta",AL52="Moderado"),AND(AJ52="Alta",AL52="Mayor"),AND(AJ52="Muy Alta",AL52="Leve"),AND(AJ52="Muy Alta",AL52="Menor"),AND(AJ52="Muy Alta",AL52="Moderado"),AND(AJ52="Muy Alta",AL52="Mayor")),"Alto",IF(OR(AND(AJ52="Muy Baja",AL52="Catastrófico"),AND(AJ52="Baja",AL52="Catastrófico"),AND(AJ52="Media",AL52="Catastrófico"),AND(AJ52="Alta",AL52="Catastrófico"),AND(AJ52="Muy Alta",AL52="Catastrófico")),"Extremo","")))),"")</f>
        <v>Moderado</v>
      </c>
      <c r="AO52" s="132"/>
      <c r="AP52" s="125" t="s">
        <v>728</v>
      </c>
      <c r="AQ52" s="125" t="s">
        <v>729</v>
      </c>
      <c r="AR52" s="125" t="s">
        <v>730</v>
      </c>
      <c r="AS52" s="125" t="s">
        <v>599</v>
      </c>
      <c r="AT52" s="400" t="s">
        <v>732</v>
      </c>
      <c r="AU52" s="400" t="s">
        <v>615</v>
      </c>
      <c r="AV52" s="400" t="s">
        <v>733</v>
      </c>
    </row>
    <row r="53" spans="1:48" ht="33" customHeight="1" x14ac:dyDescent="0.2">
      <c r="A53" s="398"/>
      <c r="B53" s="400"/>
      <c r="C53" s="400"/>
      <c r="D53" s="403"/>
      <c r="E53" s="401"/>
      <c r="F53" s="400"/>
      <c r="G53" s="401"/>
      <c r="H53" s="400"/>
      <c r="I53" s="403"/>
      <c r="J53" s="423"/>
      <c r="K53" s="423"/>
      <c r="L53" s="403"/>
      <c r="M53" s="403"/>
      <c r="N53" s="403"/>
      <c r="O53" s="416"/>
      <c r="P53" s="417"/>
      <c r="Q53" s="405"/>
      <c r="R53" s="406"/>
      <c r="S53" s="405">
        <f>IF(NOT(ISERROR(MATCH(R53,_xlfn.ANCHORARRAY(G66),0))),Q68&amp;"Por favor no seleccionar los criterios de impacto",R53)</f>
        <v>0</v>
      </c>
      <c r="T53" s="417"/>
      <c r="U53" s="405"/>
      <c r="V53" s="418"/>
      <c r="W53" s="149">
        <v>2</v>
      </c>
      <c r="X53" s="182" t="s">
        <v>725</v>
      </c>
      <c r="Y53" s="182" t="s">
        <v>37</v>
      </c>
      <c r="Z53" s="336" t="s">
        <v>727</v>
      </c>
      <c r="AA53" s="304" t="str">
        <f t="shared" si="1"/>
        <v>El colaborador designado por el (la) Subdirector(a) de Planificación y de Conservación Verifica Mensualmente, el cumplimiento por parte del Laboratorio de la realización de los ensayos solicitados por la SPC como insumo para la elaboración de los diseños, dejando registro en un archivo de excel.
En caso de que se esté incumpliendo con los resultados de los ensayos por parte del Laboratorio, se informará a través de un correo electrónico a el (la) Subdirector(a) de Planificación y de Conservación.</v>
      </c>
      <c r="AB53" s="126" t="str">
        <f>IF(OR(AC53="Preventivo",AC53="Detectivo"),"Probabilidad",IF(AC53="Correctivo","Impacto",""))</f>
        <v>Impacto</v>
      </c>
      <c r="AC53" s="127" t="s">
        <v>419</v>
      </c>
      <c r="AD53" s="127" t="s">
        <v>394</v>
      </c>
      <c r="AE53" s="128" t="str">
        <f t="shared" ref="AE53:AE57" si="71">IF(AND(AC53="Preventivo",AD53="Automático"),"50%",IF(AND(AC53="Preventivo",AD53="Manual"),"40%",IF(AND(AC53="Detectivo",AD53="Automático"),"40%",IF(AND(AC53="Detectivo",AD53="Manual"),"30%",IF(AND(AC53="Correctivo",AD53="Automático"),"35%",IF(AND(AC53="Correctivo",AD53="Manual"),"25%",""))))))</f>
        <v>25%</v>
      </c>
      <c r="AF53" s="127" t="s">
        <v>395</v>
      </c>
      <c r="AG53" s="127" t="s">
        <v>541</v>
      </c>
      <c r="AH53" s="127" t="s">
        <v>397</v>
      </c>
      <c r="AI53" s="129">
        <f>IFERROR(IF(AND(AB52="Probabilidad",AB53="Probabilidad"),(AK52-(+AK52*AE53)),IF(AB53="Probabilidad",(Q52-(+Q52*AE53)),IF(AB53="Impacto",AK52,""))),"")</f>
        <v>0.42</v>
      </c>
      <c r="AJ53" s="130" t="str">
        <f t="shared" si="3"/>
        <v>Media</v>
      </c>
      <c r="AK53" s="128">
        <f t="shared" ref="AK53:AK57" si="72">+AI53</f>
        <v>0.42</v>
      </c>
      <c r="AL53" s="130" t="str">
        <f t="shared" si="5"/>
        <v>Moderado</v>
      </c>
      <c r="AM53" s="128">
        <f t="shared" ref="AM53" si="73">IFERROR(IF(AND(AB52="Impacto",AB53="Impacto"),(AM52-(+AM52*AE53)),IF(AB53="Impacto",($U$10-(+$U$10*AE53)),IF(AB53="Probabilidad",AM52,""))),"")</f>
        <v>0.44999999999999996</v>
      </c>
      <c r="AN53" s="131" t="str">
        <f t="shared" ref="AN53:AN54" si="74">IFERROR(IF(OR(AND(AJ53="Muy Baja",AL53="Leve"),AND(AJ53="Muy Baja",AL53="Menor"),AND(AJ53="Baja",AL53="Leve")),"Bajo",IF(OR(AND(AJ53="Muy baja",AL53="Moderado"),AND(AJ53="Baja",AL53="Menor"),AND(AJ53="Baja",AL53="Moderado"),AND(AJ53="Media",AL53="Leve"),AND(AJ53="Media",AL53="Menor"),AND(AJ53="Media",AL53="Moderado"),AND(AJ53="Alta",AL53="Leve"),AND(AJ53="Alta",AL53="Menor")),"Moderado",IF(OR(AND(AJ53="Muy Baja",AL53="Mayor"),AND(AJ53="Baja",AL53="Mayor"),AND(AJ53="Media",AL53="Mayor"),AND(AJ53="Alta",AL53="Moderado"),AND(AJ53="Alta",AL53="Mayor"),AND(AJ53="Muy Alta",AL53="Leve"),AND(AJ53="Muy Alta",AL53="Menor"),AND(AJ53="Muy Alta",AL53="Moderado"),AND(AJ53="Muy Alta",AL53="Mayor")),"Alto",IF(OR(AND(AJ53="Muy Baja",AL53="Catastrófico"),AND(AJ53="Baja",AL53="Catastrófico"),AND(AJ53="Media",AL53="Catastrófico"),AND(AJ53="Alta",AL53="Catastrófico"),AND(AJ53="Muy Alta",AL53="Catastrófico")),"Extremo","")))),"")</f>
        <v>Moderado</v>
      </c>
      <c r="AO53" s="132" t="s">
        <v>43</v>
      </c>
      <c r="AP53" s="125" t="s">
        <v>731</v>
      </c>
      <c r="AQ53" s="125" t="s">
        <v>729</v>
      </c>
      <c r="AR53" s="125" t="s">
        <v>730</v>
      </c>
      <c r="AS53" s="125" t="s">
        <v>599</v>
      </c>
      <c r="AT53" s="400"/>
      <c r="AU53" s="400"/>
      <c r="AV53" s="400"/>
    </row>
    <row r="54" spans="1:48" x14ac:dyDescent="0.2">
      <c r="A54" s="398"/>
      <c r="B54" s="400"/>
      <c r="C54" s="400"/>
      <c r="D54" s="403"/>
      <c r="E54" s="401"/>
      <c r="F54" s="400"/>
      <c r="G54" s="401"/>
      <c r="H54" s="400"/>
      <c r="I54" s="403"/>
      <c r="J54" s="423"/>
      <c r="K54" s="423"/>
      <c r="L54" s="403"/>
      <c r="M54" s="403"/>
      <c r="N54" s="403"/>
      <c r="O54" s="416"/>
      <c r="P54" s="417"/>
      <c r="Q54" s="405"/>
      <c r="R54" s="406"/>
      <c r="S54" s="405">
        <f>IF(NOT(ISERROR(MATCH(R54,_xlfn.ANCHORARRAY(G67),0))),Q69&amp;"Por favor no seleccionar los criterios de impacto",R54)</f>
        <v>0</v>
      </c>
      <c r="T54" s="417"/>
      <c r="U54" s="405"/>
      <c r="V54" s="418"/>
      <c r="W54" s="149">
        <v>3</v>
      </c>
      <c r="X54" s="149"/>
      <c r="Y54" s="149"/>
      <c r="Z54" s="336"/>
      <c r="AA54" s="304" t="str">
        <f t="shared" si="1"/>
        <v xml:space="preserve">  </v>
      </c>
      <c r="AB54" s="126" t="str">
        <f>IF(OR(AC54="Preventivo",AC54="Detectivo"),"Probabilidad",IF(AC54="Correctivo","Impacto",""))</f>
        <v/>
      </c>
      <c r="AC54" s="127"/>
      <c r="AD54" s="127"/>
      <c r="AE54" s="128" t="str">
        <f t="shared" si="71"/>
        <v/>
      </c>
      <c r="AF54" s="127"/>
      <c r="AG54" s="127"/>
      <c r="AH54" s="127"/>
      <c r="AI54" s="129" t="str">
        <f>IFERROR(IF(AND(AB53="Probabilidad",AB54="Probabilidad"),(AK53-(+AK53*AE54)),IF(AND(AB53="Impacto",AB54="Probabilidad"),(AK52-(+AK52*AE54)),IF(AB54="Impacto",AK53,""))),"")</f>
        <v/>
      </c>
      <c r="AJ54" s="130" t="str">
        <f t="shared" si="3"/>
        <v/>
      </c>
      <c r="AK54" s="128" t="str">
        <f t="shared" si="72"/>
        <v/>
      </c>
      <c r="AL54" s="130" t="str">
        <f t="shared" si="5"/>
        <v/>
      </c>
      <c r="AM54" s="128" t="str">
        <f t="shared" ref="AM54" si="75">IFERROR(IF(AND(AB53="Impacto",AB54="Impacto"),(AM53-(+AM53*AE54)),IF(AND(AB53="Probabilidad",AB54="Impacto"),(AM52-(+AM52*AE54)),IF(AB54="Probabilidad",AM53,""))),"")</f>
        <v/>
      </c>
      <c r="AN54" s="131" t="str">
        <f t="shared" si="74"/>
        <v/>
      </c>
      <c r="AO54" s="132"/>
      <c r="AP54" s="125"/>
      <c r="AQ54" s="133"/>
      <c r="AR54" s="133"/>
      <c r="AS54" s="134"/>
      <c r="AT54" s="400"/>
      <c r="AU54" s="400"/>
      <c r="AV54" s="400"/>
    </row>
    <row r="55" spans="1:48" x14ac:dyDescent="0.2">
      <c r="A55" s="398"/>
      <c r="B55" s="400"/>
      <c r="C55" s="400"/>
      <c r="D55" s="403"/>
      <c r="E55" s="401"/>
      <c r="F55" s="400"/>
      <c r="G55" s="401"/>
      <c r="H55" s="400"/>
      <c r="I55" s="403"/>
      <c r="J55" s="423"/>
      <c r="K55" s="423"/>
      <c r="L55" s="403"/>
      <c r="M55" s="403"/>
      <c r="N55" s="403"/>
      <c r="O55" s="416"/>
      <c r="P55" s="417"/>
      <c r="Q55" s="405"/>
      <c r="R55" s="406"/>
      <c r="S55" s="405">
        <f>IF(NOT(ISERROR(MATCH(R55,_xlfn.ANCHORARRAY(G68),0))),Q70&amp;"Por favor no seleccionar los criterios de impacto",R55)</f>
        <v>0</v>
      </c>
      <c r="T55" s="417"/>
      <c r="U55" s="405"/>
      <c r="V55" s="418"/>
      <c r="W55" s="149">
        <v>4</v>
      </c>
      <c r="X55" s="149"/>
      <c r="Y55" s="149"/>
      <c r="Z55" s="336"/>
      <c r="AA55" s="304" t="str">
        <f t="shared" si="1"/>
        <v xml:space="preserve">  </v>
      </c>
      <c r="AB55" s="126" t="str">
        <f t="shared" ref="AB55:AB57" si="76">IF(OR(AC55="Preventivo",AC55="Detectivo"),"Probabilidad",IF(AC55="Correctivo","Impacto",""))</f>
        <v/>
      </c>
      <c r="AC55" s="127"/>
      <c r="AD55" s="127"/>
      <c r="AE55" s="128" t="str">
        <f t="shared" si="71"/>
        <v/>
      </c>
      <c r="AF55" s="127"/>
      <c r="AG55" s="127"/>
      <c r="AH55" s="127"/>
      <c r="AI55" s="129" t="str">
        <f t="shared" ref="AI55:AI57" si="77">IFERROR(IF(AND(AB54="Probabilidad",AB55="Probabilidad"),(AK54-(+AK54*AE55)),IF(AND(AB54="Impacto",AB55="Probabilidad"),(AK53-(+AK53*AE55)),IF(AB55="Impacto",AK54,""))),"")</f>
        <v/>
      </c>
      <c r="AJ55" s="130" t="str">
        <f t="shared" si="3"/>
        <v/>
      </c>
      <c r="AK55" s="128" t="str">
        <f t="shared" si="72"/>
        <v/>
      </c>
      <c r="AL55" s="130" t="str">
        <f t="shared" si="5"/>
        <v/>
      </c>
      <c r="AM55" s="128" t="str">
        <f t="shared" si="15"/>
        <v/>
      </c>
      <c r="AN55" s="131" t="str">
        <f>IFERROR(IF(OR(AND(AJ55="Muy Baja",AL55="Leve"),AND(AJ55="Muy Baja",AL55="Menor"),AND(AJ55="Baja",AL55="Leve")),"Bajo",IF(OR(AND(AJ55="Muy baja",AL55="Moderado"),AND(AJ55="Baja",AL55="Menor"),AND(AJ55="Baja",AL55="Moderado"),AND(AJ55="Media",AL55="Leve"),AND(AJ55="Media",AL55="Menor"),AND(AJ55="Media",AL55="Moderado"),AND(AJ55="Alta",AL55="Leve"),AND(AJ55="Alta",AL55="Menor")),"Moderado",IF(OR(AND(AJ55="Muy Baja",AL55="Mayor"),AND(AJ55="Baja",AL55="Mayor"),AND(AJ55="Media",AL55="Mayor"),AND(AJ55="Alta",AL55="Moderado"),AND(AJ55="Alta",AL55="Mayor"),AND(AJ55="Muy Alta",AL55="Leve"),AND(AJ55="Muy Alta",AL55="Menor"),AND(AJ55="Muy Alta",AL55="Moderado"),AND(AJ55="Muy Alta",AL55="Mayor")),"Alto",IF(OR(AND(AJ55="Muy Baja",AL55="Catastrófico"),AND(AJ55="Baja",AL55="Catastrófico"),AND(AJ55="Media",AL55="Catastrófico"),AND(AJ55="Alta",AL55="Catastrófico"),AND(AJ55="Muy Alta",AL55="Catastrófico")),"Extremo","")))),"")</f>
        <v/>
      </c>
      <c r="AO55" s="132"/>
      <c r="AP55" s="125"/>
      <c r="AQ55" s="133"/>
      <c r="AR55" s="133"/>
      <c r="AS55" s="134"/>
      <c r="AT55" s="400"/>
      <c r="AU55" s="400"/>
      <c r="AV55" s="400"/>
    </row>
    <row r="56" spans="1:48" x14ac:dyDescent="0.2">
      <c r="A56" s="398"/>
      <c r="B56" s="400"/>
      <c r="C56" s="400"/>
      <c r="D56" s="403"/>
      <c r="E56" s="401"/>
      <c r="F56" s="400"/>
      <c r="G56" s="401"/>
      <c r="H56" s="400"/>
      <c r="I56" s="403"/>
      <c r="J56" s="423"/>
      <c r="K56" s="423"/>
      <c r="L56" s="403"/>
      <c r="M56" s="403"/>
      <c r="N56" s="403"/>
      <c r="O56" s="416"/>
      <c r="P56" s="417"/>
      <c r="Q56" s="405"/>
      <c r="R56" s="406"/>
      <c r="S56" s="405">
        <f>IF(NOT(ISERROR(MATCH(R56,_xlfn.ANCHORARRAY(G69),0))),Q71&amp;"Por favor no seleccionar los criterios de impacto",R56)</f>
        <v>0</v>
      </c>
      <c r="T56" s="417"/>
      <c r="U56" s="405"/>
      <c r="V56" s="418"/>
      <c r="W56" s="149">
        <v>5</v>
      </c>
      <c r="X56" s="149"/>
      <c r="Y56" s="149"/>
      <c r="Z56" s="336"/>
      <c r="AA56" s="304" t="str">
        <f t="shared" si="1"/>
        <v xml:space="preserve">  </v>
      </c>
      <c r="AB56" s="126" t="str">
        <f t="shared" si="76"/>
        <v/>
      </c>
      <c r="AC56" s="127"/>
      <c r="AD56" s="127"/>
      <c r="AE56" s="128" t="str">
        <f t="shared" si="71"/>
        <v/>
      </c>
      <c r="AF56" s="127"/>
      <c r="AG56" s="127"/>
      <c r="AH56" s="127"/>
      <c r="AI56" s="129" t="str">
        <f t="shared" si="77"/>
        <v/>
      </c>
      <c r="AJ56" s="130" t="str">
        <f t="shared" si="3"/>
        <v/>
      </c>
      <c r="AK56" s="128" t="str">
        <f t="shared" si="72"/>
        <v/>
      </c>
      <c r="AL56" s="130" t="str">
        <f t="shared" si="5"/>
        <v/>
      </c>
      <c r="AM56" s="128" t="str">
        <f t="shared" si="15"/>
        <v/>
      </c>
      <c r="AN56" s="131" t="str">
        <f t="shared" ref="AN56:AN57" si="78">IFERROR(IF(OR(AND(AJ56="Muy Baja",AL56="Leve"),AND(AJ56="Muy Baja",AL56="Menor"),AND(AJ56="Baja",AL56="Leve")),"Bajo",IF(OR(AND(AJ56="Muy baja",AL56="Moderado"),AND(AJ56="Baja",AL56="Menor"),AND(AJ56="Baja",AL56="Moderado"),AND(AJ56="Media",AL56="Leve"),AND(AJ56="Media",AL56="Menor"),AND(AJ56="Media",AL56="Moderado"),AND(AJ56="Alta",AL56="Leve"),AND(AJ56="Alta",AL56="Menor")),"Moderado",IF(OR(AND(AJ56="Muy Baja",AL56="Mayor"),AND(AJ56="Baja",AL56="Mayor"),AND(AJ56="Media",AL56="Mayor"),AND(AJ56="Alta",AL56="Moderado"),AND(AJ56="Alta",AL56="Mayor"),AND(AJ56="Muy Alta",AL56="Leve"),AND(AJ56="Muy Alta",AL56="Menor"),AND(AJ56="Muy Alta",AL56="Moderado"),AND(AJ56="Muy Alta",AL56="Mayor")),"Alto",IF(OR(AND(AJ56="Muy Baja",AL56="Catastrófico"),AND(AJ56="Baja",AL56="Catastrófico"),AND(AJ56="Media",AL56="Catastrófico"),AND(AJ56="Alta",AL56="Catastrófico"),AND(AJ56="Muy Alta",AL56="Catastrófico")),"Extremo","")))),"")</f>
        <v/>
      </c>
      <c r="AO56" s="132"/>
      <c r="AP56" s="125"/>
      <c r="AQ56" s="133"/>
      <c r="AR56" s="133"/>
      <c r="AS56" s="134"/>
      <c r="AT56" s="400"/>
      <c r="AU56" s="400"/>
      <c r="AV56" s="400"/>
    </row>
    <row r="57" spans="1:48" x14ac:dyDescent="0.2">
      <c r="A57" s="398"/>
      <c r="B57" s="400"/>
      <c r="C57" s="400"/>
      <c r="D57" s="404"/>
      <c r="E57" s="401"/>
      <c r="F57" s="400"/>
      <c r="G57" s="401"/>
      <c r="H57" s="400"/>
      <c r="I57" s="404"/>
      <c r="J57" s="423"/>
      <c r="K57" s="423"/>
      <c r="L57" s="404"/>
      <c r="M57" s="404"/>
      <c r="N57" s="404"/>
      <c r="O57" s="416"/>
      <c r="P57" s="417"/>
      <c r="Q57" s="405"/>
      <c r="R57" s="406"/>
      <c r="S57" s="405">
        <f>IF(NOT(ISERROR(MATCH(R57,_xlfn.ANCHORARRAY(G70),0))),#REF!&amp;"Por favor no seleccionar los criterios de impacto",R57)</f>
        <v>0</v>
      </c>
      <c r="T57" s="417"/>
      <c r="U57" s="405"/>
      <c r="V57" s="418"/>
      <c r="W57" s="149">
        <v>6</v>
      </c>
      <c r="X57" s="149"/>
      <c r="Y57" s="149"/>
      <c r="Z57" s="149"/>
      <c r="AA57" s="304" t="str">
        <f t="shared" si="1"/>
        <v xml:space="preserve">  </v>
      </c>
      <c r="AB57" s="126" t="str">
        <f t="shared" si="76"/>
        <v/>
      </c>
      <c r="AC57" s="127"/>
      <c r="AD57" s="127"/>
      <c r="AE57" s="128" t="str">
        <f t="shared" si="71"/>
        <v/>
      </c>
      <c r="AF57" s="127"/>
      <c r="AG57" s="127"/>
      <c r="AH57" s="127"/>
      <c r="AI57" s="129" t="str">
        <f t="shared" si="77"/>
        <v/>
      </c>
      <c r="AJ57" s="130" t="str">
        <f t="shared" si="3"/>
        <v/>
      </c>
      <c r="AK57" s="128" t="str">
        <f t="shared" si="72"/>
        <v/>
      </c>
      <c r="AL57" s="130" t="str">
        <f t="shared" si="5"/>
        <v/>
      </c>
      <c r="AM57" s="128" t="str">
        <f t="shared" si="15"/>
        <v/>
      </c>
      <c r="AN57" s="131" t="str">
        <f t="shared" si="78"/>
        <v/>
      </c>
      <c r="AO57" s="132"/>
      <c r="AP57" s="125"/>
      <c r="AQ57" s="133"/>
      <c r="AR57" s="133"/>
      <c r="AS57" s="134"/>
      <c r="AT57" s="400"/>
      <c r="AU57" s="400"/>
      <c r="AV57" s="400"/>
    </row>
    <row r="58" spans="1:48" ht="36" customHeight="1" x14ac:dyDescent="0.2">
      <c r="A58" s="398">
        <v>9</v>
      </c>
      <c r="B58" s="400" t="s">
        <v>551</v>
      </c>
      <c r="C58" s="400" t="s">
        <v>44</v>
      </c>
      <c r="D58" s="402" t="s">
        <v>734</v>
      </c>
      <c r="E58" s="401" t="s">
        <v>735</v>
      </c>
      <c r="F58" s="400" t="s">
        <v>736</v>
      </c>
      <c r="G58" s="401" t="str">
        <f>+CONCATENATE(C58," ",D58," ",E58)</f>
        <v>Posibilidad de afectación Económica y Reputacional Por que los resultados de los ensayos realizados en el laboratorio sean errados Debido a:
1. Desviaciones en la manipulación, preparación de los ítems de ensayo y/o el procedimiento de la norma de ensayo aplicable.
2. Fallas en el equipamiento y/o uso del equipamiento que no cumple las especificaciones requeridas en la norma de ensayo.
3. Incumplimiento con las instalaciones y/o las condiciones ambientales especificadas en la norma de ensayo.
4. Falta de competencia del personal para realizar las actividades en las que esta autorizado.
5. Errores en el registro de datos primarios, en la digitación y/o en la emisión del informe.</v>
      </c>
      <c r="H58" s="400" t="s">
        <v>391</v>
      </c>
      <c r="I58" s="402" t="s">
        <v>59</v>
      </c>
      <c r="J58" s="420" t="s">
        <v>737</v>
      </c>
      <c r="K58" s="420" t="s">
        <v>738</v>
      </c>
      <c r="L58" s="402" t="s">
        <v>739</v>
      </c>
      <c r="M58" s="402" t="s">
        <v>621</v>
      </c>
      <c r="N58" s="402" t="s">
        <v>42</v>
      </c>
      <c r="O58" s="416">
        <v>30000</v>
      </c>
      <c r="P58" s="417" t="str">
        <f>IF(O58&lt;=0,"",IF(O58&lt;=2,"Muy Baja",IF(O58&lt;=24,"Baja",IF(O58&lt;=500,"Media",IF(O58&lt;=5000,"Alta","Muy Alta")))))</f>
        <v>Muy Alta</v>
      </c>
      <c r="Q58" s="405">
        <f>IF(P58="","",IF(P58="Muy Baja",0.2,IF(P58="Baja",0.4,IF(P58="Media",0.6,IF(P58="Alta",0.8,IF(P58="Muy Alta",1,))))))</f>
        <v>1</v>
      </c>
      <c r="R58" s="406" t="s">
        <v>513</v>
      </c>
      <c r="S58" s="405" t="str">
        <f>IF(NOT(ISERROR(MATCH(R58,'Tabla Impacto'!$B$245:$B$247,0))),'Tabla Impacto'!$F$224&amp;"Por favor no seleccionar los criterios de impacto(Afectación Económica o presupuestal y Pérdida Reputacional)",R58)</f>
        <v xml:space="preserve">     El riesgo afecta la imagen de la entidad internamente, de conocimiento general, nivel interno, de junta dircetiva y accionistas y/o de provedores</v>
      </c>
      <c r="T58" s="417" t="str">
        <f>IF(OR(S58='Tabla Impacto'!$C$12,S58='Tabla Impacto'!$D$12),"Leve",IF(OR(S58='Tabla Impacto'!$C$13,S58='Tabla Impacto'!$D$13),"Menor",IF(OR(S58='Tabla Impacto'!$C$14,S58='Tabla Impacto'!$D$14),"Moderado",IF(OR(S58='Tabla Impacto'!$C$15,S58='Tabla Impacto'!$D$15),"Mayor",IF(OR(S58='Tabla Impacto'!$C$16,S58='Tabla Impacto'!$D$16),"Catastrófico","")))))</f>
        <v>Menor</v>
      </c>
      <c r="U58" s="405">
        <f>IF(T58="","",IF(T58="Leve",0.2,IF(T58="Menor",0.4,IF(T58="Moderado",0.6,IF(T58="Mayor",0.8,IF(T58="Catastrófico",1,))))))</f>
        <v>0.4</v>
      </c>
      <c r="V58" s="418" t="str">
        <f>IF(OR(AND(P58="Muy Baja",T58="Leve"),AND(P58="Muy Baja",T58="Menor"),AND(P58="Baja",T58="Leve")),"Bajo",IF(OR(AND(P58="Muy baja",T58="Moderado"),AND(P58="Baja",T58="Menor"),AND(P58="Baja",T58="Moderado"),AND(P58="Media",T58="Leve"),AND(P58="Media",T58="Menor"),AND(P58="Media",T58="Moderado"),AND(P58="Alta",T58="Leve"),AND(P58="Alta",T58="Menor")),"Moderado",IF(OR(AND(P58="Muy Baja",T58="Mayor"),AND(P58="Baja",T58="Mayor"),AND(P58="Media",T58="Mayor"),AND(P58="Alta",T58="Moderado"),AND(P58="Alta",T58="Mayor"),AND(P58="Muy Alta",T58="Leve"),AND(P58="Muy Alta",T58="Menor"),AND(P58="Muy Alta",T58="Moderado"),AND(P58="Muy Alta",T58="Mayor")),"Alto",IF(OR(AND(P58="Muy Baja",T58="Catastrófico"),AND(P58="Baja",T58="Catastrófico"),AND(P58="Media",T58="Catastrófico"),AND(P58="Alta",T58="Catastrófico"),AND(P58="Muy Alta",T58="Catastrófico")),"Extremo",""))))</f>
        <v>Alto</v>
      </c>
      <c r="W58" s="149">
        <v>1</v>
      </c>
      <c r="X58" s="182" t="s">
        <v>740</v>
      </c>
      <c r="Y58" s="149" t="s">
        <v>37</v>
      </c>
      <c r="Z58" s="336" t="s">
        <v>741</v>
      </c>
      <c r="AA58" s="304" t="str">
        <f t="shared" si="1"/>
        <v>El coordinador técnico, Verifica Mensualmente el cumplimiento de la precisión de los métodos de ensayo del alcance de acreditación, realizando una comparación entre la diferencia de los resultados de una misma muestra y la precisión del método. Dicha verificación se registra en el formato  análisis para el aseguramiento de la validez de los resultados GLAB-FM-148. Si los ensayos realizados no cumplen con la precisión del método, se realiza una retroalimentación a las personas que realizaron los ensayos y  se les solicita repetirlos con la contra muestra. Si al realizar nuevamente los ensayos aun no cumple con la precisión este laboratorista queda desautorizado para realizar dicho ensayo.</v>
      </c>
      <c r="AB58" s="126" t="str">
        <f>IF(OR(AC58="Preventivo",AC58="Detectivo"),"Probabilidad",IF(AC58="Correctivo","Impacto",""))</f>
        <v>Probabilidad</v>
      </c>
      <c r="AC58" s="127" t="s">
        <v>398</v>
      </c>
      <c r="AD58" s="127" t="s">
        <v>394</v>
      </c>
      <c r="AE58" s="128" t="str">
        <f>IF(AND(AC58="Preventivo",AD58="Automático"),"50%",IF(AND(AC58="Preventivo",AD58="Manual"),"40%",IF(AND(AC58="Detectivo",AD58="Automático"),"40%",IF(AND(AC58="Detectivo",AD58="Manual"),"30%",IF(AND(AC58="Correctivo",AD58="Automático"),"35%",IF(AND(AC58="Correctivo",AD58="Manual"),"25%",""))))))</f>
        <v>40%</v>
      </c>
      <c r="AF58" s="127" t="s">
        <v>395</v>
      </c>
      <c r="AG58" s="127" t="s">
        <v>396</v>
      </c>
      <c r="AH58" s="127" t="s">
        <v>397</v>
      </c>
      <c r="AI58" s="129">
        <f>IFERROR(IF(AB58="Probabilidad",(Q58-(+Q58*AE58)),IF(AB58="Impacto",Q58,"")),"")</f>
        <v>0.6</v>
      </c>
      <c r="AJ58" s="130" t="str">
        <f>IFERROR(IF(AI58="","",IF(AI58&lt;=0.2,"Muy Baja",IF(AI58&lt;=0.4,"Baja",IF(AI58&lt;=0.6,"Media",IF(AI58&lt;=0.8,"Alta","Muy Alta"))))),"")</f>
        <v>Media</v>
      </c>
      <c r="AK58" s="128">
        <f>+AI58</f>
        <v>0.6</v>
      </c>
      <c r="AL58" s="130" t="str">
        <f>IFERROR(IF(AM58="","",IF(AM58&lt;=0.2,"Leve",IF(AM58&lt;=0.4,"Menor",IF(AM58&lt;=0.6,"Moderado",IF(AM58&lt;=0.8,"Mayor","Catastrófico"))))),"")</f>
        <v>Menor</v>
      </c>
      <c r="AM58" s="128">
        <f t="shared" ref="AM58" si="79">IFERROR(IF(AB58="Impacto",(U58-(+U58*AE58)),IF(AB58="Probabilidad",U58,"")),"")</f>
        <v>0.4</v>
      </c>
      <c r="AN58" s="131" t="str">
        <f>IFERROR(IF(OR(AND(AJ58="Muy Baja",AL58="Leve"),AND(AJ58="Muy Baja",AL58="Menor"),AND(AJ58="Baja",AL58="Leve")),"Bajo",IF(OR(AND(AJ58="Muy baja",AL58="Moderado"),AND(AJ58="Baja",AL58="Menor"),AND(AJ58="Baja",AL58="Moderado"),AND(AJ58="Media",AL58="Leve"),AND(AJ58="Media",AL58="Menor"),AND(AJ58="Media",AL58="Moderado"),AND(AJ58="Alta",AL58="Leve"),AND(AJ58="Alta",AL58="Menor")),"Moderado",IF(OR(AND(AJ58="Muy Baja",AL58="Mayor"),AND(AJ58="Baja",AL58="Mayor"),AND(AJ58="Media",AL58="Mayor"),AND(AJ58="Alta",AL58="Moderado"),AND(AJ58="Alta",AL58="Mayor"),AND(AJ58="Muy Alta",AL58="Leve"),AND(AJ58="Muy Alta",AL58="Menor"),AND(AJ58="Muy Alta",AL58="Moderado"),AND(AJ58="Muy Alta",AL58="Mayor")),"Alto",IF(OR(AND(AJ58="Muy Baja",AL58="Catastrófico"),AND(AJ58="Baja",AL58="Catastrófico"),AND(AJ58="Media",AL58="Catastrófico"),AND(AJ58="Alta",AL58="Catastrófico"),AND(AJ58="Muy Alta",AL58="Catastrófico")),"Extremo","")))),"")</f>
        <v>Moderado</v>
      </c>
      <c r="AO58" s="132"/>
      <c r="AP58" s="125"/>
      <c r="AQ58" s="133"/>
      <c r="AR58" s="133"/>
      <c r="AS58" s="134"/>
      <c r="AT58" s="402" t="s">
        <v>939</v>
      </c>
      <c r="AU58" s="402" t="s">
        <v>942</v>
      </c>
      <c r="AV58" s="402" t="s">
        <v>941</v>
      </c>
    </row>
    <row r="59" spans="1:48" ht="36" customHeight="1" x14ac:dyDescent="0.2">
      <c r="A59" s="398"/>
      <c r="B59" s="400"/>
      <c r="C59" s="400"/>
      <c r="D59" s="403"/>
      <c r="E59" s="401"/>
      <c r="F59" s="400"/>
      <c r="G59" s="401"/>
      <c r="H59" s="400"/>
      <c r="I59" s="403"/>
      <c r="J59" s="421"/>
      <c r="K59" s="421"/>
      <c r="L59" s="403"/>
      <c r="M59" s="403"/>
      <c r="N59" s="403"/>
      <c r="O59" s="416"/>
      <c r="P59" s="417"/>
      <c r="Q59" s="405"/>
      <c r="R59" s="406"/>
      <c r="S59" s="405">
        <f>IF(NOT(ISERROR(MATCH(R59,_xlfn.ANCHORARRAY(#REF!),0))),#REF!&amp;"Por favor no seleccionar los criterios de impacto",R59)</f>
        <v>0</v>
      </c>
      <c r="T59" s="417"/>
      <c r="U59" s="405"/>
      <c r="V59" s="418"/>
      <c r="W59" s="149">
        <v>2</v>
      </c>
      <c r="X59" s="182" t="s">
        <v>742</v>
      </c>
      <c r="Y59" s="149" t="s">
        <v>37</v>
      </c>
      <c r="Z59" s="336" t="s">
        <v>743</v>
      </c>
      <c r="AA59" s="304" t="str">
        <f t="shared" si="1"/>
        <v>El técnico operativo, Verifica Semestralmente se verifican las competencias de los laboratoristas en la ejecución de los ensayos, a través de una lista de chequeo que se  registra en el  formato de  supervisión GLAB-FM-125, que indica los criterios para la correcta ejecución del ensayo establecidos en la norma aplicable. En caso de encontrar desviaciones en la ejecución del ensayo, se desautoriza al laboratorista para la ejecución de dicho ensayo y se programa una nueva fecha para repetir la supervisión hasta que el laboratorista demuestre la competencia para ejecutar el ensayo de acuerdo a la norma.</v>
      </c>
      <c r="AB59" s="126" t="str">
        <f>IF(OR(AC59="Preventivo",AC59="Detectivo"),"Probabilidad",IF(AC59="Correctivo","Impacto",""))</f>
        <v>Probabilidad</v>
      </c>
      <c r="AC59" s="127" t="s">
        <v>398</v>
      </c>
      <c r="AD59" s="127" t="s">
        <v>394</v>
      </c>
      <c r="AE59" s="128" t="str">
        <f t="shared" ref="AE59:AE65" si="80">IF(AND(AC59="Preventivo",AD59="Automático"),"50%",IF(AND(AC59="Preventivo",AD59="Manual"),"40%",IF(AND(AC59="Detectivo",AD59="Automático"),"40%",IF(AND(AC59="Detectivo",AD59="Manual"),"30%",IF(AND(AC59="Correctivo",AD59="Automático"),"35%",IF(AND(AC59="Correctivo",AD59="Manual"),"25%",""))))))</f>
        <v>40%</v>
      </c>
      <c r="AF59" s="127" t="s">
        <v>395</v>
      </c>
      <c r="AG59" s="127" t="s">
        <v>396</v>
      </c>
      <c r="AH59" s="127" t="s">
        <v>397</v>
      </c>
      <c r="AI59" s="129">
        <f>IFERROR(IF(AND(AB58="Probabilidad",AB59="Probabilidad"),(AK58-(+AK58*AE59)),IF(AB59="Probabilidad",(Q58-(+Q58*AE59)),IF(AB59="Impacto",AK58,""))),"")</f>
        <v>0.36</v>
      </c>
      <c r="AJ59" s="130" t="str">
        <f t="shared" si="3"/>
        <v>Baja</v>
      </c>
      <c r="AK59" s="128">
        <f t="shared" ref="AK59:AK65" si="81">+AI59</f>
        <v>0.36</v>
      </c>
      <c r="AL59" s="130" t="str">
        <f t="shared" si="5"/>
        <v>Menor</v>
      </c>
      <c r="AM59" s="128">
        <f t="shared" ref="AM59" si="82">IFERROR(IF(AND(AB58="Impacto",AB59="Impacto"),(AM58-(+AM58*AE59)),IF(AB59="Impacto",($U$10-(+$U$10*AE59)),IF(AB59="Probabilidad",AM58,""))),"")</f>
        <v>0.4</v>
      </c>
      <c r="AN59" s="131" t="str">
        <f t="shared" ref="AN59:AN60" si="83">IFERROR(IF(OR(AND(AJ59="Muy Baja",AL59="Leve"),AND(AJ59="Muy Baja",AL59="Menor"),AND(AJ59="Baja",AL59="Leve")),"Bajo",IF(OR(AND(AJ59="Muy baja",AL59="Moderado"),AND(AJ59="Baja",AL59="Menor"),AND(AJ59="Baja",AL59="Moderado"),AND(AJ59="Media",AL59="Leve"),AND(AJ59="Media",AL59="Menor"),AND(AJ59="Media",AL59="Moderado"),AND(AJ59="Alta",AL59="Leve"),AND(AJ59="Alta",AL59="Menor")),"Moderado",IF(OR(AND(AJ59="Muy Baja",AL59="Mayor"),AND(AJ59="Baja",AL59="Mayor"),AND(AJ59="Media",AL59="Mayor"),AND(AJ59="Alta",AL59="Moderado"),AND(AJ59="Alta",AL59="Mayor"),AND(AJ59="Muy Alta",AL59="Leve"),AND(AJ59="Muy Alta",AL59="Menor"),AND(AJ59="Muy Alta",AL59="Moderado"),AND(AJ59="Muy Alta",AL59="Mayor")),"Alto",IF(OR(AND(AJ59="Muy Baja",AL59="Catastrófico"),AND(AJ59="Baja",AL59="Catastrófico"),AND(AJ59="Media",AL59="Catastrófico"),AND(AJ59="Alta",AL59="Catastrófico"),AND(AJ59="Muy Alta",AL59="Catastrófico")),"Extremo","")))),"")</f>
        <v>Moderado</v>
      </c>
      <c r="AO59" s="132"/>
      <c r="AP59" s="125"/>
      <c r="AQ59" s="133"/>
      <c r="AR59" s="133"/>
      <c r="AS59" s="134"/>
      <c r="AT59" s="403"/>
      <c r="AU59" s="403"/>
      <c r="AV59" s="403"/>
    </row>
    <row r="60" spans="1:48" ht="36" customHeight="1" x14ac:dyDescent="0.2">
      <c r="A60" s="398"/>
      <c r="B60" s="400"/>
      <c r="C60" s="400"/>
      <c r="D60" s="403"/>
      <c r="E60" s="401"/>
      <c r="F60" s="400"/>
      <c r="G60" s="401"/>
      <c r="H60" s="400"/>
      <c r="I60" s="403"/>
      <c r="J60" s="421"/>
      <c r="K60" s="421"/>
      <c r="L60" s="403"/>
      <c r="M60" s="403"/>
      <c r="N60" s="403"/>
      <c r="O60" s="416"/>
      <c r="P60" s="417"/>
      <c r="Q60" s="405"/>
      <c r="R60" s="406"/>
      <c r="S60" s="405">
        <f>IF(NOT(ISERROR(MATCH(R60,_xlfn.ANCHORARRAY(#REF!),0))),#REF!&amp;"Por favor no seleccionar los criterios de impacto",R60)</f>
        <v>0</v>
      </c>
      <c r="T60" s="417"/>
      <c r="U60" s="405"/>
      <c r="V60" s="418"/>
      <c r="W60" s="149">
        <v>3</v>
      </c>
      <c r="X60" s="182" t="s">
        <v>740</v>
      </c>
      <c r="Y60" s="149" t="s">
        <v>37</v>
      </c>
      <c r="Z60" s="336" t="s">
        <v>744</v>
      </c>
      <c r="AA60" s="304" t="str">
        <f t="shared" si="1"/>
        <v>El coordinador técnico, Verifica Cada  vez que se va a emitir un informe de ensayo, que  la información de los registros de toma de datos sean coherentes y que correspondan a la información digitada, dejando como evidencia de la aprobación  su  firma en el  informe de ensayo. Si encuentra alguna diferencia en la información se solicita la corrección en el registro de toma de datos al laboratorista y/o la corrección del informe según corresponda.</v>
      </c>
      <c r="AB60" s="126" t="str">
        <f>IF(OR(AC60="Preventivo",AC60="Detectivo"),"Probabilidad",IF(AC60="Correctivo","Impacto",""))</f>
        <v>Probabilidad</v>
      </c>
      <c r="AC60" s="127" t="s">
        <v>393</v>
      </c>
      <c r="AD60" s="127" t="s">
        <v>394</v>
      </c>
      <c r="AE60" s="128" t="str">
        <f t="shared" si="80"/>
        <v>30%</v>
      </c>
      <c r="AF60" s="127" t="s">
        <v>395</v>
      </c>
      <c r="AG60" s="127" t="s">
        <v>396</v>
      </c>
      <c r="AH60" s="127" t="s">
        <v>397</v>
      </c>
      <c r="AI60" s="129">
        <f>IFERROR(IF(AND(AB59="Probabilidad",AB60="Probabilidad"),(AK59-(+AK59*AE60)),IF(AND(AB59="Impacto",AB60="Probabilidad"),(AK58-(+AK58*AE60)),IF(AB60="Impacto",AK59,""))),"")</f>
        <v>0.252</v>
      </c>
      <c r="AJ60" s="130" t="str">
        <f t="shared" si="3"/>
        <v>Baja</v>
      </c>
      <c r="AK60" s="128">
        <f t="shared" si="81"/>
        <v>0.252</v>
      </c>
      <c r="AL60" s="130" t="str">
        <f t="shared" si="5"/>
        <v>Menor</v>
      </c>
      <c r="AM60" s="128">
        <f t="shared" ref="AM60" si="84">IFERROR(IF(AND(AB59="Impacto",AB60="Impacto"),(AM59-(+AM59*AE60)),IF(AND(AB59="Probabilidad",AB60="Impacto"),(AM58-(+AM58*AE60)),IF(AB60="Probabilidad",AM59,""))),"")</f>
        <v>0.4</v>
      </c>
      <c r="AN60" s="131" t="str">
        <f t="shared" si="83"/>
        <v>Moderado</v>
      </c>
      <c r="AO60" s="132"/>
      <c r="AP60" s="125"/>
      <c r="AQ60" s="133"/>
      <c r="AR60" s="133"/>
      <c r="AS60" s="134"/>
      <c r="AT60" s="403"/>
      <c r="AU60" s="403"/>
      <c r="AV60" s="403"/>
    </row>
    <row r="61" spans="1:48" ht="36" customHeight="1" x14ac:dyDescent="0.2">
      <c r="A61" s="398"/>
      <c r="B61" s="400"/>
      <c r="C61" s="400"/>
      <c r="D61" s="403"/>
      <c r="E61" s="401"/>
      <c r="F61" s="400"/>
      <c r="G61" s="401"/>
      <c r="H61" s="400"/>
      <c r="I61" s="403"/>
      <c r="J61" s="421"/>
      <c r="K61" s="421"/>
      <c r="L61" s="403"/>
      <c r="M61" s="403"/>
      <c r="N61" s="403"/>
      <c r="O61" s="416"/>
      <c r="P61" s="417"/>
      <c r="Q61" s="405"/>
      <c r="R61" s="406"/>
      <c r="S61" s="405">
        <f>IF(NOT(ISERROR(MATCH(R61,_xlfn.ANCHORARRAY(#REF!),0))),#REF!&amp;"Por favor no seleccionar los criterios de impacto",R61)</f>
        <v>0</v>
      </c>
      <c r="T61" s="417"/>
      <c r="U61" s="405"/>
      <c r="V61" s="418"/>
      <c r="W61" s="149">
        <v>4</v>
      </c>
      <c r="X61" s="182" t="s">
        <v>745</v>
      </c>
      <c r="Y61" s="149" t="s">
        <v>41</v>
      </c>
      <c r="Z61" s="336" t="s">
        <v>746</v>
      </c>
      <c r="AA61" s="304" t="str">
        <f t="shared" si="1"/>
        <v>El  coordinador técnico, Valida Cada vez que se crea o se hace alguna modificación en los  formatos de informe de ensayo, que  influyan el  calculo de resultados, de las formulas, por medio de una verificación manual que se  registra en el formato verificación manual hojas de cálculo GLAB-FM-104, con el fin, de evitar errores de cálculos en los informes de ensayo. En caso de encontrar alguna desviación, el coordinador  técnico realizara las correcciones necesarias en el formato de informe de ensayo y la validación de las formulas nuevamente.</v>
      </c>
      <c r="AB61" s="126" t="str">
        <f t="shared" ref="AB61:AB65" si="85">IF(OR(AC61="Preventivo",AC61="Detectivo"),"Probabilidad",IF(AC61="Correctivo","Impacto",""))</f>
        <v>Probabilidad</v>
      </c>
      <c r="AC61" s="127" t="s">
        <v>398</v>
      </c>
      <c r="AD61" s="127" t="s">
        <v>394</v>
      </c>
      <c r="AE61" s="128" t="str">
        <f t="shared" si="80"/>
        <v>40%</v>
      </c>
      <c r="AF61" s="127" t="s">
        <v>395</v>
      </c>
      <c r="AG61" s="127" t="s">
        <v>396</v>
      </c>
      <c r="AH61" s="127" t="s">
        <v>397</v>
      </c>
      <c r="AI61" s="129">
        <f t="shared" ref="AI61:AI62" si="86">IFERROR(IF(AND(AB60="Probabilidad",AB61="Probabilidad"),(AK60-(+AK60*AE61)),IF(AND(AB60="Impacto",AB61="Probabilidad"),(AK59-(+AK59*AE61)),IF(AB61="Impacto",AK60,""))),"")</f>
        <v>0.1512</v>
      </c>
      <c r="AJ61" s="130" t="str">
        <f t="shared" si="3"/>
        <v>Muy Baja</v>
      </c>
      <c r="AK61" s="128">
        <f t="shared" si="81"/>
        <v>0.1512</v>
      </c>
      <c r="AL61" s="130" t="str">
        <f t="shared" si="5"/>
        <v>Menor</v>
      </c>
      <c r="AM61" s="128">
        <f t="shared" si="15"/>
        <v>0.4</v>
      </c>
      <c r="AN61" s="131" t="str">
        <f>IFERROR(IF(OR(AND(AJ61="Muy Baja",AL61="Leve"),AND(AJ61="Muy Baja",AL61="Menor"),AND(AJ61="Baja",AL61="Leve")),"Bajo",IF(OR(AND(AJ61="Muy baja",AL61="Moderado"),AND(AJ61="Baja",AL61="Menor"),AND(AJ61="Baja",AL61="Moderado"),AND(AJ61="Media",AL61="Leve"),AND(AJ61="Media",AL61="Menor"),AND(AJ61="Media",AL61="Moderado"),AND(AJ61="Alta",AL61="Leve"),AND(AJ61="Alta",AL61="Menor")),"Moderado",IF(OR(AND(AJ61="Muy Baja",AL61="Mayor"),AND(AJ61="Baja",AL61="Mayor"),AND(AJ61="Media",AL61="Mayor"),AND(AJ61="Alta",AL61="Moderado"),AND(AJ61="Alta",AL61="Mayor"),AND(AJ61="Muy Alta",AL61="Leve"),AND(AJ61="Muy Alta",AL61="Menor"),AND(AJ61="Muy Alta",AL61="Moderado"),AND(AJ61="Muy Alta",AL61="Mayor")),"Alto",IF(OR(AND(AJ61="Muy Baja",AL61="Catastrófico"),AND(AJ61="Baja",AL61="Catastrófico"),AND(AJ61="Media",AL61="Catastrófico"),AND(AJ61="Alta",AL61="Catastrófico"),AND(AJ61="Muy Alta",AL61="Catastrófico")),"Extremo","")))),"")</f>
        <v>Bajo</v>
      </c>
      <c r="AO61" s="132"/>
      <c r="AP61" s="125"/>
      <c r="AQ61" s="133"/>
      <c r="AR61" s="133"/>
      <c r="AS61" s="134"/>
      <c r="AT61" s="403"/>
      <c r="AU61" s="403"/>
      <c r="AV61" s="403"/>
    </row>
    <row r="62" spans="1:48" ht="36" customHeight="1" x14ac:dyDescent="0.2">
      <c r="A62" s="398"/>
      <c r="B62" s="400"/>
      <c r="C62" s="400"/>
      <c r="D62" s="403"/>
      <c r="E62" s="401"/>
      <c r="F62" s="400"/>
      <c r="G62" s="401"/>
      <c r="H62" s="400"/>
      <c r="I62" s="403"/>
      <c r="J62" s="421"/>
      <c r="K62" s="421"/>
      <c r="L62" s="403"/>
      <c r="M62" s="403"/>
      <c r="N62" s="403"/>
      <c r="O62" s="416"/>
      <c r="P62" s="417"/>
      <c r="Q62" s="405"/>
      <c r="R62" s="406"/>
      <c r="S62" s="405">
        <f>IF(NOT(ISERROR(MATCH(R62,_xlfn.ANCHORARRAY(#REF!),0))),#REF!&amp;"Por favor no seleccionar los criterios de impacto",R62)</f>
        <v>0</v>
      </c>
      <c r="T62" s="417"/>
      <c r="U62" s="405"/>
      <c r="V62" s="418"/>
      <c r="W62" s="149">
        <v>5</v>
      </c>
      <c r="X62" s="182" t="s">
        <v>747</v>
      </c>
      <c r="Y62" s="149" t="s">
        <v>37</v>
      </c>
      <c r="Z62" s="336" t="s">
        <v>748</v>
      </c>
      <c r="AA62" s="304" t="str">
        <f t="shared" si="1"/>
        <v>El coordinador de equipamiento Verifica Cada vez que va a ser instalado o reinstalado un equipamiento en el laboratorio, que  cumpla con los requisitos especificados en la norma de ensayo revisando los resultados de verificaciones, comprobaciones intermedias  y/o calibración según aplique, por medio del formato liberación de los informes de verificaciones, comprobaciones intermedias y certificados de calibración GLAB-FM-111. Si el equipamiento no cumple con los requisitos especificados, queda fuera de servicio, se solicita su mantenimiento (correctivo o ajuste según aplique) y se vuelve a verificar, si cumple las especificaciones técnicas se pone en servicio, de lo contario se reintegra al almacén general para su disposición final.</v>
      </c>
      <c r="AB62" s="126" t="str">
        <f t="shared" si="85"/>
        <v>Probabilidad</v>
      </c>
      <c r="AC62" s="127" t="s">
        <v>398</v>
      </c>
      <c r="AD62" s="127" t="s">
        <v>394</v>
      </c>
      <c r="AE62" s="128" t="str">
        <f t="shared" si="80"/>
        <v>40%</v>
      </c>
      <c r="AF62" s="127" t="s">
        <v>395</v>
      </c>
      <c r="AG62" s="127" t="s">
        <v>396</v>
      </c>
      <c r="AH62" s="127" t="s">
        <v>397</v>
      </c>
      <c r="AI62" s="129">
        <f t="shared" si="86"/>
        <v>9.0719999999999995E-2</v>
      </c>
      <c r="AJ62" s="130" t="str">
        <f t="shared" si="3"/>
        <v>Muy Baja</v>
      </c>
      <c r="AK62" s="128">
        <f t="shared" si="81"/>
        <v>9.0719999999999995E-2</v>
      </c>
      <c r="AL62" s="130" t="str">
        <f t="shared" si="5"/>
        <v>Menor</v>
      </c>
      <c r="AM62" s="128">
        <f t="shared" si="15"/>
        <v>0.4</v>
      </c>
      <c r="AN62" s="131" t="str">
        <f t="shared" ref="AN62:AN65" si="87">IFERROR(IF(OR(AND(AJ62="Muy Baja",AL62="Leve"),AND(AJ62="Muy Baja",AL62="Menor"),AND(AJ62="Baja",AL62="Leve")),"Bajo",IF(OR(AND(AJ62="Muy baja",AL62="Moderado"),AND(AJ62="Baja",AL62="Menor"),AND(AJ62="Baja",AL62="Moderado"),AND(AJ62="Media",AL62="Leve"),AND(AJ62="Media",AL62="Menor"),AND(AJ62="Media",AL62="Moderado"),AND(AJ62="Alta",AL62="Leve"),AND(AJ62="Alta",AL62="Menor")),"Moderado",IF(OR(AND(AJ62="Muy Baja",AL62="Mayor"),AND(AJ62="Baja",AL62="Mayor"),AND(AJ62="Media",AL62="Mayor"),AND(AJ62="Alta",AL62="Moderado"),AND(AJ62="Alta",AL62="Mayor"),AND(AJ62="Muy Alta",AL62="Leve"),AND(AJ62="Muy Alta",AL62="Menor"),AND(AJ62="Muy Alta",AL62="Moderado"),AND(AJ62="Muy Alta",AL62="Mayor")),"Alto",IF(OR(AND(AJ62="Muy Baja",AL62="Catastrófico"),AND(AJ62="Baja",AL62="Catastrófico"),AND(AJ62="Media",AL62="Catastrófico"),AND(AJ62="Alta",AL62="Catastrófico"),AND(AJ62="Muy Alta",AL62="Catastrófico")),"Extremo","")))),"")</f>
        <v>Bajo</v>
      </c>
      <c r="AO62" s="132"/>
      <c r="AP62" s="125"/>
      <c r="AQ62" s="133"/>
      <c r="AR62" s="133"/>
      <c r="AS62" s="134"/>
      <c r="AT62" s="403"/>
      <c r="AU62" s="403"/>
      <c r="AV62" s="403"/>
    </row>
    <row r="63" spans="1:48" ht="36" customHeight="1" x14ac:dyDescent="0.2">
      <c r="A63" s="398"/>
      <c r="B63" s="400"/>
      <c r="C63" s="400"/>
      <c r="D63" s="403"/>
      <c r="E63" s="401"/>
      <c r="F63" s="400"/>
      <c r="G63" s="401"/>
      <c r="H63" s="400"/>
      <c r="I63" s="403"/>
      <c r="J63" s="421"/>
      <c r="K63" s="421"/>
      <c r="L63" s="403"/>
      <c r="M63" s="403"/>
      <c r="N63" s="403"/>
      <c r="O63" s="416"/>
      <c r="P63" s="417"/>
      <c r="Q63" s="405"/>
      <c r="R63" s="406"/>
      <c r="S63" s="405"/>
      <c r="T63" s="417"/>
      <c r="U63" s="405"/>
      <c r="V63" s="418"/>
      <c r="W63" s="149">
        <v>6</v>
      </c>
      <c r="X63" s="182" t="s">
        <v>747</v>
      </c>
      <c r="Y63" s="149" t="s">
        <v>37</v>
      </c>
      <c r="Z63" s="336" t="s">
        <v>749</v>
      </c>
      <c r="AA63" s="304" t="str">
        <f t="shared" si="1"/>
        <v>El coordinador de equipamiento Verifica Cada vez que se realiza una actividad (mantenimiento correctivo, preventivo, inspecciones, verificación, comprobación intermedia y calibración) al equipamiento, su correcto funcionamiento y lo registra en el formato inspección equipos del laboratorio UAERMV GLAB-FM-112. Si al realizar la verificación,  el equipamiento presenta fallas se pone fuera de servicio hasta que este se encuentre en buen estado.</v>
      </c>
      <c r="AB63" s="126"/>
      <c r="AC63" s="127" t="s">
        <v>398</v>
      </c>
      <c r="AD63" s="127" t="s">
        <v>394</v>
      </c>
      <c r="AE63" s="128"/>
      <c r="AF63" s="127" t="s">
        <v>395</v>
      </c>
      <c r="AG63" s="127" t="s">
        <v>396</v>
      </c>
      <c r="AH63" s="127" t="s">
        <v>397</v>
      </c>
      <c r="AI63" s="129"/>
      <c r="AJ63" s="337" t="s">
        <v>531</v>
      </c>
      <c r="AK63" s="338">
        <v>9.0719999999999995E-2</v>
      </c>
      <c r="AL63" s="337" t="s">
        <v>499</v>
      </c>
      <c r="AM63" s="338">
        <v>0.4</v>
      </c>
      <c r="AN63" s="339" t="s">
        <v>408</v>
      </c>
      <c r="AO63" s="132"/>
      <c r="AP63" s="125"/>
      <c r="AQ63" s="133"/>
      <c r="AR63" s="133"/>
      <c r="AS63" s="134"/>
      <c r="AT63" s="403"/>
      <c r="AU63" s="403"/>
      <c r="AV63" s="403"/>
    </row>
    <row r="64" spans="1:48" ht="36" customHeight="1" x14ac:dyDescent="0.2">
      <c r="A64" s="398"/>
      <c r="B64" s="400"/>
      <c r="C64" s="400"/>
      <c r="D64" s="403"/>
      <c r="E64" s="401"/>
      <c r="F64" s="400"/>
      <c r="G64" s="401"/>
      <c r="H64" s="400"/>
      <c r="I64" s="403"/>
      <c r="J64" s="421"/>
      <c r="K64" s="421"/>
      <c r="L64" s="403"/>
      <c r="M64" s="403"/>
      <c r="N64" s="403"/>
      <c r="O64" s="416"/>
      <c r="P64" s="417"/>
      <c r="Q64" s="405"/>
      <c r="R64" s="406"/>
      <c r="S64" s="405"/>
      <c r="T64" s="417"/>
      <c r="U64" s="405"/>
      <c r="V64" s="418"/>
      <c r="W64" s="149">
        <v>7</v>
      </c>
      <c r="X64" s="182" t="s">
        <v>750</v>
      </c>
      <c r="Y64" s="149" t="s">
        <v>52</v>
      </c>
      <c r="Z64" s="336" t="s">
        <v>751</v>
      </c>
      <c r="AA64" s="304" t="str">
        <f t="shared" si="1"/>
        <v>El auxiliar de acreditación  Revisa Cada vez que se solicita un equipamiento menor (tamices, diales, termómetros, pie de rey entre otros) para su uso, que este en buen estado cuando lo entrega y  recibe, lo registra en el formato control y seguimiento de equipos GLAB-FM-115. En caso de encontrar que el equipamiento esta en mal estado se pone fuera de servicio hasta  que se verifique el correcto funcionamiento de este.</v>
      </c>
      <c r="AB64" s="126"/>
      <c r="AC64" s="127" t="s">
        <v>398</v>
      </c>
      <c r="AD64" s="127" t="s">
        <v>394</v>
      </c>
      <c r="AE64" s="128"/>
      <c r="AF64" s="127" t="s">
        <v>395</v>
      </c>
      <c r="AG64" s="127" t="s">
        <v>396</v>
      </c>
      <c r="AH64" s="127" t="s">
        <v>397</v>
      </c>
      <c r="AI64" s="129"/>
      <c r="AJ64" s="337" t="s">
        <v>531</v>
      </c>
      <c r="AK64" s="338">
        <v>9.0719999999999995E-2</v>
      </c>
      <c r="AL64" s="337" t="s">
        <v>499</v>
      </c>
      <c r="AM64" s="338">
        <v>0.4</v>
      </c>
      <c r="AN64" s="339" t="s">
        <v>408</v>
      </c>
      <c r="AO64" s="132"/>
      <c r="AP64" s="125"/>
      <c r="AQ64" s="133"/>
      <c r="AR64" s="133"/>
      <c r="AS64" s="134"/>
      <c r="AT64" s="403"/>
      <c r="AU64" s="403"/>
      <c r="AV64" s="403"/>
    </row>
    <row r="65" spans="1:49" ht="36" customHeight="1" x14ac:dyDescent="0.2">
      <c r="A65" s="398"/>
      <c r="B65" s="400"/>
      <c r="C65" s="400"/>
      <c r="D65" s="404"/>
      <c r="E65" s="401"/>
      <c r="F65" s="400"/>
      <c r="G65" s="401"/>
      <c r="H65" s="400"/>
      <c r="I65" s="404"/>
      <c r="J65" s="422"/>
      <c r="K65" s="422"/>
      <c r="L65" s="404"/>
      <c r="M65" s="404"/>
      <c r="N65" s="404"/>
      <c r="O65" s="416"/>
      <c r="P65" s="417"/>
      <c r="Q65" s="405"/>
      <c r="R65" s="406"/>
      <c r="S65" s="405">
        <f>IF(NOT(ISERROR(MATCH(R65,_xlfn.ANCHORARRAY(#REF!),0))),#REF!&amp;"Por favor no seleccionar los criterios de impacto",R65)</f>
        <v>0</v>
      </c>
      <c r="T65" s="417"/>
      <c r="U65" s="405"/>
      <c r="V65" s="418"/>
      <c r="W65" s="149">
        <v>8</v>
      </c>
      <c r="X65" s="182" t="s">
        <v>750</v>
      </c>
      <c r="Y65" s="149" t="s">
        <v>37</v>
      </c>
      <c r="Z65" s="336" t="s">
        <v>752</v>
      </c>
      <c r="AA65" s="304" t="str">
        <f t="shared" si="1"/>
        <v xml:space="preserve">El auxiliar de acreditación  Verifica Cada vez que ingresa una persona nueva, que la persona cumpla con la competencia exigida para el rol a desempeñar, en el formato verificación de las competencias del personal del laboratorio UAERMV GLAB-FM-137, con el fin de garantizar que el personal tenga la competencia requerida para el rol a desempeñar. Si el personal no cumple con la competencia requerida se establece un plan de acción para dar cumplimiento a la o las competencia que no cumple. </v>
      </c>
      <c r="AB65" s="126" t="str">
        <f t="shared" si="85"/>
        <v>Probabilidad</v>
      </c>
      <c r="AC65" s="127" t="s">
        <v>398</v>
      </c>
      <c r="AD65" s="127" t="s">
        <v>394</v>
      </c>
      <c r="AE65" s="128" t="str">
        <f t="shared" si="80"/>
        <v>40%</v>
      </c>
      <c r="AF65" s="127" t="s">
        <v>395</v>
      </c>
      <c r="AG65" s="127" t="s">
        <v>396</v>
      </c>
      <c r="AH65" s="127" t="s">
        <v>397</v>
      </c>
      <c r="AI65" s="129">
        <f>IFERROR(IF(AND(AB62="Probabilidad",AB65="Probabilidad"),(AK62-(+AK62*AE65)),IF(AND(AB62="Impacto",AB65="Probabilidad"),(AK61-(+AK61*AE65)),IF(AB65="Impacto",AK62,""))),"")</f>
        <v>5.4431999999999994E-2</v>
      </c>
      <c r="AJ65" s="130" t="str">
        <f t="shared" si="3"/>
        <v>Muy Baja</v>
      </c>
      <c r="AK65" s="128">
        <f t="shared" si="81"/>
        <v>5.4431999999999994E-2</v>
      </c>
      <c r="AL65" s="130" t="str">
        <f t="shared" si="5"/>
        <v>Menor</v>
      </c>
      <c r="AM65" s="128">
        <f>IFERROR(IF(AND(AB62="Impacto",AB65="Impacto"),(AM62-(+AM62*AE65)),IF(AND(AB62="Probabilidad",AB65="Impacto"),(AM61-(+AM61*AE65)),IF(AB65="Probabilidad",AM62,""))),"")</f>
        <v>0.4</v>
      </c>
      <c r="AN65" s="131" t="str">
        <f t="shared" si="87"/>
        <v>Bajo</v>
      </c>
      <c r="AO65" s="132" t="s">
        <v>35</v>
      </c>
      <c r="AP65" s="125"/>
      <c r="AQ65" s="133"/>
      <c r="AR65" s="133"/>
      <c r="AS65" s="134"/>
      <c r="AT65" s="404"/>
      <c r="AU65" s="404"/>
      <c r="AV65" s="404"/>
    </row>
    <row r="66" spans="1:49" ht="45.75" customHeight="1" x14ac:dyDescent="0.2">
      <c r="A66" s="398">
        <v>10</v>
      </c>
      <c r="B66" s="400" t="s">
        <v>551</v>
      </c>
      <c r="C66" s="400" t="s">
        <v>40</v>
      </c>
      <c r="D66" s="402" t="s">
        <v>753</v>
      </c>
      <c r="E66" s="401" t="s">
        <v>764</v>
      </c>
      <c r="F66" s="400" t="s">
        <v>736</v>
      </c>
      <c r="G66" s="401" t="str">
        <f t="shared" ref="G66" si="88">+CONCATENATE(C66," ",D66," ",E66)</f>
        <v>Posibilidad de afectación reputacional Por incumplimiento en la fecha de entrega de los informes Debido a:
1. Insuficiente personal por ausentismo laboral por enfermedad, licencias, renuncias, falta de presupuesto y/o demoras en la contratación del personal.
2. Aumento en la demanda de los servicios.
3. Fallas en equipamiento.
4. Falta de claridad de las fechas de entrega de los informes.
5. Falta de la solicitud del servicio de manera explicita ( acta de reunión, correo electrónico, orden de trabajo y /o el acuerdo de servicio).</v>
      </c>
      <c r="H66" s="400" t="s">
        <v>391</v>
      </c>
      <c r="I66" s="402" t="s">
        <v>59</v>
      </c>
      <c r="J66" s="420" t="s">
        <v>754</v>
      </c>
      <c r="K66" s="420" t="s">
        <v>755</v>
      </c>
      <c r="L66" s="402" t="s">
        <v>756</v>
      </c>
      <c r="M66" s="402" t="s">
        <v>63</v>
      </c>
      <c r="N66" s="402" t="s">
        <v>42</v>
      </c>
      <c r="O66" s="416">
        <v>365</v>
      </c>
      <c r="P66" s="417" t="str">
        <f>IF(O66&lt;=0,"",IF(O66&lt;=2,"Muy Baja",IF(O66&lt;=24,"Baja",IF(O66&lt;=500,"Media",IF(O66&lt;=5000,"Alta","Muy Alta")))))</f>
        <v>Media</v>
      </c>
      <c r="Q66" s="405">
        <f>IF(P66="","",IF(P66="Muy Baja",0.2,IF(P66="Baja",0.4,IF(P66="Media",0.6,IF(P66="Alta",0.8,IF(P66="Muy Alta",1,))))))</f>
        <v>0.6</v>
      </c>
      <c r="R66" s="406" t="s">
        <v>513</v>
      </c>
      <c r="S66" s="405" t="str">
        <f>IF(NOT(ISERROR(MATCH(R66,'Tabla Impacto'!$B$245:$B$247,0))),'Tabla Impacto'!$F$224&amp;"Por favor no seleccionar los criterios de impacto(Afectación Económica o presupuestal y Pérdida Reputacional)",R66)</f>
        <v xml:space="preserve">     El riesgo afecta la imagen de la entidad internamente, de conocimiento general, nivel interno, de junta dircetiva y accionistas y/o de provedores</v>
      </c>
      <c r="T66" s="417" t="str">
        <f>IF(OR(S66='Tabla Impacto'!$C$12,S66='Tabla Impacto'!$D$12),"Leve",IF(OR(S66='Tabla Impacto'!$C$13,S66='Tabla Impacto'!$D$13),"Menor",IF(OR(S66='Tabla Impacto'!$C$14,S66='Tabla Impacto'!$D$14),"Moderado",IF(OR(S66='Tabla Impacto'!$C$15,S66='Tabla Impacto'!$D$15),"Mayor",IF(OR(S66='Tabla Impacto'!$C$16,S66='Tabla Impacto'!$D$16),"Catastrófico","")))))</f>
        <v>Menor</v>
      </c>
      <c r="U66" s="405">
        <f>IF(T66="","",IF(T66="Leve",0.2,IF(T66="Menor",0.4,IF(T66="Moderado",0.6,IF(T66="Mayor",0.8,IF(T66="Catastrófico",1,))))))</f>
        <v>0.4</v>
      </c>
      <c r="V66" s="418" t="str">
        <f>IF(OR(AND(P66="Muy Baja",T66="Leve"),AND(P66="Muy Baja",T66="Menor"),AND(P66="Baja",T66="Leve")),"Bajo",IF(OR(AND(P66="Muy baja",T66="Moderado"),AND(P66="Baja",T66="Menor"),AND(P66="Baja",T66="Moderado"),AND(P66="Media",T66="Leve"),AND(P66="Media",T66="Menor"),AND(P66="Media",T66="Moderado"),AND(P66="Alta",T66="Leve"),AND(P66="Alta",T66="Menor")),"Moderado",IF(OR(AND(P66="Muy Baja",T66="Mayor"),AND(P66="Baja",T66="Mayor"),AND(P66="Media",T66="Mayor"),AND(P66="Alta",T66="Moderado"),AND(P66="Alta",T66="Mayor"),AND(P66="Muy Alta",T66="Leve"),AND(P66="Muy Alta",T66="Menor"),AND(P66="Muy Alta",T66="Moderado"),AND(P66="Muy Alta",T66="Mayor")),"Alto",IF(OR(AND(P66="Muy Baja",T66="Catastrófico"),AND(P66="Baja",T66="Catastrófico"),AND(P66="Media",T66="Catastrófico"),AND(P66="Alta",T66="Catastrófico"),AND(P66="Muy Alta",T66="Catastrófico")),"Extremo",""))))</f>
        <v>Moderado</v>
      </c>
      <c r="W66" s="149">
        <v>1</v>
      </c>
      <c r="X66" s="182" t="s">
        <v>757</v>
      </c>
      <c r="Y66" s="149" t="s">
        <v>37</v>
      </c>
      <c r="Z66" s="336" t="s">
        <v>758</v>
      </c>
      <c r="AA66" s="304" t="str">
        <f t="shared" si="1"/>
        <v>El líder operativo, Verifica Mensualmente en la programación del personal GLAB-FM-134 que cada rol tenga un responsable principal y un relevo, con el fin de garantizar que todos los roles tengan un responsable sin ser afectado por el ausentismo, de no ser así se solicita al coordinador técnico que realice la programación del relevo.</v>
      </c>
      <c r="AB66" s="126" t="str">
        <f>IF(OR(AC66="Preventivo",AC66="Detectivo"),"Probabilidad",IF(AC66="Correctivo","Impacto",""))</f>
        <v>Probabilidad</v>
      </c>
      <c r="AC66" s="127" t="s">
        <v>398</v>
      </c>
      <c r="AD66" s="127" t="s">
        <v>394</v>
      </c>
      <c r="AE66" s="128" t="str">
        <f>IF(AND(AC66="Preventivo",AD66="Automático"),"50%",IF(AND(AC66="Preventivo",AD66="Manual"),"40%",IF(AND(AC66="Detectivo",AD66="Automático"),"40%",IF(AND(AC66="Detectivo",AD66="Manual"),"30%",IF(AND(AC66="Correctivo",AD66="Automático"),"35%",IF(AND(AC66="Correctivo",AD66="Manual"),"25%",""))))))</f>
        <v>40%</v>
      </c>
      <c r="AF66" s="127" t="s">
        <v>395</v>
      </c>
      <c r="AG66" s="127" t="s">
        <v>396</v>
      </c>
      <c r="AH66" s="127" t="s">
        <v>397</v>
      </c>
      <c r="AI66" s="129">
        <f>IFERROR(IF(AB66="Probabilidad",(Q66-(+Q66*AE66)),IF(AB66="Impacto",Q66,"")),"")</f>
        <v>0.36</v>
      </c>
      <c r="AJ66" s="130" t="str">
        <f>IFERROR(IF(AI66="","",IF(AI66&lt;=0.2,"Muy Baja",IF(AI66&lt;=0.4,"Baja",IF(AI66&lt;=0.6,"Media",IF(AI66&lt;=0.8,"Alta","Muy Alta"))))),"")</f>
        <v>Baja</v>
      </c>
      <c r="AK66" s="128">
        <f>+AI66</f>
        <v>0.36</v>
      </c>
      <c r="AL66" s="130" t="str">
        <f>IFERROR(IF(AM66="","",IF(AM66&lt;=0.2,"Leve",IF(AM66&lt;=0.4,"Menor",IF(AM66&lt;=0.6,"Moderado",IF(AM66&lt;=0.8,"Mayor","Catastrófico"))))),"")</f>
        <v>Menor</v>
      </c>
      <c r="AM66" s="128">
        <f t="shared" ref="AM66" si="89">IFERROR(IF(AB66="Impacto",(U66-(+U66*AE66)),IF(AB66="Probabilidad",U66,"")),"")</f>
        <v>0.4</v>
      </c>
      <c r="AN66" s="131" t="str">
        <f>IFERROR(IF(OR(AND(AJ66="Muy Baja",AL66="Leve"),AND(AJ66="Muy Baja",AL66="Menor"),AND(AJ66="Baja",AL66="Leve")),"Bajo",IF(OR(AND(AJ66="Muy baja",AL66="Moderado"),AND(AJ66="Baja",AL66="Menor"),AND(AJ66="Baja",AL66="Moderado"),AND(AJ66="Media",AL66="Leve"),AND(AJ66="Media",AL66="Menor"),AND(AJ66="Media",AL66="Moderado"),AND(AJ66="Alta",AL66="Leve"),AND(AJ66="Alta",AL66="Menor")),"Moderado",IF(OR(AND(AJ66="Muy Baja",AL66="Mayor"),AND(AJ66="Baja",AL66="Mayor"),AND(AJ66="Media",AL66="Mayor"),AND(AJ66="Alta",AL66="Moderado"),AND(AJ66="Alta",AL66="Mayor"),AND(AJ66="Muy Alta",AL66="Leve"),AND(AJ66="Muy Alta",AL66="Menor"),AND(AJ66="Muy Alta",AL66="Moderado"),AND(AJ66="Muy Alta",AL66="Mayor")),"Alto",IF(OR(AND(AJ66="Muy Baja",AL66="Catastrófico"),AND(AJ66="Baja",AL66="Catastrófico"),AND(AJ66="Media",AL66="Catastrófico"),AND(AJ66="Alta",AL66="Catastrófico"),AND(AJ66="Muy Alta",AL66="Catastrófico")),"Extremo","")))),"")</f>
        <v>Moderado</v>
      </c>
      <c r="AO66" s="132"/>
      <c r="AP66" s="125"/>
      <c r="AQ66" s="133"/>
      <c r="AR66" s="133"/>
      <c r="AS66" s="134"/>
      <c r="AT66" s="473" t="s">
        <v>939</v>
      </c>
      <c r="AU66" s="473" t="s">
        <v>940</v>
      </c>
      <c r="AV66" s="473" t="s">
        <v>941</v>
      </c>
      <c r="AW66" s="419"/>
    </row>
    <row r="67" spans="1:49" ht="45.75" customHeight="1" x14ac:dyDescent="0.2">
      <c r="A67" s="398"/>
      <c r="B67" s="400"/>
      <c r="C67" s="400"/>
      <c r="D67" s="403"/>
      <c r="E67" s="401"/>
      <c r="F67" s="400"/>
      <c r="G67" s="401"/>
      <c r="H67" s="400"/>
      <c r="I67" s="403"/>
      <c r="J67" s="421"/>
      <c r="K67" s="421"/>
      <c r="L67" s="403"/>
      <c r="M67" s="403"/>
      <c r="N67" s="403"/>
      <c r="O67" s="416"/>
      <c r="P67" s="417"/>
      <c r="Q67" s="405"/>
      <c r="R67" s="406"/>
      <c r="S67" s="405">
        <f>IF(NOT(ISERROR(MATCH(R67,_xlfn.ANCHORARRAY(#REF!),0))),R73&amp;"Por favor no seleccionar los criterios de impacto",R67)</f>
        <v>0</v>
      </c>
      <c r="T67" s="417"/>
      <c r="U67" s="405"/>
      <c r="V67" s="418"/>
      <c r="W67" s="149">
        <v>2</v>
      </c>
      <c r="X67" s="182" t="s">
        <v>747</v>
      </c>
      <c r="Y67" s="149" t="s">
        <v>37</v>
      </c>
      <c r="Z67" s="336" t="s">
        <v>759</v>
      </c>
      <c r="AA67" s="304" t="str">
        <f t="shared" si="1"/>
        <v>El coordinador de equipamiento Verifica Mensualmente hace seguimiento al cronograma de aseguramiento de equipos del laboratorio UAERMV en el formato GLAB-FM-146, verificando que  las actividades ejecutadas corresponda con las programadas. En caso de encontrar que alguna actividad programada no fue ejecutada, se hace una inspección al funcionamiento del equipo, si no presenta ninguna desviación se reprograma la actividad para el siguiente mes, de lo contrario se pone el equipo en estado fuera de uso, hasta garantizar su correcto funcionamiento.</v>
      </c>
      <c r="AB67" s="126" t="str">
        <f>IF(OR(AC67="Preventivo",AC67="Detectivo"),"Probabilidad",IF(AC67="Correctivo","Impacto",""))</f>
        <v>Probabilidad</v>
      </c>
      <c r="AC67" s="127" t="s">
        <v>398</v>
      </c>
      <c r="AD67" s="127" t="s">
        <v>394</v>
      </c>
      <c r="AE67" s="128" t="str">
        <f t="shared" ref="AE67:AE71" si="90">IF(AND(AC67="Preventivo",AD67="Automático"),"50%",IF(AND(AC67="Preventivo",AD67="Manual"),"40%",IF(AND(AC67="Detectivo",AD67="Automático"),"40%",IF(AND(AC67="Detectivo",AD67="Manual"),"30%",IF(AND(AC67="Correctivo",AD67="Automático"),"35%",IF(AND(AC67="Correctivo",AD67="Manual"),"25%",""))))))</f>
        <v>40%</v>
      </c>
      <c r="AF67" s="127" t="s">
        <v>395</v>
      </c>
      <c r="AG67" s="127" t="s">
        <v>396</v>
      </c>
      <c r="AH67" s="127" t="s">
        <v>397</v>
      </c>
      <c r="AI67" s="129">
        <f>IFERROR(IF(AND(AB66="Probabilidad",AB67="Probabilidad"),(AK66-(+AK66*AE67)),IF(AB67="Probabilidad",(Q66-(+Q66*AE67)),IF(AB67="Impacto",AK66,""))),"")</f>
        <v>0.216</v>
      </c>
      <c r="AJ67" s="130" t="str">
        <f t="shared" si="3"/>
        <v>Baja</v>
      </c>
      <c r="AK67" s="128">
        <f t="shared" ref="AK67:AK71" si="91">+AI67</f>
        <v>0.216</v>
      </c>
      <c r="AL67" s="130" t="str">
        <f t="shared" si="5"/>
        <v>Menor</v>
      </c>
      <c r="AM67" s="128">
        <f t="shared" ref="AM67" si="92">IFERROR(IF(AND(AB66="Impacto",AB67="Impacto"),(AM66-(+AM66*AE67)),IF(AB67="Impacto",($U$10-(+$U$10*AE67)),IF(AB67="Probabilidad",AM66,""))),"")</f>
        <v>0.4</v>
      </c>
      <c r="AN67" s="131" t="str">
        <f t="shared" ref="AN67:AN68" si="93">IFERROR(IF(OR(AND(AJ67="Muy Baja",AL67="Leve"),AND(AJ67="Muy Baja",AL67="Menor"),AND(AJ67="Baja",AL67="Leve")),"Bajo",IF(OR(AND(AJ67="Muy baja",AL67="Moderado"),AND(AJ67="Baja",AL67="Menor"),AND(AJ67="Baja",AL67="Moderado"),AND(AJ67="Media",AL67="Leve"),AND(AJ67="Media",AL67="Menor"),AND(AJ67="Media",AL67="Moderado"),AND(AJ67="Alta",AL67="Leve"),AND(AJ67="Alta",AL67="Menor")),"Moderado",IF(OR(AND(AJ67="Muy Baja",AL67="Mayor"),AND(AJ67="Baja",AL67="Mayor"),AND(AJ67="Media",AL67="Mayor"),AND(AJ67="Alta",AL67="Moderado"),AND(AJ67="Alta",AL67="Mayor"),AND(AJ67="Muy Alta",AL67="Leve"),AND(AJ67="Muy Alta",AL67="Menor"),AND(AJ67="Muy Alta",AL67="Moderado"),AND(AJ67="Muy Alta",AL67="Mayor")),"Alto",IF(OR(AND(AJ67="Muy Baja",AL67="Catastrófico"),AND(AJ67="Baja",AL67="Catastrófico"),AND(AJ67="Media",AL67="Catastrófico"),AND(AJ67="Alta",AL67="Catastrófico"),AND(AJ67="Muy Alta",AL67="Catastrófico")),"Extremo","")))),"")</f>
        <v>Moderado</v>
      </c>
      <c r="AO67" s="132"/>
      <c r="AP67" s="125"/>
      <c r="AQ67" s="133"/>
      <c r="AR67" s="133"/>
      <c r="AS67" s="134"/>
      <c r="AT67" s="473"/>
      <c r="AU67" s="473"/>
      <c r="AV67" s="473"/>
      <c r="AW67" s="419"/>
    </row>
    <row r="68" spans="1:49" ht="45.75" customHeight="1" x14ac:dyDescent="0.2">
      <c r="A68" s="398"/>
      <c r="B68" s="400"/>
      <c r="C68" s="400"/>
      <c r="D68" s="403"/>
      <c r="E68" s="401"/>
      <c r="F68" s="400"/>
      <c r="G68" s="401"/>
      <c r="H68" s="400"/>
      <c r="I68" s="403"/>
      <c r="J68" s="421"/>
      <c r="K68" s="421"/>
      <c r="L68" s="403"/>
      <c r="M68" s="403"/>
      <c r="N68" s="403"/>
      <c r="O68" s="416"/>
      <c r="P68" s="417"/>
      <c r="Q68" s="405"/>
      <c r="R68" s="406"/>
      <c r="S68" s="405">
        <f>IF(NOT(ISERROR(MATCH(R68,_xlfn.ANCHORARRAY(H72),0))),R74&amp;"Por favor no seleccionar los criterios de impacto",R68)</f>
        <v>0</v>
      </c>
      <c r="T68" s="417"/>
      <c r="U68" s="405"/>
      <c r="V68" s="418"/>
      <c r="W68" s="149">
        <v>3</v>
      </c>
      <c r="X68" s="182" t="s">
        <v>760</v>
      </c>
      <c r="Y68" s="149" t="s">
        <v>37</v>
      </c>
      <c r="Z68" s="336" t="s">
        <v>761</v>
      </c>
      <c r="AA68" s="304" t="str">
        <f t="shared" si="1"/>
        <v>El auxiliar administrativo Verifica Cada vez que se genera una solicitud de servicio, que exista un documento (acuerdo de servicio, orden de trabajo, acta o correo) entre las partes (cliente interno y laboratorio) en donde se establezcan los tiempos de entrega de resultados. Si  hay solicitudes de servicios en donde no se especifique los tiempos de entrega, el servicio no se prestara hasta que el documento cuente con el requisito anteriormente mencionado.</v>
      </c>
      <c r="AB68" s="126" t="str">
        <f>IF(OR(AC68="Preventivo",AC68="Detectivo"),"Probabilidad",IF(AC68="Correctivo","Impacto",""))</f>
        <v>Probabilidad</v>
      </c>
      <c r="AC68" s="127" t="s">
        <v>398</v>
      </c>
      <c r="AD68" s="127" t="s">
        <v>394</v>
      </c>
      <c r="AE68" s="128" t="str">
        <f t="shared" si="90"/>
        <v>40%</v>
      </c>
      <c r="AF68" s="127" t="s">
        <v>395</v>
      </c>
      <c r="AG68" s="127" t="s">
        <v>396</v>
      </c>
      <c r="AH68" s="127" t="s">
        <v>397</v>
      </c>
      <c r="AI68" s="129">
        <f>IFERROR(IF(AND(AB67="Probabilidad",AB68="Probabilidad"),(AK67-(+AK67*AE68)),IF(AND(AB67="Impacto",AB68="Probabilidad"),(AK66-(+AK66*AE68)),IF(AB68="Impacto",AK67,""))),"")</f>
        <v>0.12959999999999999</v>
      </c>
      <c r="AJ68" s="130" t="str">
        <f t="shared" si="3"/>
        <v>Muy Baja</v>
      </c>
      <c r="AK68" s="128">
        <f t="shared" si="91"/>
        <v>0.12959999999999999</v>
      </c>
      <c r="AL68" s="130" t="str">
        <f t="shared" si="5"/>
        <v>Menor</v>
      </c>
      <c r="AM68" s="128">
        <f t="shared" ref="AM68" si="94">IFERROR(IF(AND(AB67="Impacto",AB68="Impacto"),(AM67-(+AM67*AE68)),IF(AND(AB67="Probabilidad",AB68="Impacto"),(AM66-(+AM66*AE68)),IF(AB68="Probabilidad",AM67,""))),"")</f>
        <v>0.4</v>
      </c>
      <c r="AN68" s="131" t="str">
        <f t="shared" si="93"/>
        <v>Bajo</v>
      </c>
      <c r="AO68" s="132"/>
      <c r="AP68" s="125"/>
      <c r="AQ68" s="133"/>
      <c r="AR68" s="133"/>
      <c r="AS68" s="134"/>
      <c r="AT68" s="473"/>
      <c r="AU68" s="473"/>
      <c r="AV68" s="473"/>
      <c r="AW68" s="419"/>
    </row>
    <row r="69" spans="1:49" ht="45.75" customHeight="1" x14ac:dyDescent="0.2">
      <c r="A69" s="398"/>
      <c r="B69" s="400"/>
      <c r="C69" s="400"/>
      <c r="D69" s="403"/>
      <c r="E69" s="401"/>
      <c r="F69" s="400"/>
      <c r="G69" s="401"/>
      <c r="H69" s="400"/>
      <c r="I69" s="403"/>
      <c r="J69" s="421"/>
      <c r="K69" s="421"/>
      <c r="L69" s="403"/>
      <c r="M69" s="403"/>
      <c r="N69" s="403"/>
      <c r="O69" s="416"/>
      <c r="P69" s="417"/>
      <c r="Q69" s="405"/>
      <c r="R69" s="406"/>
      <c r="S69" s="405">
        <f>IF(NOT(ISERROR(MATCH(R69,_xlfn.ANCHORARRAY(H73),0))),R75&amp;"Por favor no seleccionar los criterios de impacto",R69)</f>
        <v>0</v>
      </c>
      <c r="T69" s="417"/>
      <c r="U69" s="405"/>
      <c r="V69" s="418"/>
      <c r="W69" s="149">
        <v>4</v>
      </c>
      <c r="X69" s="182" t="s">
        <v>760</v>
      </c>
      <c r="Y69" s="149" t="s">
        <v>37</v>
      </c>
      <c r="Z69" s="336" t="s">
        <v>762</v>
      </c>
      <c r="AA69" s="304" t="str">
        <f t="shared" si="1"/>
        <v>El auxiliar administrativo Verifica Cada vez que se emite un informe, que la solicitud de servicio se halla cumplido de acuerdo a lo solicitado por el cliente teniendo en cuenta el informe de resultados, este seguimiento se registra en el formato matriz de trazabilidad de ensayos GLAB-FM-103. Si hace falta algún ensayo o no se cumple con la solicitud el auxiliar administrativo reporta el trabajo no conforme.</v>
      </c>
      <c r="AB69" s="126" t="str">
        <f t="shared" ref="AB69:AB71" si="95">IF(OR(AC69="Preventivo",AC69="Detectivo"),"Probabilidad",IF(AC69="Correctivo","Impacto",""))</f>
        <v>Probabilidad</v>
      </c>
      <c r="AC69" s="127" t="s">
        <v>393</v>
      </c>
      <c r="AD69" s="127" t="s">
        <v>394</v>
      </c>
      <c r="AE69" s="128" t="str">
        <f t="shared" si="90"/>
        <v>30%</v>
      </c>
      <c r="AF69" s="127" t="s">
        <v>395</v>
      </c>
      <c r="AG69" s="127" t="s">
        <v>396</v>
      </c>
      <c r="AH69" s="127" t="s">
        <v>397</v>
      </c>
      <c r="AI69" s="129">
        <f t="shared" ref="AI69:AI71" si="96">IFERROR(IF(AND(AB68="Probabilidad",AB69="Probabilidad"),(AK68-(+AK68*AE69)),IF(AND(AB68="Impacto",AB69="Probabilidad"),(AK67-(+AK67*AE69)),IF(AB69="Impacto",AK68,""))),"")</f>
        <v>9.0719999999999995E-2</v>
      </c>
      <c r="AJ69" s="130" t="str">
        <f t="shared" si="3"/>
        <v>Muy Baja</v>
      </c>
      <c r="AK69" s="128">
        <f t="shared" si="91"/>
        <v>9.0719999999999995E-2</v>
      </c>
      <c r="AL69" s="130" t="str">
        <f t="shared" si="5"/>
        <v>Menor</v>
      </c>
      <c r="AM69" s="128">
        <f t="shared" si="15"/>
        <v>0.4</v>
      </c>
      <c r="AN69" s="131" t="str">
        <f>IFERROR(IF(OR(AND(AJ69="Muy Baja",AL69="Leve"),AND(AJ69="Muy Baja",AL69="Menor"),AND(AJ69="Baja",AL69="Leve")),"Bajo",IF(OR(AND(AJ69="Muy baja",AL69="Moderado"),AND(AJ69="Baja",AL69="Menor"),AND(AJ69="Baja",AL69="Moderado"),AND(AJ69="Media",AL69="Leve"),AND(AJ69="Media",AL69="Menor"),AND(AJ69="Media",AL69="Moderado"),AND(AJ69="Alta",AL69="Leve"),AND(AJ69="Alta",AL69="Menor")),"Moderado",IF(OR(AND(AJ69="Muy Baja",AL69="Mayor"),AND(AJ69="Baja",AL69="Mayor"),AND(AJ69="Media",AL69="Mayor"),AND(AJ69="Alta",AL69="Moderado"),AND(AJ69="Alta",AL69="Mayor"),AND(AJ69="Muy Alta",AL69="Leve"),AND(AJ69="Muy Alta",AL69="Menor"),AND(AJ69="Muy Alta",AL69="Moderado"),AND(AJ69="Muy Alta",AL69="Mayor")),"Alto",IF(OR(AND(AJ69="Muy Baja",AL69="Catastrófico"),AND(AJ69="Baja",AL69="Catastrófico"),AND(AJ69="Media",AL69="Catastrófico"),AND(AJ69="Alta",AL69="Catastrófico"),AND(AJ69="Muy Alta",AL69="Catastrófico")),"Extremo","")))),"")</f>
        <v>Bajo</v>
      </c>
      <c r="AO69" s="132" t="s">
        <v>35</v>
      </c>
      <c r="AP69" s="125"/>
      <c r="AQ69" s="133"/>
      <c r="AR69" s="133"/>
      <c r="AS69" s="134"/>
      <c r="AT69" s="473"/>
      <c r="AU69" s="473"/>
      <c r="AV69" s="473"/>
      <c r="AW69" s="419"/>
    </row>
    <row r="70" spans="1:49" x14ac:dyDescent="0.2">
      <c r="A70" s="398"/>
      <c r="B70" s="400"/>
      <c r="C70" s="400"/>
      <c r="D70" s="403"/>
      <c r="E70" s="401"/>
      <c r="F70" s="400"/>
      <c r="G70" s="401"/>
      <c r="H70" s="400"/>
      <c r="I70" s="403"/>
      <c r="J70" s="421"/>
      <c r="K70" s="421"/>
      <c r="L70" s="403"/>
      <c r="M70" s="403"/>
      <c r="N70" s="403"/>
      <c r="O70" s="416"/>
      <c r="P70" s="417"/>
      <c r="Q70" s="405"/>
      <c r="R70" s="406"/>
      <c r="S70" s="405">
        <f>IF(NOT(ISERROR(MATCH(R70,_xlfn.ANCHORARRAY(H74),0))),R76&amp;"Por favor no seleccionar los criterios de impacto",R70)</f>
        <v>0</v>
      </c>
      <c r="T70" s="417"/>
      <c r="U70" s="405"/>
      <c r="V70" s="418"/>
      <c r="W70" s="149">
        <v>5</v>
      </c>
      <c r="X70" s="149"/>
      <c r="Y70" s="149"/>
      <c r="Z70" s="149"/>
      <c r="AA70" s="304" t="str">
        <f t="shared" si="1"/>
        <v xml:space="preserve">  </v>
      </c>
      <c r="AB70" s="126" t="str">
        <f t="shared" si="95"/>
        <v/>
      </c>
      <c r="AC70" s="127"/>
      <c r="AD70" s="127"/>
      <c r="AE70" s="128" t="str">
        <f t="shared" si="90"/>
        <v/>
      </c>
      <c r="AF70" s="127"/>
      <c r="AG70" s="127"/>
      <c r="AH70" s="127"/>
      <c r="AI70" s="129" t="str">
        <f t="shared" si="96"/>
        <v/>
      </c>
      <c r="AJ70" s="130" t="str">
        <f t="shared" si="3"/>
        <v/>
      </c>
      <c r="AK70" s="128" t="str">
        <f t="shared" si="91"/>
        <v/>
      </c>
      <c r="AL70" s="130" t="str">
        <f t="shared" si="5"/>
        <v/>
      </c>
      <c r="AM70" s="128" t="str">
        <f t="shared" si="15"/>
        <v/>
      </c>
      <c r="AN70" s="131" t="str">
        <f t="shared" ref="AN70:AN71" si="97">IFERROR(IF(OR(AND(AJ70="Muy Baja",AL70="Leve"),AND(AJ70="Muy Baja",AL70="Menor"),AND(AJ70="Baja",AL70="Leve")),"Bajo",IF(OR(AND(AJ70="Muy baja",AL70="Moderado"),AND(AJ70="Baja",AL70="Menor"),AND(AJ70="Baja",AL70="Moderado"),AND(AJ70="Media",AL70="Leve"),AND(AJ70="Media",AL70="Menor"),AND(AJ70="Media",AL70="Moderado"),AND(AJ70="Alta",AL70="Leve"),AND(AJ70="Alta",AL70="Menor")),"Moderado",IF(OR(AND(AJ70="Muy Baja",AL70="Mayor"),AND(AJ70="Baja",AL70="Mayor"),AND(AJ70="Media",AL70="Mayor"),AND(AJ70="Alta",AL70="Moderado"),AND(AJ70="Alta",AL70="Mayor"),AND(AJ70="Muy Alta",AL70="Leve"),AND(AJ70="Muy Alta",AL70="Menor"),AND(AJ70="Muy Alta",AL70="Moderado"),AND(AJ70="Muy Alta",AL70="Mayor")),"Alto",IF(OR(AND(AJ70="Muy Baja",AL70="Catastrófico"),AND(AJ70="Baja",AL70="Catastrófico"),AND(AJ70="Media",AL70="Catastrófico"),AND(AJ70="Alta",AL70="Catastrófico"),AND(AJ70="Muy Alta",AL70="Catastrófico")),"Extremo","")))),"")</f>
        <v/>
      </c>
      <c r="AO70" s="132"/>
      <c r="AP70" s="125"/>
      <c r="AQ70" s="133"/>
      <c r="AR70" s="133"/>
      <c r="AS70" s="134"/>
      <c r="AT70" s="473"/>
      <c r="AU70" s="473"/>
      <c r="AV70" s="473"/>
      <c r="AW70" s="419"/>
    </row>
    <row r="71" spans="1:49" x14ac:dyDescent="0.2">
      <c r="A71" s="398"/>
      <c r="B71" s="400"/>
      <c r="C71" s="400"/>
      <c r="D71" s="404"/>
      <c r="E71" s="401"/>
      <c r="F71" s="400"/>
      <c r="G71" s="401"/>
      <c r="H71" s="400"/>
      <c r="I71" s="404"/>
      <c r="J71" s="422"/>
      <c r="K71" s="422"/>
      <c r="L71" s="404"/>
      <c r="M71" s="404"/>
      <c r="N71" s="404"/>
      <c r="O71" s="416"/>
      <c r="P71" s="417"/>
      <c r="Q71" s="405"/>
      <c r="R71" s="406"/>
      <c r="S71" s="405">
        <f>IF(NOT(ISERROR(MATCH(R71,_xlfn.ANCHORARRAY(H75),0))),R77&amp;"Por favor no seleccionar los criterios de impacto",R71)</f>
        <v>0</v>
      </c>
      <c r="T71" s="417"/>
      <c r="U71" s="405"/>
      <c r="V71" s="418"/>
      <c r="W71" s="149">
        <v>6</v>
      </c>
      <c r="X71" s="149"/>
      <c r="Y71" s="149"/>
      <c r="Z71" s="149"/>
      <c r="AA71" s="304" t="str">
        <f t="shared" si="1"/>
        <v xml:space="preserve">  </v>
      </c>
      <c r="AB71" s="126" t="str">
        <f t="shared" si="95"/>
        <v/>
      </c>
      <c r="AC71" s="127"/>
      <c r="AD71" s="127"/>
      <c r="AE71" s="128" t="str">
        <f t="shared" si="90"/>
        <v/>
      </c>
      <c r="AF71" s="127"/>
      <c r="AG71" s="127"/>
      <c r="AH71" s="127"/>
      <c r="AI71" s="129" t="str">
        <f t="shared" si="96"/>
        <v/>
      </c>
      <c r="AJ71" s="130" t="str">
        <f t="shared" si="3"/>
        <v/>
      </c>
      <c r="AK71" s="128" t="str">
        <f t="shared" si="91"/>
        <v/>
      </c>
      <c r="AL71" s="130" t="str">
        <f t="shared" si="5"/>
        <v/>
      </c>
      <c r="AM71" s="128" t="str">
        <f t="shared" si="15"/>
        <v/>
      </c>
      <c r="AN71" s="131" t="str">
        <f t="shared" si="97"/>
        <v/>
      </c>
      <c r="AO71" s="132"/>
      <c r="AP71" s="125"/>
      <c r="AQ71" s="133"/>
      <c r="AR71" s="133"/>
      <c r="AS71" s="134"/>
      <c r="AT71" s="473"/>
      <c r="AU71" s="473"/>
      <c r="AV71" s="473"/>
      <c r="AW71" s="419"/>
    </row>
    <row r="72" spans="1:49" ht="69.75" customHeight="1" x14ac:dyDescent="0.2">
      <c r="A72" s="398">
        <v>11</v>
      </c>
      <c r="B72" s="399" t="s">
        <v>552</v>
      </c>
      <c r="C72" s="423" t="s">
        <v>40</v>
      </c>
      <c r="D72" s="401" t="s">
        <v>811</v>
      </c>
      <c r="E72" s="401" t="s">
        <v>812</v>
      </c>
      <c r="F72" s="401" t="s">
        <v>813</v>
      </c>
      <c r="G72" s="401" t="str">
        <f>+CONCATENATE(C72," ",D72," ",E72)</f>
        <v xml:space="preserve">Posibilidad de afectación reputacional por sanciones o no conformidades de los entes de control o la OCI  por el desabastecimiento de mezcla o insumos para el cumplimiento de la misionalidad  debido a deficiencias en la programación del material o control de los insumos para cumplir con las solicitudes concertadas. </v>
      </c>
      <c r="H72" s="400" t="s">
        <v>391</v>
      </c>
      <c r="I72" s="402" t="s">
        <v>59</v>
      </c>
      <c r="J72" s="402" t="s">
        <v>814</v>
      </c>
      <c r="K72" s="402" t="s">
        <v>815</v>
      </c>
      <c r="L72" s="402" t="s">
        <v>816</v>
      </c>
      <c r="M72" s="402" t="s">
        <v>63</v>
      </c>
      <c r="N72" s="402" t="s">
        <v>42</v>
      </c>
      <c r="O72" s="416">
        <v>300</v>
      </c>
      <c r="P72" s="417" t="str">
        <f>IF(O72&lt;=0,"",IF(O72&lt;=2,"Muy Baja",IF(O72&lt;=24,"Baja",IF(O72&lt;=500,"Media",IF(O72&lt;=5000,"Alta","Muy Alta")))))</f>
        <v>Media</v>
      </c>
      <c r="Q72" s="405">
        <f>IF(P72="","",IF(P72="Muy Baja",0.2,IF(P72="Baja",0.4,IF(P72="Media",0.6,IF(P72="Alta",0.8,IF(P72="Muy Alta",1,))))))</f>
        <v>0.6</v>
      </c>
      <c r="R72" s="406" t="s">
        <v>428</v>
      </c>
      <c r="S72" s="405" t="str">
        <f>IF(NOT(ISERROR(MATCH(R72,'[2]Tabla Impacto'!$B$245:$B$247,0))),'[2]Tabla Impacto'!$F$224&amp;"Por favor no seleccionar los criterios de impacto(Afectación Económica o presupuestal y Pérdida Reputacional)",R72)</f>
        <v xml:space="preserve">     El riesgo afecta la imagen de la entidad con algunos usuarios de relevancia frente al logro de los objetivos</v>
      </c>
      <c r="T72" s="417" t="str">
        <f>IF(OR(S72='[2]Tabla Impacto'!$C$12,S72='[2]Tabla Impacto'!$D$12),"Leve",IF(OR(S72='[2]Tabla Impacto'!$C$13,S72='[2]Tabla Impacto'!$D$13),"Menor",IF(OR(S72='[2]Tabla Impacto'!$C$14,S72='[2]Tabla Impacto'!$D$14),"Moderado",IF(OR(S72='[2]Tabla Impacto'!$C$15,S72='[2]Tabla Impacto'!$D$15),"Mayor",IF(OR(S72='[2]Tabla Impacto'!$C$16,S72='[2]Tabla Impacto'!$D$16),"Catastrófico","")))))</f>
        <v>Moderado</v>
      </c>
      <c r="U72" s="405">
        <f>IF(T72="","",IF(T72="Leve",0.2,IF(T72="Menor",0.4,IF(T72="Moderado",0.6,IF(T72="Mayor",0.8,IF(T72="Catastrófico",1,))))))</f>
        <v>0.6</v>
      </c>
      <c r="V72" s="418" t="str">
        <f>IF(OR(AND(P72="Muy Baja",T72="Leve"),AND(P72="Muy Baja",T72="Menor"),AND(P72="Baja",T72="Leve")),"Bajo",IF(OR(AND(P72="Muy baja",T72="Moderado"),AND(P72="Baja",T72="Menor"),AND(P72="Baja",T72="Moderado"),AND(P72="Media",T72="Leve"),AND(P72="Media",T72="Menor"),AND(P72="Media",T72="Moderado"),AND(P72="Alta",T72="Leve"),AND(P72="Alta",T72="Menor")),"Moderado",IF(OR(AND(P72="Muy Baja",T72="Mayor"),AND(P72="Baja",T72="Mayor"),AND(P72="Media",T72="Mayor"),AND(P72="Alta",T72="Moderado"),AND(P72="Alta",T72="Mayor"),AND(P72="Muy Alta",T72="Leve"),AND(P72="Muy Alta",T72="Menor"),AND(P72="Muy Alta",T72="Moderado"),AND(P72="Muy Alta",T72="Mayor")),"Alto",IF(OR(AND(P72="Muy Baja",T72="Catastrófico"),AND(P72="Baja",T72="Catastrófico"),AND(P72="Media",T72="Catastrófico"),AND(P72="Alta",T72="Catastrófico"),AND(P72="Muy Alta",T72="Catastrófico")),"Extremo",""))))</f>
        <v>Moderado</v>
      </c>
      <c r="W72" s="149">
        <v>1</v>
      </c>
      <c r="X72" s="182" t="s">
        <v>817</v>
      </c>
      <c r="Y72" s="182" t="s">
        <v>52</v>
      </c>
      <c r="Z72" s="342" t="s">
        <v>818</v>
      </c>
      <c r="AA72" s="304" t="str">
        <f>+CONCATENATE(X72," ",Y72," ",Z72)</f>
        <v>El Gerente de Produccion Revisa mensualmente los informes de supervisión de la ejecución de los contratos a cargo de la Gerencia de producción, su ejecución y avance en el tablero de control de la mesa de seguimiento contractual y presupuestal Proyectos Misionales de la Subdirección de producción y apoyo logístico, con el objetivo de gestionar las modificaciones contractuales para la continuidad del suministro de mezclas, los cuales se documentan en el acta de la mesa de trabajo.
En caso de presentarse o identificar novedades que afecten significativamente el despacho, se escala al Comité de planificación, producción e intervención incluyéndolo en el orden del día para tomar las acciones relacionadas con la capacidad y programación ofertada de manera consensuada en la cadena de valor misional.</v>
      </c>
      <c r="AB72" s="126" t="str">
        <f t="shared" ref="AB72:AB77" si="98">IF(OR(AC72="Preventivo",AC72="Detectivo"),"Probabilidad",IF(AC72="Correctivo","Impacto",""))</f>
        <v>Probabilidad</v>
      </c>
      <c r="AC72" s="127" t="s">
        <v>398</v>
      </c>
      <c r="AD72" s="127" t="s">
        <v>394</v>
      </c>
      <c r="AE72" s="128" t="str">
        <f>IF(AND(AC72="Preventivo",AD72="Automático"),"50%",IF(AND(AC72="Preventivo",AD72="Manual"),"40%",IF(AND(AC72="Detectivo",AD72="Automático"),"40%",IF(AND(AC72="Detectivo",AD72="Manual"),"30%",IF(AND(AC72="Correctivo",AD72="Automático"),"35%",IF(AND(AC72="Correctivo",AD72="Manual"),"25%",""))))))</f>
        <v>40%</v>
      </c>
      <c r="AF72" s="127" t="s">
        <v>395</v>
      </c>
      <c r="AG72" s="127" t="s">
        <v>396</v>
      </c>
      <c r="AH72" s="127" t="s">
        <v>422</v>
      </c>
      <c r="AI72" s="129">
        <f>IFERROR(IF(AB72="Probabilidad",(Q72-(+Q72*AE72)),IF(AB72="Impacto",Q72,"")),"")</f>
        <v>0.36</v>
      </c>
      <c r="AJ72" s="130" t="str">
        <f>IFERROR(IF(AI72="","",IF(AI72&lt;=0.2,"Muy Baja",IF(AI72&lt;=0.4,"Baja",IF(AI72&lt;=0.6,"Media",IF(AI72&lt;=0.8,"Alta","Muy Alta"))))),"")</f>
        <v>Baja</v>
      </c>
      <c r="AK72" s="128">
        <f>+AI72</f>
        <v>0.36</v>
      </c>
      <c r="AL72" s="130" t="str">
        <f>IFERROR(IF(AM72="","",IF(AM72&lt;=0.2,"Leve",IF(AM72&lt;=0.4,"Menor",IF(AM72&lt;=0.6,"Moderado",IF(AM72&lt;=0.8,"Mayor","Catastrófico"))))),"")</f>
        <v>Moderado</v>
      </c>
      <c r="AM72" s="128">
        <f>IFERROR(IF(AB72="Impacto",(U72-(+U72*AE72)),IF(AB72="Probabilidad",U72,"")),"")</f>
        <v>0.6</v>
      </c>
      <c r="AN72" s="131" t="str">
        <f>IFERROR(IF(OR(AND(AJ72="Muy Baja",AL72="Leve"),AND(AJ72="Muy Baja",AL72="Menor"),AND(AJ72="Baja",AL72="Leve")),"Bajo",IF(OR(AND(AJ72="Muy baja",AL72="Moderado"),AND(AJ72="Baja",AL72="Menor"),AND(AJ72="Baja",AL72="Moderado"),AND(AJ72="Media",AL72="Leve"),AND(AJ72="Media",AL72="Menor"),AND(AJ72="Media",AL72="Moderado"),AND(AJ72="Alta",AL72="Leve"),AND(AJ72="Alta",AL72="Menor")),"Moderado",IF(OR(AND(AJ72="Muy Baja",AL72="Mayor"),AND(AJ72="Baja",AL72="Mayor"),AND(AJ72="Media",AL72="Mayor"),AND(AJ72="Alta",AL72="Moderado"),AND(AJ72="Alta",AL72="Mayor"),AND(AJ72="Muy Alta",AL72="Leve"),AND(AJ72="Muy Alta",AL72="Menor"),AND(AJ72="Muy Alta",AL72="Moderado"),AND(AJ72="Muy Alta",AL72="Mayor")),"Alto",IF(OR(AND(AJ72="Muy Baja",AL72="Catastrófico"),AND(AJ72="Baja",AL72="Catastrófico"),AND(AJ72="Media",AL72="Catastrófico"),AND(AJ72="Alta",AL72="Catastrófico"),AND(AJ72="Muy Alta",AL72="Catastrófico")),"Extremo","")))),"")</f>
        <v>Moderado</v>
      </c>
      <c r="AO72" s="132"/>
      <c r="AP72" s="304" t="s">
        <v>819</v>
      </c>
      <c r="AQ72" s="304" t="s">
        <v>820</v>
      </c>
      <c r="AR72" s="304" t="s">
        <v>821</v>
      </c>
      <c r="AS72" s="347" t="s">
        <v>822</v>
      </c>
      <c r="AT72" s="402" t="s">
        <v>823</v>
      </c>
      <c r="AU72" s="402" t="s">
        <v>824</v>
      </c>
      <c r="AV72" s="402" t="s">
        <v>825</v>
      </c>
    </row>
    <row r="73" spans="1:49" ht="69.75" customHeight="1" x14ac:dyDescent="0.2">
      <c r="A73" s="398"/>
      <c r="B73" s="399"/>
      <c r="C73" s="423"/>
      <c r="D73" s="401"/>
      <c r="E73" s="401"/>
      <c r="F73" s="401"/>
      <c r="G73" s="401"/>
      <c r="H73" s="400"/>
      <c r="I73" s="403"/>
      <c r="J73" s="403"/>
      <c r="K73" s="403"/>
      <c r="L73" s="403"/>
      <c r="M73" s="403"/>
      <c r="N73" s="403"/>
      <c r="O73" s="416"/>
      <c r="P73" s="417"/>
      <c r="Q73" s="405"/>
      <c r="R73" s="406"/>
      <c r="S73" s="405">
        <f>IF(NOT(ISERROR(MATCH(R73,_xlfn.ANCHORARRAY(G84),0))),Q86&amp;"Por favor no seleccionar los criterios de impacto",R73)</f>
        <v>0</v>
      </c>
      <c r="T73" s="417"/>
      <c r="U73" s="405"/>
      <c r="V73" s="418"/>
      <c r="W73" s="149">
        <v>2</v>
      </c>
      <c r="X73" s="182" t="s">
        <v>817</v>
      </c>
      <c r="Y73" s="149" t="s">
        <v>49</v>
      </c>
      <c r="Z73" s="342" t="s">
        <v>826</v>
      </c>
      <c r="AA73" s="304" t="str">
        <f t="shared" ref="AA73:AA125" si="99">+CONCATENATE(X73," ",Y73," ",Z73)</f>
        <v>El Gerente de Produccion Compara Mensualmente el reporte de avance mensual y variaciones de metas institucionales de la gerencia de intervención con el plan anual de adquisiciones a su cargo e informar al equipo de trabajo de la Gerencia de producción las variaciones en la demanda de recursos para la toma de decisiones relacionadas con la gestión contractual y ajustar la capacidad de acuerdo con esas necesidades registradas en el acta mesa de seguimiento contractual y presupuestal Proyectos Misionales de la Subdirección de producción y apoyo logístico, 
En caso de presentarse o identificar novedades que afecten significativamente el volumen se escala al Comité de planificación, producción e intervención incluyéndolo en el orden del día para tomar las acciones relacionadas con la capacidad y programación ofertada de manera consensuada en la cadena de valor misional</v>
      </c>
      <c r="AB73" s="126" t="str">
        <f t="shared" si="98"/>
        <v>Probabilidad</v>
      </c>
      <c r="AC73" s="127" t="s">
        <v>398</v>
      </c>
      <c r="AD73" s="127" t="s">
        <v>394</v>
      </c>
      <c r="AE73" s="128" t="str">
        <f t="shared" ref="AE73:AE77" si="100">IF(AND(AC73="Preventivo",AD73="Automático"),"50%",IF(AND(AC73="Preventivo",AD73="Manual"),"40%",IF(AND(AC73="Detectivo",AD73="Automático"),"40%",IF(AND(AC73="Detectivo",AD73="Manual"),"30%",IF(AND(AC73="Correctivo",AD73="Automático"),"35%",IF(AND(AC73="Correctivo",AD73="Manual"),"25%",""))))))</f>
        <v>40%</v>
      </c>
      <c r="AF73" s="127" t="s">
        <v>395</v>
      </c>
      <c r="AG73" s="127" t="s">
        <v>396</v>
      </c>
      <c r="AH73" s="127" t="s">
        <v>397</v>
      </c>
      <c r="AI73" s="129">
        <f>IFERROR(IF(AND(AB72="Probabilidad",AB73="Probabilidad"),(AK72-(+AK72*AE73)),IF(AB73="Probabilidad",(Q72-(+Q72*AE73)),IF(AB73="Impacto",AK72,""))),"")</f>
        <v>0.216</v>
      </c>
      <c r="AJ73" s="130" t="str">
        <f t="shared" ref="AJ73:AJ125" si="101">IFERROR(IF(AI73="","",IF(AI73&lt;=0.2,"Muy Baja",IF(AI73&lt;=0.4,"Baja",IF(AI73&lt;=0.6,"Media",IF(AI73&lt;=0.8,"Alta","Muy Alta"))))),"")</f>
        <v>Baja</v>
      </c>
      <c r="AK73" s="128">
        <f t="shared" ref="AK73:AK77" si="102">+AI73</f>
        <v>0.216</v>
      </c>
      <c r="AL73" s="130" t="str">
        <f t="shared" ref="AL73:AL125" si="103">IFERROR(IF(AM73="","",IF(AM73&lt;=0.2,"Leve",IF(AM73&lt;=0.4,"Menor",IF(AM73&lt;=0.6,"Moderado",IF(AM73&lt;=0.8,"Mayor","Catastrófico"))))),"")</f>
        <v>Moderado</v>
      </c>
      <c r="AM73" s="128">
        <f>IFERROR(IF(AND(AB72="Impacto",AB73="Impacto"),(AM72-(+AM72*AE73)),IF(AB73="Impacto",($U$10-(+$U$10*AE73)),IF(AB73="Probabilidad",AM72,""))),"")</f>
        <v>0.6</v>
      </c>
      <c r="AN73" s="131" t="str">
        <f t="shared" ref="AN73:AN77" si="104">IFERROR(IF(OR(AND(AJ73="Muy Baja",AL73="Leve"),AND(AJ73="Muy Baja",AL73="Menor"),AND(AJ73="Baja",AL73="Leve")),"Bajo",IF(OR(AND(AJ73="Muy baja",AL73="Moderado"),AND(AJ73="Baja",AL73="Menor"),AND(AJ73="Baja",AL73="Moderado"),AND(AJ73="Media",AL73="Leve"),AND(AJ73="Media",AL73="Menor"),AND(AJ73="Media",AL73="Moderado"),AND(AJ73="Alta",AL73="Leve"),AND(AJ73="Alta",AL73="Menor")),"Moderado",IF(OR(AND(AJ73="Muy Baja",AL73="Mayor"),AND(AJ73="Baja",AL73="Mayor"),AND(AJ73="Media",AL73="Mayor"),AND(AJ73="Alta",AL73="Moderado"),AND(AJ73="Alta",AL73="Mayor"),AND(AJ73="Muy Alta",AL73="Leve"),AND(AJ73="Muy Alta",AL73="Menor"),AND(AJ73="Muy Alta",AL73="Moderado"),AND(AJ73="Muy Alta",AL73="Mayor")),"Alto",IF(OR(AND(AJ73="Muy Baja",AL73="Catastrófico"),AND(AJ73="Baja",AL73="Catastrófico"),AND(AJ73="Media",AL73="Catastrófico"),AND(AJ73="Alta",AL73="Catastrófico"),AND(AJ73="Muy Alta",AL73="Catastrófico")),"Extremo","")))),"")</f>
        <v>Moderado</v>
      </c>
      <c r="AO73" s="132" t="s">
        <v>43</v>
      </c>
      <c r="AP73" s="304" t="s">
        <v>827</v>
      </c>
      <c r="AQ73" s="304" t="s">
        <v>820</v>
      </c>
      <c r="AR73" s="304" t="s">
        <v>828</v>
      </c>
      <c r="AS73" s="347" t="s">
        <v>822</v>
      </c>
      <c r="AT73" s="403"/>
      <c r="AU73" s="403"/>
      <c r="AV73" s="403"/>
    </row>
    <row r="74" spans="1:49" x14ac:dyDescent="0.2">
      <c r="A74" s="398"/>
      <c r="B74" s="399"/>
      <c r="C74" s="423"/>
      <c r="D74" s="401"/>
      <c r="E74" s="401"/>
      <c r="F74" s="401"/>
      <c r="G74" s="401"/>
      <c r="H74" s="400"/>
      <c r="I74" s="403"/>
      <c r="J74" s="403"/>
      <c r="K74" s="403"/>
      <c r="L74" s="403"/>
      <c r="M74" s="403"/>
      <c r="N74" s="403"/>
      <c r="O74" s="416"/>
      <c r="P74" s="417"/>
      <c r="Q74" s="405"/>
      <c r="R74" s="406"/>
      <c r="S74" s="405">
        <f>IF(NOT(ISERROR(MATCH(R74,_xlfn.ANCHORARRAY(G85),0))),Q87&amp;"Por favor no seleccionar los criterios de impacto",R74)</f>
        <v>0</v>
      </c>
      <c r="T74" s="417"/>
      <c r="U74" s="405"/>
      <c r="V74" s="418"/>
      <c r="W74" s="149">
        <v>3</v>
      </c>
      <c r="X74" s="149"/>
      <c r="Y74" s="149"/>
      <c r="Z74" s="336"/>
      <c r="AA74" s="304" t="str">
        <f t="shared" si="99"/>
        <v xml:space="preserve">  </v>
      </c>
      <c r="AB74" s="126" t="str">
        <f t="shared" si="98"/>
        <v/>
      </c>
      <c r="AC74" s="127"/>
      <c r="AD74" s="127"/>
      <c r="AE74" s="128" t="str">
        <f t="shared" si="100"/>
        <v/>
      </c>
      <c r="AF74" s="127"/>
      <c r="AG74" s="127"/>
      <c r="AH74" s="127"/>
      <c r="AI74" s="129" t="str">
        <f>IFERROR(IF(AND(AB73="Probabilidad",AB74="Probabilidad"),(AK73-(+AK73*AE74)),IF(AND(AB73="Impacto",AB74="Probabilidad"),(AK72-(+AK72*AE74)),IF(AB74="Impacto",AK73,""))),"")</f>
        <v/>
      </c>
      <c r="AJ74" s="130" t="str">
        <f t="shared" si="101"/>
        <v/>
      </c>
      <c r="AK74" s="128" t="str">
        <f t="shared" si="102"/>
        <v/>
      </c>
      <c r="AL74" s="130" t="str">
        <f t="shared" si="103"/>
        <v/>
      </c>
      <c r="AM74" s="128" t="str">
        <f>IFERROR(IF(AND(AB73="Impacto",AB74="Impacto"),(AM73-(+AM73*AE74)),IF(AND(AB73="Probabilidad",AB74="Impacto"),(AM72-(+AM72*AE74)),IF(AB74="Probabilidad",AM73,""))),"")</f>
        <v/>
      </c>
      <c r="AN74" s="131" t="str">
        <f t="shared" si="104"/>
        <v/>
      </c>
      <c r="AO74" s="132"/>
      <c r="AP74" s="304"/>
      <c r="AQ74" s="304"/>
      <c r="AR74" s="304"/>
      <c r="AS74" s="304"/>
      <c r="AT74" s="403"/>
      <c r="AU74" s="403"/>
      <c r="AV74" s="403"/>
    </row>
    <row r="75" spans="1:49" x14ac:dyDescent="0.2">
      <c r="A75" s="398"/>
      <c r="B75" s="399"/>
      <c r="C75" s="423"/>
      <c r="D75" s="401"/>
      <c r="E75" s="401"/>
      <c r="F75" s="401"/>
      <c r="G75" s="401"/>
      <c r="H75" s="400"/>
      <c r="I75" s="403"/>
      <c r="J75" s="403"/>
      <c r="K75" s="403"/>
      <c r="L75" s="403"/>
      <c r="M75" s="403"/>
      <c r="N75" s="403"/>
      <c r="O75" s="416"/>
      <c r="P75" s="417"/>
      <c r="Q75" s="405"/>
      <c r="R75" s="406"/>
      <c r="S75" s="405">
        <f>IF(NOT(ISERROR(MATCH(R75,_xlfn.ANCHORARRAY(G86),0))),Q88&amp;"Por favor no seleccionar los criterios de impacto",R75)</f>
        <v>0</v>
      </c>
      <c r="T75" s="417"/>
      <c r="U75" s="405"/>
      <c r="V75" s="418"/>
      <c r="W75" s="149">
        <v>4</v>
      </c>
      <c r="X75" s="149"/>
      <c r="Y75" s="149"/>
      <c r="Z75" s="336"/>
      <c r="AA75" s="304" t="str">
        <f t="shared" si="99"/>
        <v xml:space="preserve">  </v>
      </c>
      <c r="AB75" s="126" t="str">
        <f t="shared" si="98"/>
        <v/>
      </c>
      <c r="AC75" s="127"/>
      <c r="AD75" s="127"/>
      <c r="AE75" s="128" t="str">
        <f t="shared" si="100"/>
        <v/>
      </c>
      <c r="AF75" s="127"/>
      <c r="AG75" s="127"/>
      <c r="AH75" s="127"/>
      <c r="AI75" s="129" t="str">
        <f t="shared" ref="AI75:AI77" si="105">IFERROR(IF(AND(AB74="Probabilidad",AB75="Probabilidad"),(AK74-(+AK74*AE75)),IF(AND(AB74="Impacto",AB75="Probabilidad"),(AK73-(+AK73*AE75)),IF(AB75="Impacto",AK74,""))),"")</f>
        <v/>
      </c>
      <c r="AJ75" s="130" t="str">
        <f t="shared" si="101"/>
        <v/>
      </c>
      <c r="AK75" s="128" t="str">
        <f t="shared" si="102"/>
        <v/>
      </c>
      <c r="AL75" s="130" t="str">
        <f t="shared" si="103"/>
        <v/>
      </c>
      <c r="AM75" s="128" t="str">
        <f t="shared" ref="AM75:AM77" si="106">IFERROR(IF(AND(AB74="Impacto",AB75="Impacto"),(AM74-(+AM74*AE75)),IF(AND(AB74="Probabilidad",AB75="Impacto"),(AM73-(+AM73*AE75)),IF(AB75="Probabilidad",AM74,""))),"")</f>
        <v/>
      </c>
      <c r="AN75" s="131" t="str">
        <f>IFERROR(IF(OR(AND(AJ75="Muy Baja",AL75="Leve"),AND(AJ75="Muy Baja",AL75="Menor"),AND(AJ75="Baja",AL75="Leve")),"Bajo",IF(OR(AND(AJ75="Muy baja",AL75="Moderado"),AND(AJ75="Baja",AL75="Menor"),AND(AJ75="Baja",AL75="Moderado"),AND(AJ75="Media",AL75="Leve"),AND(AJ75="Media",AL75="Menor"),AND(AJ75="Media",AL75="Moderado"),AND(AJ75="Alta",AL75="Leve"),AND(AJ75="Alta",AL75="Menor")),"Moderado",IF(OR(AND(AJ75="Muy Baja",AL75="Mayor"),AND(AJ75="Baja",AL75="Mayor"),AND(AJ75="Media",AL75="Mayor"),AND(AJ75="Alta",AL75="Moderado"),AND(AJ75="Alta",AL75="Mayor"),AND(AJ75="Muy Alta",AL75="Leve"),AND(AJ75="Muy Alta",AL75="Menor"),AND(AJ75="Muy Alta",AL75="Moderado"),AND(AJ75="Muy Alta",AL75="Mayor")),"Alto",IF(OR(AND(AJ75="Muy Baja",AL75="Catastrófico"),AND(AJ75="Baja",AL75="Catastrófico"),AND(AJ75="Media",AL75="Catastrófico"),AND(AJ75="Alta",AL75="Catastrófico"),AND(AJ75="Muy Alta",AL75="Catastrófico")),"Extremo","")))),"")</f>
        <v/>
      </c>
      <c r="AO75" s="132"/>
      <c r="AP75" s="304"/>
      <c r="AQ75" s="304"/>
      <c r="AR75" s="304"/>
      <c r="AS75" s="304"/>
      <c r="AT75" s="403"/>
      <c r="AU75" s="403"/>
      <c r="AV75" s="403"/>
    </row>
    <row r="76" spans="1:49" x14ac:dyDescent="0.2">
      <c r="A76" s="398"/>
      <c r="B76" s="399"/>
      <c r="C76" s="423"/>
      <c r="D76" s="401"/>
      <c r="E76" s="401"/>
      <c r="F76" s="401"/>
      <c r="G76" s="401"/>
      <c r="H76" s="400"/>
      <c r="I76" s="403"/>
      <c r="J76" s="403"/>
      <c r="K76" s="403"/>
      <c r="L76" s="403"/>
      <c r="M76" s="403"/>
      <c r="N76" s="403"/>
      <c r="O76" s="416"/>
      <c r="P76" s="417"/>
      <c r="Q76" s="405"/>
      <c r="R76" s="406"/>
      <c r="S76" s="405">
        <f>IF(NOT(ISERROR(MATCH(R76,_xlfn.ANCHORARRAY(G87),0))),Q89&amp;"Por favor no seleccionar los criterios de impacto",R76)</f>
        <v>0</v>
      </c>
      <c r="T76" s="417"/>
      <c r="U76" s="405"/>
      <c r="V76" s="418"/>
      <c r="W76" s="149">
        <v>5</v>
      </c>
      <c r="X76" s="149"/>
      <c r="Y76" s="149"/>
      <c r="Z76" s="336"/>
      <c r="AA76" s="304" t="str">
        <f t="shared" si="99"/>
        <v xml:space="preserve">  </v>
      </c>
      <c r="AB76" s="126" t="str">
        <f t="shared" si="98"/>
        <v/>
      </c>
      <c r="AC76" s="127"/>
      <c r="AD76" s="127"/>
      <c r="AE76" s="128" t="str">
        <f t="shared" si="100"/>
        <v/>
      </c>
      <c r="AF76" s="127"/>
      <c r="AG76" s="127"/>
      <c r="AH76" s="127"/>
      <c r="AI76" s="129" t="str">
        <f t="shared" si="105"/>
        <v/>
      </c>
      <c r="AJ76" s="130" t="str">
        <f t="shared" si="101"/>
        <v/>
      </c>
      <c r="AK76" s="128" t="str">
        <f t="shared" si="102"/>
        <v/>
      </c>
      <c r="AL76" s="130" t="str">
        <f t="shared" si="103"/>
        <v/>
      </c>
      <c r="AM76" s="128" t="str">
        <f t="shared" si="106"/>
        <v/>
      </c>
      <c r="AN76" s="131" t="str">
        <f t="shared" si="104"/>
        <v/>
      </c>
      <c r="AO76" s="132"/>
      <c r="AP76" s="304"/>
      <c r="AQ76" s="304"/>
      <c r="AR76" s="304"/>
      <c r="AS76" s="304"/>
      <c r="AT76" s="403"/>
      <c r="AU76" s="403"/>
      <c r="AV76" s="403"/>
    </row>
    <row r="77" spans="1:49" x14ac:dyDescent="0.2">
      <c r="A77" s="398"/>
      <c r="B77" s="399"/>
      <c r="C77" s="423"/>
      <c r="D77" s="401"/>
      <c r="E77" s="401"/>
      <c r="F77" s="401"/>
      <c r="G77" s="401"/>
      <c r="H77" s="400"/>
      <c r="I77" s="404"/>
      <c r="J77" s="404"/>
      <c r="K77" s="404"/>
      <c r="L77" s="404"/>
      <c r="M77" s="404"/>
      <c r="N77" s="404"/>
      <c r="O77" s="416"/>
      <c r="P77" s="417"/>
      <c r="Q77" s="405"/>
      <c r="R77" s="406"/>
      <c r="S77" s="405">
        <f>IF(NOT(ISERROR(MATCH(R77,_xlfn.ANCHORARRAY(G88),0))),Q90&amp;"Por favor no seleccionar los criterios de impacto",R77)</f>
        <v>0</v>
      </c>
      <c r="T77" s="417"/>
      <c r="U77" s="405"/>
      <c r="V77" s="418"/>
      <c r="W77" s="149">
        <v>6</v>
      </c>
      <c r="X77" s="149"/>
      <c r="Y77" s="149"/>
      <c r="Z77" s="336"/>
      <c r="AA77" s="304" t="str">
        <f t="shared" si="99"/>
        <v xml:space="preserve">  </v>
      </c>
      <c r="AB77" s="126" t="str">
        <f t="shared" si="98"/>
        <v/>
      </c>
      <c r="AC77" s="127"/>
      <c r="AD77" s="127"/>
      <c r="AE77" s="128" t="str">
        <f t="shared" si="100"/>
        <v/>
      </c>
      <c r="AF77" s="127"/>
      <c r="AG77" s="127"/>
      <c r="AH77" s="127"/>
      <c r="AI77" s="129" t="str">
        <f t="shared" si="105"/>
        <v/>
      </c>
      <c r="AJ77" s="130" t="str">
        <f t="shared" si="101"/>
        <v/>
      </c>
      <c r="AK77" s="128" t="str">
        <f t="shared" si="102"/>
        <v/>
      </c>
      <c r="AL77" s="130" t="str">
        <f t="shared" si="103"/>
        <v/>
      </c>
      <c r="AM77" s="128" t="str">
        <f t="shared" si="106"/>
        <v/>
      </c>
      <c r="AN77" s="131" t="str">
        <f t="shared" si="104"/>
        <v/>
      </c>
      <c r="AO77" s="132"/>
      <c r="AP77" s="304"/>
      <c r="AQ77" s="304"/>
      <c r="AR77" s="304"/>
      <c r="AS77" s="304"/>
      <c r="AT77" s="404"/>
      <c r="AU77" s="404"/>
      <c r="AV77" s="404"/>
    </row>
    <row r="78" spans="1:49" ht="69.75" customHeight="1" x14ac:dyDescent="0.2">
      <c r="A78" s="398">
        <v>12</v>
      </c>
      <c r="B78" s="399" t="s">
        <v>553</v>
      </c>
      <c r="C78" s="423" t="s">
        <v>36</v>
      </c>
      <c r="D78" s="435" t="s">
        <v>829</v>
      </c>
      <c r="E78" s="423" t="s">
        <v>830</v>
      </c>
      <c r="F78" s="423" t="s">
        <v>831</v>
      </c>
      <c r="G78" s="401" t="str">
        <f>+CONCATENATE(C78," ",D78," ",E78)</f>
        <v>Posibilidad de afectación económica por baja disponibilidad operativa de vehículos, maquinaria, equipos y plantas industriales, afectando el cumplimiento de las metas establecidas en la UAERMV debido a la falta de seguimiento a los mantenimientos realizados y al aumento de la demanda operativa</v>
      </c>
      <c r="H78" s="400" t="s">
        <v>391</v>
      </c>
      <c r="I78" s="402" t="s">
        <v>59</v>
      </c>
      <c r="J78" s="423" t="s">
        <v>832</v>
      </c>
      <c r="K78" s="423" t="s">
        <v>833</v>
      </c>
      <c r="L78" s="432" t="s">
        <v>834</v>
      </c>
      <c r="M78" s="402" t="s">
        <v>63</v>
      </c>
      <c r="N78" s="402" t="s">
        <v>42</v>
      </c>
      <c r="O78" s="416">
        <v>12</v>
      </c>
      <c r="P78" s="417" t="str">
        <f>IF(O78&lt;=0,"",IF(O78&lt;=2,"Muy Baja",IF(O78&lt;=24,"Baja",IF(O78&lt;=500,"Media",IF(O78&lt;=5000,"Alta","Muy Alta")))))</f>
        <v>Baja</v>
      </c>
      <c r="Q78" s="405">
        <f>IF(P78="","",IF(P78="Muy Baja",0.2,IF(P78="Baja",0.4,IF(P78="Media",0.6,IF(P78="Alta",0.8,IF(P78="Muy Alta",1,))))))</f>
        <v>0.4</v>
      </c>
      <c r="R78" s="406" t="s">
        <v>428</v>
      </c>
      <c r="S78" s="405" t="str">
        <f>IF(NOT(ISERROR(MATCH(R78,'[2]Tabla Impacto'!$B$245:$B$247,0))),'[2]Tabla Impacto'!$F$224&amp;"Por favor no seleccionar los criterios de impacto(Afectación Económica o presupuestal y Pérdida Reputacional)",R78)</f>
        <v xml:space="preserve">     El riesgo afecta la imagen de la entidad con algunos usuarios de relevancia frente al logro de los objetivos</v>
      </c>
      <c r="T78" s="417" t="str">
        <f>IF(OR(S78='[2]Tabla Impacto'!$C$12,S78='[2]Tabla Impacto'!$D$12),"Leve",IF(OR(S78='[2]Tabla Impacto'!$C$13,S78='[2]Tabla Impacto'!$D$13),"Menor",IF(OR(S78='[2]Tabla Impacto'!$C$14,S78='[2]Tabla Impacto'!$D$14),"Moderado",IF(OR(S78='[2]Tabla Impacto'!$C$15,S78='[2]Tabla Impacto'!$D$15),"Mayor",IF(OR(S78='[2]Tabla Impacto'!$C$16,S78='[2]Tabla Impacto'!$D$16),"Catastrófico","")))))</f>
        <v>Moderado</v>
      </c>
      <c r="U78" s="405">
        <f>IF(T78="","",IF(T78="Leve",0.2,IF(T78="Menor",0.4,IF(T78="Moderado",0.6,IF(T78="Mayor",0.8,IF(T78="Catastrófico",1,))))))</f>
        <v>0.6</v>
      </c>
      <c r="V78" s="418" t="str">
        <f>IF(OR(AND(P78="Muy Baja",T78="Leve"),AND(P78="Muy Baja",T78="Menor"),AND(P78="Baja",T78="Leve")),"Bajo",IF(OR(AND(P78="Muy baja",T78="Moderado"),AND(P78="Baja",T78="Menor"),AND(P78="Baja",T78="Moderado"),AND(P78="Media",T78="Leve"),AND(P78="Media",T78="Menor"),AND(P78="Media",T78="Moderado"),AND(P78="Alta",T78="Leve"),AND(P78="Alta",T78="Menor")),"Moderado",IF(OR(AND(P78="Muy Baja",T78="Mayor"),AND(P78="Baja",T78="Mayor"),AND(P78="Media",T78="Mayor"),AND(P78="Alta",T78="Moderado"),AND(P78="Alta",T78="Mayor"),AND(P78="Muy Alta",T78="Leve"),AND(P78="Muy Alta",T78="Menor"),AND(P78="Muy Alta",T78="Moderado"),AND(P78="Muy Alta",T78="Mayor")),"Alto",IF(OR(AND(P78="Muy Baja",T78="Catastrófico"),AND(P78="Baja",T78="Catastrófico"),AND(P78="Media",T78="Catastrófico"),AND(P78="Alta",T78="Catastrófico"),AND(P78="Muy Alta",T78="Catastrófico")),"Extremo",""))))</f>
        <v>Moderado</v>
      </c>
      <c r="W78" s="149">
        <v>1</v>
      </c>
      <c r="X78" s="182" t="s">
        <v>835</v>
      </c>
      <c r="Y78" s="182" t="s">
        <v>52</v>
      </c>
      <c r="Z78" s="182" t="s">
        <v>836</v>
      </c>
      <c r="AA78" s="304" t="str">
        <f t="shared" si="99"/>
        <v>El designado por la Gerencia de Maquinaria y equipos Revisa Mensualmente, en la mesa de trabajo, se verifica el correcto diligenciamiento de los formatos (Consolidado de Maquinaria, Vehículos y Equipos) y (Base de Datos de Control de Mantenimiento Preventivo por horas, kilómetros o m³ producidos). Como evidencia, se deja el acta de seguimiento correspondiente. en caso de encontrar desviaciones se registran en el acta y se deja evidencia de las  acciones correctivas adoptadas.</v>
      </c>
      <c r="AB78" s="126" t="str">
        <f>IF(OR(AC78="Preventivo",AC78="Detectivo"),"Probabilidad",IF(AC78="Correctivo","Impacto",""))</f>
        <v>Probabilidad</v>
      </c>
      <c r="AC78" s="127" t="s">
        <v>393</v>
      </c>
      <c r="AD78" s="127" t="s">
        <v>394</v>
      </c>
      <c r="AE78" s="128" t="str">
        <f>IF(AND(AC78="Preventivo",AD78="Automático"),"50%",IF(AND(AC78="Preventivo",AD78="Manual"),"40%",IF(AND(AC78="Detectivo",AD78="Automático"),"40%",IF(AND(AC78="Detectivo",AD78="Manual"),"30%",IF(AND(AC78="Correctivo",AD78="Automático"),"35%",IF(AND(AC78="Correctivo",AD78="Manual"),"25%",""))))))</f>
        <v>30%</v>
      </c>
      <c r="AF78" s="127" t="s">
        <v>395</v>
      </c>
      <c r="AG78" s="127" t="s">
        <v>396</v>
      </c>
      <c r="AH78" s="127" t="s">
        <v>397</v>
      </c>
      <c r="AI78" s="129">
        <f>IFERROR(IF(AB78="Probabilidad",(Q78-(+Q78*AE78)),IF(AB78="Impacto",Q78,"")),"")</f>
        <v>0.28000000000000003</v>
      </c>
      <c r="AJ78" s="130" t="str">
        <f>IFERROR(IF(AI78="","",IF(AI78&lt;=0.2,"Muy Baja",IF(AI78&lt;=0.4,"Baja",IF(AI78&lt;=0.6,"Media",IF(AI78&lt;=0.8,"Alta","Muy Alta"))))),"")</f>
        <v>Baja</v>
      </c>
      <c r="AK78" s="128">
        <f>+AI78</f>
        <v>0.28000000000000003</v>
      </c>
      <c r="AL78" s="130" t="str">
        <f>IFERROR(IF(AM78="","",IF(AM78&lt;=0.2,"Leve",IF(AM78&lt;=0.4,"Menor",IF(AM78&lt;=0.6,"Moderado",IF(AM78&lt;=0.8,"Mayor","Catastrófico"))))),"")</f>
        <v>Moderado</v>
      </c>
      <c r="AM78" s="128">
        <f t="shared" ref="AM78" si="107">IFERROR(IF(AB78="Impacto",(U78-(+U78*AE78)),IF(AB78="Probabilidad",U78,"")),"")</f>
        <v>0.6</v>
      </c>
      <c r="AN78" s="131" t="str">
        <f>IFERROR(IF(OR(AND(AJ78="Muy Baja",AL78="Leve"),AND(AJ78="Muy Baja",AL78="Menor"),AND(AJ78="Baja",AL78="Leve")),"Bajo",IF(OR(AND(AJ78="Muy baja",AL78="Moderado"),AND(AJ78="Baja",AL78="Menor"),AND(AJ78="Baja",AL78="Moderado"),AND(AJ78="Media",AL78="Leve"),AND(AJ78="Media",AL78="Menor"),AND(AJ78="Media",AL78="Moderado"),AND(AJ78="Alta",AL78="Leve"),AND(AJ78="Alta",AL78="Menor")),"Moderado",IF(OR(AND(AJ78="Muy Baja",AL78="Mayor"),AND(AJ78="Baja",AL78="Mayor"),AND(AJ78="Media",AL78="Mayor"),AND(AJ78="Alta",AL78="Moderado"),AND(AJ78="Alta",AL78="Mayor"),AND(AJ78="Muy Alta",AL78="Leve"),AND(AJ78="Muy Alta",AL78="Menor"),AND(AJ78="Muy Alta",AL78="Moderado"),AND(AJ78="Muy Alta",AL78="Mayor")),"Alto",IF(OR(AND(AJ78="Muy Baja",AL78="Catastrófico"),AND(AJ78="Baja",AL78="Catastrófico"),AND(AJ78="Media",AL78="Catastrófico"),AND(AJ78="Alta",AL78="Catastrófico"),AND(AJ78="Muy Alta",AL78="Catastrófico")),"Extremo","")))),"")</f>
        <v>Moderado</v>
      </c>
      <c r="AO78" s="132"/>
      <c r="AP78" s="304" t="s">
        <v>837</v>
      </c>
      <c r="AQ78" s="304" t="s">
        <v>838</v>
      </c>
      <c r="AR78" s="304" t="s">
        <v>839</v>
      </c>
      <c r="AS78" s="347" t="s">
        <v>599</v>
      </c>
      <c r="AT78" s="400" t="s">
        <v>840</v>
      </c>
      <c r="AU78" s="402" t="s">
        <v>841</v>
      </c>
      <c r="AV78" s="400" t="s">
        <v>842</v>
      </c>
    </row>
    <row r="79" spans="1:49" ht="69.75" customHeight="1" x14ac:dyDescent="0.2">
      <c r="A79" s="398"/>
      <c r="B79" s="399"/>
      <c r="C79" s="423"/>
      <c r="D79" s="436"/>
      <c r="E79" s="423"/>
      <c r="F79" s="423"/>
      <c r="G79" s="401"/>
      <c r="H79" s="400"/>
      <c r="I79" s="403"/>
      <c r="J79" s="423"/>
      <c r="K79" s="423"/>
      <c r="L79" s="433"/>
      <c r="M79" s="403"/>
      <c r="N79" s="403"/>
      <c r="O79" s="416"/>
      <c r="P79" s="417"/>
      <c r="Q79" s="405"/>
      <c r="R79" s="406"/>
      <c r="S79" s="405">
        <f>IF(NOT(ISERROR(MATCH(R79,_xlfn.ANCHORARRAY(G90),0))),Q92&amp;"Por favor no seleccionar los criterios de impacto",R79)</f>
        <v>0</v>
      </c>
      <c r="T79" s="417"/>
      <c r="U79" s="405"/>
      <c r="V79" s="418"/>
      <c r="W79" s="149">
        <v>2</v>
      </c>
      <c r="X79" s="182" t="s">
        <v>835</v>
      </c>
      <c r="Y79" s="149" t="s">
        <v>52</v>
      </c>
      <c r="Z79" s="182" t="s">
        <v>843</v>
      </c>
      <c r="AA79" s="304" t="str">
        <f t="shared" si="99"/>
        <v>El designado por la Gerencia de Maquinaria y equipos Revisa Mensualmente se gestiona la información registrada en el documento interno (Base de Datos de Órdenes de Mantenimiento) y en el (Formato de Reporte de Necesidades de Mantenimiento). Como evidencia, se elabora un acta de reunión en la que se documentan las acciones realizadas, las necesidades identificadas y las desviaciones detectadas</v>
      </c>
      <c r="AB79" s="126" t="str">
        <f>IF(OR(AC79="Preventivo",AC79="Detectivo"),"Probabilidad",IF(AC79="Correctivo","Impacto",""))</f>
        <v>Probabilidad</v>
      </c>
      <c r="AC79" s="127" t="s">
        <v>393</v>
      </c>
      <c r="AD79" s="127" t="s">
        <v>394</v>
      </c>
      <c r="AE79" s="128" t="str">
        <f t="shared" ref="AE79:AE83" si="108">IF(AND(AC79="Preventivo",AD79="Automático"),"50%",IF(AND(AC79="Preventivo",AD79="Manual"),"40%",IF(AND(AC79="Detectivo",AD79="Automático"),"40%",IF(AND(AC79="Detectivo",AD79="Manual"),"30%",IF(AND(AC79="Correctivo",AD79="Automático"),"35%",IF(AND(AC79="Correctivo",AD79="Manual"),"25%",""))))))</f>
        <v>30%</v>
      </c>
      <c r="AF79" s="127" t="s">
        <v>395</v>
      </c>
      <c r="AG79" s="127" t="s">
        <v>396</v>
      </c>
      <c r="AH79" s="127" t="s">
        <v>397</v>
      </c>
      <c r="AI79" s="129">
        <f>IFERROR(IF(AND(AB78="Probabilidad",AB79="Probabilidad"),(AK78-(+AK78*AE79)),IF(AB79="Probabilidad",(Q78-(+Q78*AE79)),IF(AB79="Impacto",AK78,""))),"")</f>
        <v>0.19600000000000001</v>
      </c>
      <c r="AJ79" s="130" t="str">
        <f t="shared" si="101"/>
        <v>Muy Baja</v>
      </c>
      <c r="AK79" s="128">
        <f t="shared" ref="AK79:AK83" si="109">+AI79</f>
        <v>0.19600000000000001</v>
      </c>
      <c r="AL79" s="130" t="str">
        <f t="shared" si="103"/>
        <v>Moderado</v>
      </c>
      <c r="AM79" s="128">
        <f t="shared" ref="AM79" si="110">IFERROR(IF(AND(AB78="Impacto",AB79="Impacto"),(AM78-(+AM78*AE79)),IF(AB79="Impacto",($U$10-(+$U$10*AE79)),IF(AB79="Probabilidad",AM78,""))),"")</f>
        <v>0.6</v>
      </c>
      <c r="AN79" s="131" t="str">
        <f t="shared" ref="AN79:AN80" si="111">IFERROR(IF(OR(AND(AJ79="Muy Baja",AL79="Leve"),AND(AJ79="Muy Baja",AL79="Menor"),AND(AJ79="Baja",AL79="Leve")),"Bajo",IF(OR(AND(AJ79="Muy baja",AL79="Moderado"),AND(AJ79="Baja",AL79="Menor"),AND(AJ79="Baja",AL79="Moderado"),AND(AJ79="Media",AL79="Leve"),AND(AJ79="Media",AL79="Menor"),AND(AJ79="Media",AL79="Moderado"),AND(AJ79="Alta",AL79="Leve"),AND(AJ79="Alta",AL79="Menor")),"Moderado",IF(OR(AND(AJ79="Muy Baja",AL79="Mayor"),AND(AJ79="Baja",AL79="Mayor"),AND(AJ79="Media",AL79="Mayor"),AND(AJ79="Alta",AL79="Moderado"),AND(AJ79="Alta",AL79="Mayor"),AND(AJ79="Muy Alta",AL79="Leve"),AND(AJ79="Muy Alta",AL79="Menor"),AND(AJ79="Muy Alta",AL79="Moderado"),AND(AJ79="Muy Alta",AL79="Mayor")),"Alto",IF(OR(AND(AJ79="Muy Baja",AL79="Catastrófico"),AND(AJ79="Baja",AL79="Catastrófico"),AND(AJ79="Media",AL79="Catastrófico"),AND(AJ79="Alta",AL79="Catastrófico"),AND(AJ79="Muy Alta",AL79="Catastrófico")),"Extremo","")))),"")</f>
        <v>Moderado</v>
      </c>
      <c r="AO79" s="132" t="s">
        <v>43</v>
      </c>
      <c r="AP79" s="304" t="s">
        <v>844</v>
      </c>
      <c r="AQ79" s="304" t="s">
        <v>845</v>
      </c>
      <c r="AR79" s="304" t="s">
        <v>846</v>
      </c>
      <c r="AS79" s="347" t="s">
        <v>847</v>
      </c>
      <c r="AT79" s="400"/>
      <c r="AU79" s="403"/>
      <c r="AV79" s="400"/>
    </row>
    <row r="80" spans="1:49" x14ac:dyDescent="0.2">
      <c r="A80" s="398"/>
      <c r="B80" s="399"/>
      <c r="C80" s="423"/>
      <c r="D80" s="436"/>
      <c r="E80" s="423"/>
      <c r="F80" s="423"/>
      <c r="G80" s="401"/>
      <c r="H80" s="400"/>
      <c r="I80" s="403"/>
      <c r="J80" s="423"/>
      <c r="K80" s="423"/>
      <c r="L80" s="433"/>
      <c r="M80" s="403"/>
      <c r="N80" s="403"/>
      <c r="O80" s="416"/>
      <c r="P80" s="417"/>
      <c r="Q80" s="405"/>
      <c r="R80" s="406"/>
      <c r="S80" s="405">
        <f>IF(NOT(ISERROR(MATCH(R80,_xlfn.ANCHORARRAY(G91),0))),Q93&amp;"Por favor no seleccionar los criterios de impacto",R80)</f>
        <v>0</v>
      </c>
      <c r="T80" s="417"/>
      <c r="U80" s="405"/>
      <c r="V80" s="418"/>
      <c r="W80" s="149">
        <v>3</v>
      </c>
      <c r="X80" s="149"/>
      <c r="Y80" s="149"/>
      <c r="Z80" s="336"/>
      <c r="AA80" s="304" t="str">
        <f t="shared" si="99"/>
        <v xml:space="preserve">  </v>
      </c>
      <c r="AB80" s="126" t="str">
        <f>IF(OR(AC80="Preventivo",AC80="Detectivo"),"Probabilidad",IF(AC80="Correctivo","Impacto",""))</f>
        <v/>
      </c>
      <c r="AC80" s="127"/>
      <c r="AD80" s="127"/>
      <c r="AE80" s="128" t="str">
        <f t="shared" si="108"/>
        <v/>
      </c>
      <c r="AF80" s="127"/>
      <c r="AG80" s="127"/>
      <c r="AH80" s="127"/>
      <c r="AI80" s="129" t="str">
        <f>IFERROR(IF(AND(AB79="Probabilidad",AB80="Probabilidad"),(AK79-(+AK79*AE80)),IF(AND(AB79="Impacto",AB80="Probabilidad"),(AK78-(+AK78*AE80)),IF(AB80="Impacto",AK79,""))),"")</f>
        <v/>
      </c>
      <c r="AJ80" s="130" t="str">
        <f t="shared" si="101"/>
        <v/>
      </c>
      <c r="AK80" s="128" t="str">
        <f t="shared" si="109"/>
        <v/>
      </c>
      <c r="AL80" s="130" t="str">
        <f t="shared" si="103"/>
        <v/>
      </c>
      <c r="AM80" s="128" t="str">
        <f t="shared" ref="AM80:AM124" si="112">IFERROR(IF(AND(AB79="Impacto",AB80="Impacto"),(AM79-(+AM79*AE80)),IF(AND(AB79="Probabilidad",AB80="Impacto"),(AM78-(+AM78*AE80)),IF(AB80="Probabilidad",AM79,""))),"")</f>
        <v/>
      </c>
      <c r="AN80" s="131" t="str">
        <f t="shared" si="111"/>
        <v/>
      </c>
      <c r="AO80" s="132"/>
      <c r="AP80" s="304"/>
      <c r="AQ80" s="304"/>
      <c r="AR80" s="304"/>
      <c r="AS80" s="304"/>
      <c r="AT80" s="400"/>
      <c r="AU80" s="403"/>
      <c r="AV80" s="400"/>
    </row>
    <row r="81" spans="1:48" x14ac:dyDescent="0.2">
      <c r="A81" s="398"/>
      <c r="B81" s="399"/>
      <c r="C81" s="423"/>
      <c r="D81" s="436"/>
      <c r="E81" s="423"/>
      <c r="F81" s="423"/>
      <c r="G81" s="401"/>
      <c r="H81" s="400"/>
      <c r="I81" s="403"/>
      <c r="J81" s="423"/>
      <c r="K81" s="423"/>
      <c r="L81" s="433"/>
      <c r="M81" s="403"/>
      <c r="N81" s="403"/>
      <c r="O81" s="416"/>
      <c r="P81" s="417"/>
      <c r="Q81" s="405"/>
      <c r="R81" s="406"/>
      <c r="S81" s="405">
        <f>IF(NOT(ISERROR(MATCH(R81,_xlfn.ANCHORARRAY(G92),0))),Q94&amp;"Por favor no seleccionar los criterios de impacto",R81)</f>
        <v>0</v>
      </c>
      <c r="T81" s="417"/>
      <c r="U81" s="405"/>
      <c r="V81" s="418"/>
      <c r="W81" s="149">
        <v>4</v>
      </c>
      <c r="X81" s="149"/>
      <c r="Y81" s="149"/>
      <c r="Z81" s="336"/>
      <c r="AA81" s="304" t="str">
        <f t="shared" si="99"/>
        <v xml:space="preserve">  </v>
      </c>
      <c r="AB81" s="126" t="str">
        <f t="shared" ref="AB81:AB83" si="113">IF(OR(AC81="Preventivo",AC81="Detectivo"),"Probabilidad",IF(AC81="Correctivo","Impacto",""))</f>
        <v/>
      </c>
      <c r="AC81" s="127"/>
      <c r="AD81" s="127"/>
      <c r="AE81" s="128" t="str">
        <f t="shared" si="108"/>
        <v/>
      </c>
      <c r="AF81" s="127"/>
      <c r="AG81" s="127"/>
      <c r="AH81" s="127"/>
      <c r="AI81" s="129" t="str">
        <f t="shared" ref="AI81:AI83" si="114">IFERROR(IF(AND(AB80="Probabilidad",AB81="Probabilidad"),(AK80-(+AK80*AE81)),IF(AND(AB80="Impacto",AB81="Probabilidad"),(AK79-(+AK79*AE81)),IF(AB81="Impacto",AK80,""))),"")</f>
        <v/>
      </c>
      <c r="AJ81" s="130" t="str">
        <f t="shared" si="101"/>
        <v/>
      </c>
      <c r="AK81" s="128" t="str">
        <f t="shared" si="109"/>
        <v/>
      </c>
      <c r="AL81" s="130" t="str">
        <f t="shared" si="103"/>
        <v/>
      </c>
      <c r="AM81" s="128" t="str">
        <f t="shared" si="112"/>
        <v/>
      </c>
      <c r="AN81" s="131" t="str">
        <f>IFERROR(IF(OR(AND(AJ81="Muy Baja",AL81="Leve"),AND(AJ81="Muy Baja",AL81="Menor"),AND(AJ81="Baja",AL81="Leve")),"Bajo",IF(OR(AND(AJ81="Muy baja",AL81="Moderado"),AND(AJ81="Baja",AL81="Menor"),AND(AJ81="Baja",AL81="Moderado"),AND(AJ81="Media",AL81="Leve"),AND(AJ81="Media",AL81="Menor"),AND(AJ81="Media",AL81="Moderado"),AND(AJ81="Alta",AL81="Leve"),AND(AJ81="Alta",AL81="Menor")),"Moderado",IF(OR(AND(AJ81="Muy Baja",AL81="Mayor"),AND(AJ81="Baja",AL81="Mayor"),AND(AJ81="Media",AL81="Mayor"),AND(AJ81="Alta",AL81="Moderado"),AND(AJ81="Alta",AL81="Mayor"),AND(AJ81="Muy Alta",AL81="Leve"),AND(AJ81="Muy Alta",AL81="Menor"),AND(AJ81="Muy Alta",AL81="Moderado"),AND(AJ81="Muy Alta",AL81="Mayor")),"Alto",IF(OR(AND(AJ81="Muy Baja",AL81="Catastrófico"),AND(AJ81="Baja",AL81="Catastrófico"),AND(AJ81="Media",AL81="Catastrófico"),AND(AJ81="Alta",AL81="Catastrófico"),AND(AJ81="Muy Alta",AL81="Catastrófico")),"Extremo","")))),"")</f>
        <v/>
      </c>
      <c r="AO81" s="132"/>
      <c r="AP81" s="304"/>
      <c r="AQ81" s="304"/>
      <c r="AR81" s="304"/>
      <c r="AS81" s="304"/>
      <c r="AT81" s="400"/>
      <c r="AU81" s="403"/>
      <c r="AV81" s="400"/>
    </row>
    <row r="82" spans="1:48" x14ac:dyDescent="0.2">
      <c r="A82" s="398"/>
      <c r="B82" s="399"/>
      <c r="C82" s="423"/>
      <c r="D82" s="436"/>
      <c r="E82" s="423"/>
      <c r="F82" s="423"/>
      <c r="G82" s="401"/>
      <c r="H82" s="400"/>
      <c r="I82" s="403"/>
      <c r="J82" s="423"/>
      <c r="K82" s="423"/>
      <c r="L82" s="433"/>
      <c r="M82" s="403"/>
      <c r="N82" s="403"/>
      <c r="O82" s="416"/>
      <c r="P82" s="417"/>
      <c r="Q82" s="405"/>
      <c r="R82" s="406"/>
      <c r="S82" s="405">
        <f>IF(NOT(ISERROR(MATCH(R82,_xlfn.ANCHORARRAY(G93),0))),Q95&amp;"Por favor no seleccionar los criterios de impacto",R82)</f>
        <v>0</v>
      </c>
      <c r="T82" s="417"/>
      <c r="U82" s="405"/>
      <c r="V82" s="418"/>
      <c r="W82" s="149">
        <v>5</v>
      </c>
      <c r="X82" s="149"/>
      <c r="Y82" s="149"/>
      <c r="Z82" s="336"/>
      <c r="AA82" s="304" t="str">
        <f t="shared" si="99"/>
        <v xml:space="preserve">  </v>
      </c>
      <c r="AB82" s="126" t="str">
        <f t="shared" si="113"/>
        <v/>
      </c>
      <c r="AC82" s="127"/>
      <c r="AD82" s="127"/>
      <c r="AE82" s="128" t="str">
        <f t="shared" si="108"/>
        <v/>
      </c>
      <c r="AF82" s="127"/>
      <c r="AG82" s="127"/>
      <c r="AH82" s="127"/>
      <c r="AI82" s="129" t="str">
        <f t="shared" si="114"/>
        <v/>
      </c>
      <c r="AJ82" s="130" t="str">
        <f t="shared" si="101"/>
        <v/>
      </c>
      <c r="AK82" s="128" t="str">
        <f t="shared" si="109"/>
        <v/>
      </c>
      <c r="AL82" s="130" t="str">
        <f t="shared" si="103"/>
        <v/>
      </c>
      <c r="AM82" s="128" t="str">
        <f t="shared" si="112"/>
        <v/>
      </c>
      <c r="AN82" s="131" t="str">
        <f t="shared" ref="AN82:AN83" si="115">IFERROR(IF(OR(AND(AJ82="Muy Baja",AL82="Leve"),AND(AJ82="Muy Baja",AL82="Menor"),AND(AJ82="Baja",AL82="Leve")),"Bajo",IF(OR(AND(AJ82="Muy baja",AL82="Moderado"),AND(AJ82="Baja",AL82="Menor"),AND(AJ82="Baja",AL82="Moderado"),AND(AJ82="Media",AL82="Leve"),AND(AJ82="Media",AL82="Menor"),AND(AJ82="Media",AL82="Moderado"),AND(AJ82="Alta",AL82="Leve"),AND(AJ82="Alta",AL82="Menor")),"Moderado",IF(OR(AND(AJ82="Muy Baja",AL82="Mayor"),AND(AJ82="Baja",AL82="Mayor"),AND(AJ82="Media",AL82="Mayor"),AND(AJ82="Alta",AL82="Moderado"),AND(AJ82="Alta",AL82="Mayor"),AND(AJ82="Muy Alta",AL82="Leve"),AND(AJ82="Muy Alta",AL82="Menor"),AND(AJ82="Muy Alta",AL82="Moderado"),AND(AJ82="Muy Alta",AL82="Mayor")),"Alto",IF(OR(AND(AJ82="Muy Baja",AL82="Catastrófico"),AND(AJ82="Baja",AL82="Catastrófico"),AND(AJ82="Media",AL82="Catastrófico"),AND(AJ82="Alta",AL82="Catastrófico"),AND(AJ82="Muy Alta",AL82="Catastrófico")),"Extremo","")))),"")</f>
        <v/>
      </c>
      <c r="AO82" s="132"/>
      <c r="AP82" s="304"/>
      <c r="AQ82" s="304"/>
      <c r="AR82" s="304"/>
      <c r="AS82" s="304"/>
      <c r="AT82" s="400"/>
      <c r="AU82" s="403"/>
      <c r="AV82" s="400"/>
    </row>
    <row r="83" spans="1:48" x14ac:dyDescent="0.2">
      <c r="A83" s="398"/>
      <c r="B83" s="399"/>
      <c r="C83" s="423"/>
      <c r="D83" s="437"/>
      <c r="E83" s="423"/>
      <c r="F83" s="423"/>
      <c r="G83" s="401"/>
      <c r="H83" s="400"/>
      <c r="I83" s="404"/>
      <c r="J83" s="423"/>
      <c r="K83" s="423"/>
      <c r="L83" s="438"/>
      <c r="M83" s="404"/>
      <c r="N83" s="404"/>
      <c r="O83" s="416"/>
      <c r="P83" s="417"/>
      <c r="Q83" s="405"/>
      <c r="R83" s="406"/>
      <c r="S83" s="405">
        <f>IF(NOT(ISERROR(MATCH(R83,_xlfn.ANCHORARRAY(G94),0))),Q96&amp;"Por favor no seleccionar los criterios de impacto",R83)</f>
        <v>0</v>
      </c>
      <c r="T83" s="417"/>
      <c r="U83" s="405"/>
      <c r="V83" s="418"/>
      <c r="W83" s="149">
        <v>6</v>
      </c>
      <c r="X83" s="149"/>
      <c r="Y83" s="149"/>
      <c r="Z83" s="336"/>
      <c r="AA83" s="304" t="str">
        <f t="shared" si="99"/>
        <v xml:space="preserve">  </v>
      </c>
      <c r="AB83" s="126" t="str">
        <f t="shared" si="113"/>
        <v/>
      </c>
      <c r="AC83" s="127"/>
      <c r="AD83" s="127"/>
      <c r="AE83" s="128" t="str">
        <f t="shared" si="108"/>
        <v/>
      </c>
      <c r="AF83" s="127"/>
      <c r="AG83" s="127"/>
      <c r="AH83" s="127"/>
      <c r="AI83" s="129" t="str">
        <f t="shared" si="114"/>
        <v/>
      </c>
      <c r="AJ83" s="130" t="str">
        <f t="shared" si="101"/>
        <v/>
      </c>
      <c r="AK83" s="128" t="str">
        <f t="shared" si="109"/>
        <v/>
      </c>
      <c r="AL83" s="130" t="str">
        <f t="shared" si="103"/>
        <v/>
      </c>
      <c r="AM83" s="128" t="str">
        <f t="shared" si="112"/>
        <v/>
      </c>
      <c r="AN83" s="131" t="str">
        <f t="shared" si="115"/>
        <v/>
      </c>
      <c r="AO83" s="132"/>
      <c r="AP83" s="304"/>
      <c r="AQ83" s="304"/>
      <c r="AR83" s="304"/>
      <c r="AS83" s="304"/>
      <c r="AT83" s="400"/>
      <c r="AU83" s="404"/>
      <c r="AV83" s="400"/>
    </row>
    <row r="84" spans="1:48" ht="45.75" customHeight="1" x14ac:dyDescent="0.2">
      <c r="A84" s="398">
        <v>13</v>
      </c>
      <c r="B84" s="401" t="s">
        <v>554</v>
      </c>
      <c r="C84" s="423" t="s">
        <v>44</v>
      </c>
      <c r="D84" s="431" t="s">
        <v>848</v>
      </c>
      <c r="E84" s="420" t="s">
        <v>849</v>
      </c>
      <c r="F84" s="423" t="s">
        <v>850</v>
      </c>
      <c r="G84" s="401" t="str">
        <f>+CONCATENATE(C84," ",D84," ",E84)</f>
        <v>Posibilidad de afectación Económica y Reputacional Por Incumplimiento  de la normativa, procedimientos y manuales ambiental, social y SST; Debido al Desconocimiento en los lineamientos y procedimientos  por parte de los colaboradores.
Deficiencia en el seguimiento y control de la aplicación de los procedimientos en las intervenciones de la Entidad. 
Deficiencia en el seguimiento y control de la aplicación de los procedimientos en las intervenciones de la Entidad.</v>
      </c>
      <c r="H84" s="400" t="s">
        <v>391</v>
      </c>
      <c r="I84" s="402" t="s">
        <v>59</v>
      </c>
      <c r="J84" s="423" t="s">
        <v>851</v>
      </c>
      <c r="K84" s="423" t="s">
        <v>852</v>
      </c>
      <c r="L84" s="432" t="s">
        <v>853</v>
      </c>
      <c r="M84" s="402" t="s">
        <v>63</v>
      </c>
      <c r="N84" s="402" t="s">
        <v>42</v>
      </c>
      <c r="O84" s="416">
        <v>48</v>
      </c>
      <c r="P84" s="417" t="str">
        <f>IF(O84&lt;=0,"",IF(O84&lt;=2,"Muy Baja",IF(O84&lt;=24,"Baja",IF(O84&lt;=500,"Media",IF(O84&lt;=5000,"Alta","Muy Alta")))))</f>
        <v>Media</v>
      </c>
      <c r="Q84" s="405">
        <f>IF(P84="","",IF(P84="Muy Baja",0.2,IF(P84="Baja",0.4,IF(P84="Media",0.6,IF(P84="Alta",0.8,IF(P84="Muy Alta",1,))))))</f>
        <v>0.6</v>
      </c>
      <c r="R84" s="406" t="s">
        <v>428</v>
      </c>
      <c r="S84" s="405" t="str">
        <f>IF(NOT(ISERROR(MATCH(R84,'[2]Tabla Impacto'!$B$245:$B$247,0))),'[2]Tabla Impacto'!$F$224&amp;"Por favor no seleccionar los criterios de impacto(Afectación Económica o presupuestal y Pérdida Reputacional)",R84)</f>
        <v xml:space="preserve">     El riesgo afecta la imagen de la entidad con algunos usuarios de relevancia frente al logro de los objetivos</v>
      </c>
      <c r="T84" s="417" t="str">
        <f>IF(OR(S84='[2]Tabla Impacto'!$C$12,S84='[2]Tabla Impacto'!$D$12),"Leve",IF(OR(S84='[2]Tabla Impacto'!$C$13,S84='[2]Tabla Impacto'!$D$13),"Menor",IF(OR(S84='[2]Tabla Impacto'!$C$14,S84='[2]Tabla Impacto'!$D$14),"Moderado",IF(OR(S84='[2]Tabla Impacto'!$C$15,S84='[2]Tabla Impacto'!$D$15),"Mayor",IF(OR(S84='[2]Tabla Impacto'!$C$16,S84='[2]Tabla Impacto'!$D$16),"Catastrófico","")))))</f>
        <v>Moderado</v>
      </c>
      <c r="U84" s="405">
        <f>IF(T84="","",IF(T84="Leve",0.2,IF(T84="Menor",0.4,IF(T84="Moderado",0.6,IF(T84="Mayor",0.8,IF(T84="Catastrófico",1,))))))</f>
        <v>0.6</v>
      </c>
      <c r="V84" s="418" t="str">
        <f>IF(OR(AND(P84="Muy Baja",T84="Leve"),AND(P84="Muy Baja",T84="Menor"),AND(P84="Baja",T84="Leve")),"Bajo",IF(OR(AND(P84="Muy baja",T84="Moderado"),AND(P84="Baja",T84="Menor"),AND(P84="Baja",T84="Moderado"),AND(P84="Media",T84="Leve"),AND(P84="Media",T84="Menor"),AND(P84="Media",T84="Moderado"),AND(P84="Alta",T84="Leve"),AND(P84="Alta",T84="Menor")),"Moderado",IF(OR(AND(P84="Muy Baja",T84="Mayor"),AND(P84="Baja",T84="Mayor"),AND(P84="Media",T84="Mayor"),AND(P84="Alta",T84="Moderado"),AND(P84="Alta",T84="Mayor"),AND(P84="Muy Alta",T84="Leve"),AND(P84="Muy Alta",T84="Menor"),AND(P84="Muy Alta",T84="Moderado"),AND(P84="Muy Alta",T84="Mayor")),"Alto",IF(OR(AND(P84="Muy Baja",T84="Catastrófico"),AND(P84="Baja",T84="Catastrófico"),AND(P84="Media",T84="Catastrófico"),AND(P84="Alta",T84="Catastrófico"),AND(P84="Muy Alta",T84="Catastrófico")),"Extremo",""))))</f>
        <v>Moderado</v>
      </c>
      <c r="W84" s="149">
        <v>1</v>
      </c>
      <c r="X84" s="182" t="s">
        <v>854</v>
      </c>
      <c r="Y84" s="348" t="s">
        <v>37</v>
      </c>
      <c r="Z84" s="182" t="s">
        <v>855</v>
      </c>
      <c r="AA84" s="304" t="str">
        <f t="shared" si="99"/>
        <v xml:space="preserve">Los profesionales designados por el jefe de Servicio a la Ciudadanía y Sostenibilidad (Coordinadores (as)  Ambiental, Social y SST)  Verifica bimestralmente la apropiación de  las sensibilizaciones en las tematicas de los tres componentes (Ambiental; Social y SST) con una evaluación de seis (6) jornadas de sensibilización; lo anterior se realizará mediante un documento  de evaluación y la evidencia será el analisis, como producto de los resultados de las evaluaciones aplicadas. 
En caso de que los resultados de la evaluación no superen el 85% se brindará apoyo personalizado. </v>
      </c>
      <c r="AB84" s="126" t="str">
        <f>IF(OR(AC84="Preventivo",AC84="Detectivo"),"Probabilidad",IF(AC84="Correctivo","Impacto",""))</f>
        <v>Probabilidad</v>
      </c>
      <c r="AC84" s="127" t="s">
        <v>398</v>
      </c>
      <c r="AD84" s="127" t="s">
        <v>394</v>
      </c>
      <c r="AE84" s="128" t="str">
        <f>IF(AND(AC84="Preventivo",AD84="Automático"),"50%",IF(AND(AC84="Preventivo",AD84="Manual"),"40%",IF(AND(AC84="Detectivo",AD84="Automático"),"40%",IF(AND(AC84="Detectivo",AD84="Manual"),"30%",IF(AND(AC84="Correctivo",AD84="Automático"),"35%",IF(AND(AC84="Correctivo",AD84="Manual"),"25%",""))))))</f>
        <v>40%</v>
      </c>
      <c r="AF84" s="127" t="s">
        <v>395</v>
      </c>
      <c r="AG84" s="127" t="s">
        <v>396</v>
      </c>
      <c r="AH84" s="127" t="s">
        <v>397</v>
      </c>
      <c r="AI84" s="129">
        <f>IFERROR(IF(AB84="Probabilidad",(Q84-(+Q84*AE84)),IF(AB84="Impacto",Q84,"")),"")</f>
        <v>0.36</v>
      </c>
      <c r="AJ84" s="130" t="str">
        <f>IFERROR(IF(AI84="","",IF(AI84&lt;=0.2,"Muy Baja",IF(AI84&lt;=0.4,"Baja",IF(AI84&lt;=0.6,"Media",IF(AI84&lt;=0.8,"Alta","Muy Alta"))))),"")</f>
        <v>Baja</v>
      </c>
      <c r="AK84" s="128">
        <f>+AI84</f>
        <v>0.36</v>
      </c>
      <c r="AL84" s="130" t="str">
        <f>IFERROR(IF(AM84="","",IF(AM84&lt;=0.2,"Leve",IF(AM84&lt;=0.4,"Menor",IF(AM84&lt;=0.6,"Moderado",IF(AM84&lt;=0.8,"Mayor","Catastrófico"))))),"")</f>
        <v>Moderado</v>
      </c>
      <c r="AM84" s="128">
        <f t="shared" ref="AM84" si="116">IFERROR(IF(AB84="Impacto",(U84-(+U84*AE84)),IF(AB84="Probabilidad",U84,"")),"")</f>
        <v>0.6</v>
      </c>
      <c r="AN84" s="131" t="str">
        <f>IFERROR(IF(OR(AND(AJ84="Muy Baja",AL84="Leve"),AND(AJ84="Muy Baja",AL84="Menor"),AND(AJ84="Baja",AL84="Leve")),"Bajo",IF(OR(AND(AJ84="Muy baja",AL84="Moderado"),AND(AJ84="Baja",AL84="Menor"),AND(AJ84="Baja",AL84="Moderado"),AND(AJ84="Media",AL84="Leve"),AND(AJ84="Media",AL84="Menor"),AND(AJ84="Media",AL84="Moderado"),AND(AJ84="Alta",AL84="Leve"),AND(AJ84="Alta",AL84="Menor")),"Moderado",IF(OR(AND(AJ84="Muy Baja",AL84="Mayor"),AND(AJ84="Baja",AL84="Mayor"),AND(AJ84="Media",AL84="Mayor"),AND(AJ84="Alta",AL84="Moderado"),AND(AJ84="Alta",AL84="Mayor"),AND(AJ84="Muy Alta",AL84="Leve"),AND(AJ84="Muy Alta",AL84="Menor"),AND(AJ84="Muy Alta",AL84="Moderado"),AND(AJ84="Muy Alta",AL84="Mayor")),"Alto",IF(OR(AND(AJ84="Muy Baja",AL84="Catastrófico"),AND(AJ84="Baja",AL84="Catastrófico"),AND(AJ84="Media",AL84="Catastrófico"),AND(AJ84="Alta",AL84="Catastrófico"),AND(AJ84="Muy Alta",AL84="Catastrófico")),"Extremo","")))),"")</f>
        <v>Moderado</v>
      </c>
      <c r="AO84" s="132"/>
      <c r="AP84" s="349" t="s">
        <v>856</v>
      </c>
      <c r="AQ84" s="304" t="s">
        <v>672</v>
      </c>
      <c r="AR84" s="349" t="s">
        <v>857</v>
      </c>
      <c r="AS84" s="350" t="s">
        <v>858</v>
      </c>
      <c r="AT84" s="400" t="s">
        <v>859</v>
      </c>
      <c r="AU84" s="400" t="s">
        <v>860</v>
      </c>
      <c r="AV84" s="400" t="s">
        <v>861</v>
      </c>
    </row>
    <row r="85" spans="1:48" ht="45.75" customHeight="1" x14ac:dyDescent="0.2">
      <c r="A85" s="398"/>
      <c r="B85" s="401"/>
      <c r="C85" s="423"/>
      <c r="D85" s="421"/>
      <c r="E85" s="421"/>
      <c r="F85" s="423"/>
      <c r="G85" s="401"/>
      <c r="H85" s="400"/>
      <c r="I85" s="403"/>
      <c r="J85" s="423"/>
      <c r="K85" s="423"/>
      <c r="L85" s="433"/>
      <c r="M85" s="403"/>
      <c r="N85" s="403"/>
      <c r="O85" s="416"/>
      <c r="P85" s="417"/>
      <c r="Q85" s="405"/>
      <c r="R85" s="406"/>
      <c r="S85" s="405">
        <f>IF(NOT(ISERROR(MATCH(R85,_xlfn.ANCHORARRAY(G96),0))),Q98&amp;"Por favor no seleccionar los criterios de impacto",R85)</f>
        <v>0</v>
      </c>
      <c r="T85" s="417"/>
      <c r="U85" s="405"/>
      <c r="V85" s="418"/>
      <c r="W85" s="149">
        <v>2</v>
      </c>
      <c r="X85" s="182" t="s">
        <v>862</v>
      </c>
      <c r="Y85" s="351" t="s">
        <v>52</v>
      </c>
      <c r="Z85" s="182" t="s">
        <v>863</v>
      </c>
      <c r="AA85" s="304" t="str">
        <f t="shared" si="99"/>
        <v xml:space="preserve">Los profesionales designados por el Jefe de Servicio a la Ciudadania y Sostenibilidad (Coordinadores (as)  Ambientales, Sociales y SST) Revisa trimestralmente la normatividad aplicable vigente; las evidencias serán las actas de reunión de las revisiones.
En el caso que se identifiquen cambios normativos, se procede a informar al jefe con el fin de tramitar el ajuste respectivo de matriz legal ante la oficina jurídica de la UMV. </v>
      </c>
      <c r="AB85" s="126" t="str">
        <f>IF(OR(AC85="Preventivo",AC85="Detectivo"),"Probabilidad",IF(AC85="Correctivo","Impacto",""))</f>
        <v>Probabilidad</v>
      </c>
      <c r="AC85" s="127" t="s">
        <v>398</v>
      </c>
      <c r="AD85" s="127" t="s">
        <v>394</v>
      </c>
      <c r="AE85" s="128" t="str">
        <f t="shared" ref="AE85:AE89" si="117">IF(AND(AC85="Preventivo",AD85="Automático"),"50%",IF(AND(AC85="Preventivo",AD85="Manual"),"40%",IF(AND(AC85="Detectivo",AD85="Automático"),"40%",IF(AND(AC85="Detectivo",AD85="Manual"),"30%",IF(AND(AC85="Correctivo",AD85="Automático"),"35%",IF(AND(AC85="Correctivo",AD85="Manual"),"25%",""))))))</f>
        <v>40%</v>
      </c>
      <c r="AF85" s="127" t="s">
        <v>395</v>
      </c>
      <c r="AG85" s="127" t="s">
        <v>396</v>
      </c>
      <c r="AH85" s="127" t="s">
        <v>397</v>
      </c>
      <c r="AI85" s="129">
        <f>IFERROR(IF(AND(AB84="Probabilidad",AB85="Probabilidad"),(AK84-(+AK84*AE85)),IF(AB85="Probabilidad",(Q84-(+Q84*AE85)),IF(AB85="Impacto",AK84,""))),"")</f>
        <v>0.216</v>
      </c>
      <c r="AJ85" s="130" t="str">
        <f t="shared" si="101"/>
        <v>Baja</v>
      </c>
      <c r="AK85" s="128">
        <f t="shared" ref="AK85:AK89" si="118">+AI85</f>
        <v>0.216</v>
      </c>
      <c r="AL85" s="130" t="str">
        <f t="shared" si="103"/>
        <v>Moderado</v>
      </c>
      <c r="AM85" s="128">
        <f t="shared" ref="AM85" si="119">IFERROR(IF(AND(AB84="Impacto",AB85="Impacto"),(AM84-(+AM84*AE85)),IF(AB85="Impacto",($U$10-(+$U$10*AE85)),IF(AB85="Probabilidad",AM84,""))),"")</f>
        <v>0.6</v>
      </c>
      <c r="AN85" s="131" t="str">
        <f t="shared" ref="AN85:AN86" si="120">IFERROR(IF(OR(AND(AJ85="Muy Baja",AL85="Leve"),AND(AJ85="Muy Baja",AL85="Menor"),AND(AJ85="Baja",AL85="Leve")),"Bajo",IF(OR(AND(AJ85="Muy baja",AL85="Moderado"),AND(AJ85="Baja",AL85="Menor"),AND(AJ85="Baja",AL85="Moderado"),AND(AJ85="Media",AL85="Leve"),AND(AJ85="Media",AL85="Menor"),AND(AJ85="Media",AL85="Moderado"),AND(AJ85="Alta",AL85="Leve"),AND(AJ85="Alta",AL85="Menor")),"Moderado",IF(OR(AND(AJ85="Muy Baja",AL85="Mayor"),AND(AJ85="Baja",AL85="Mayor"),AND(AJ85="Media",AL85="Mayor"),AND(AJ85="Alta",AL85="Moderado"),AND(AJ85="Alta",AL85="Mayor"),AND(AJ85="Muy Alta",AL85="Leve"),AND(AJ85="Muy Alta",AL85="Menor"),AND(AJ85="Muy Alta",AL85="Moderado"),AND(AJ85="Muy Alta",AL85="Mayor")),"Alto",IF(OR(AND(AJ85="Muy Baja",AL85="Catastrófico"),AND(AJ85="Baja",AL85="Catastrófico"),AND(AJ85="Media",AL85="Catastrófico"),AND(AJ85="Alta",AL85="Catastrófico"),AND(AJ85="Muy Alta",AL85="Catastrófico")),"Extremo","")))),"")</f>
        <v>Moderado</v>
      </c>
      <c r="AO85" s="132"/>
      <c r="AP85" s="352" t="s">
        <v>864</v>
      </c>
      <c r="AQ85" s="353" t="s">
        <v>672</v>
      </c>
      <c r="AR85" s="352" t="s">
        <v>865</v>
      </c>
      <c r="AS85" s="350" t="s">
        <v>866</v>
      </c>
      <c r="AT85" s="400"/>
      <c r="AU85" s="400"/>
      <c r="AV85" s="400"/>
    </row>
    <row r="86" spans="1:48" ht="45.75" customHeight="1" x14ac:dyDescent="0.2">
      <c r="A86" s="398"/>
      <c r="B86" s="401"/>
      <c r="C86" s="423"/>
      <c r="D86" s="421"/>
      <c r="E86" s="421"/>
      <c r="F86" s="423"/>
      <c r="G86" s="401"/>
      <c r="H86" s="400"/>
      <c r="I86" s="403"/>
      <c r="J86" s="423"/>
      <c r="K86" s="423"/>
      <c r="L86" s="433"/>
      <c r="M86" s="403"/>
      <c r="N86" s="403"/>
      <c r="O86" s="416"/>
      <c r="P86" s="417"/>
      <c r="Q86" s="405"/>
      <c r="R86" s="406"/>
      <c r="S86" s="405">
        <f>IF(NOT(ISERROR(MATCH(R86,_xlfn.ANCHORARRAY(G97),0))),Q99&amp;"Por favor no seleccionar los criterios de impacto",R86)</f>
        <v>0</v>
      </c>
      <c r="T86" s="417"/>
      <c r="U86" s="405"/>
      <c r="V86" s="418"/>
      <c r="W86" s="149">
        <v>3</v>
      </c>
      <c r="X86" s="182" t="s">
        <v>867</v>
      </c>
      <c r="Y86" s="351" t="s">
        <v>52</v>
      </c>
      <c r="Z86" s="182" t="s">
        <v>868</v>
      </c>
      <c r="AA86" s="304" t="str">
        <f t="shared" si="99"/>
        <v xml:space="preserve">Los profesionales designados por el  Jefe de Servicio a la Ciudadania y Sostenibilidad (Coordinadores (as)  Ambientales, Sociales y SST) Revisa en reunión semanal la correcta implementación de los procedimientos y el adecuado diligenciamiento de los formatos asociados a los mismos; las  evidencias serán las actas de reunión de las revisiones.
En el caso que se identifiquen anomalías, se procede a informar al supervisor del contrato para tomar las medidas correctivas necesarias. </v>
      </c>
      <c r="AB86" s="126" t="str">
        <f>IF(OR(AC86="Preventivo",AC86="Detectivo"),"Probabilidad",IF(AC86="Correctivo","Impacto",""))</f>
        <v>Probabilidad</v>
      </c>
      <c r="AC86" s="127" t="s">
        <v>393</v>
      </c>
      <c r="AD86" s="127" t="s">
        <v>394</v>
      </c>
      <c r="AE86" s="128" t="str">
        <f t="shared" si="117"/>
        <v>30%</v>
      </c>
      <c r="AF86" s="127" t="s">
        <v>395</v>
      </c>
      <c r="AG86" s="127" t="s">
        <v>396</v>
      </c>
      <c r="AH86" s="127" t="s">
        <v>397</v>
      </c>
      <c r="AI86" s="129">
        <f>IFERROR(IF(AND(AB85="Probabilidad",AB86="Probabilidad"),(AK85-(+AK85*AE86)),IF(AND(AB85="Impacto",AB86="Probabilidad"),(AK84-(+AK84*AE86)),IF(AB86="Impacto",AK85,""))),"")</f>
        <v>0.1512</v>
      </c>
      <c r="AJ86" s="130" t="str">
        <f t="shared" si="101"/>
        <v>Muy Baja</v>
      </c>
      <c r="AK86" s="128">
        <f t="shared" si="118"/>
        <v>0.1512</v>
      </c>
      <c r="AL86" s="130" t="str">
        <f t="shared" si="103"/>
        <v>Moderado</v>
      </c>
      <c r="AM86" s="128">
        <f t="shared" ref="AM86" si="121">IFERROR(IF(AND(AB85="Impacto",AB86="Impacto"),(AM85-(+AM85*AE86)),IF(AND(AB85="Probabilidad",AB86="Impacto"),(AM84-(+AM84*AE86)),IF(AB86="Probabilidad",AM85,""))),"")</f>
        <v>0.6</v>
      </c>
      <c r="AN86" s="131" t="str">
        <f t="shared" si="120"/>
        <v>Moderado</v>
      </c>
      <c r="AO86" s="132"/>
      <c r="AP86" s="304" t="s">
        <v>869</v>
      </c>
      <c r="AQ86" s="353" t="s">
        <v>672</v>
      </c>
      <c r="AR86" s="353" t="s">
        <v>870</v>
      </c>
      <c r="AS86" s="354" t="s">
        <v>871</v>
      </c>
      <c r="AT86" s="400"/>
      <c r="AU86" s="400"/>
      <c r="AV86" s="400"/>
    </row>
    <row r="87" spans="1:48" ht="45.75" customHeight="1" x14ac:dyDescent="0.2">
      <c r="A87" s="398"/>
      <c r="B87" s="401"/>
      <c r="C87" s="423"/>
      <c r="D87" s="421"/>
      <c r="E87" s="421"/>
      <c r="F87" s="423"/>
      <c r="G87" s="401"/>
      <c r="H87" s="400"/>
      <c r="I87" s="403"/>
      <c r="J87" s="423"/>
      <c r="K87" s="423"/>
      <c r="L87" s="433"/>
      <c r="M87" s="403"/>
      <c r="N87" s="403"/>
      <c r="O87" s="416"/>
      <c r="P87" s="417"/>
      <c r="Q87" s="405"/>
      <c r="R87" s="406"/>
      <c r="S87" s="405">
        <f>IF(NOT(ISERROR(MATCH(R87,_xlfn.ANCHORARRAY(G98),0))),Q100&amp;"Por favor no seleccionar los criterios de impacto",R87)</f>
        <v>0</v>
      </c>
      <c r="T87" s="417"/>
      <c r="U87" s="405"/>
      <c r="V87" s="418"/>
      <c r="W87" s="149">
        <v>4</v>
      </c>
      <c r="X87" s="182" t="s">
        <v>872</v>
      </c>
      <c r="Y87" s="351" t="s">
        <v>41</v>
      </c>
      <c r="Z87" s="182" t="s">
        <v>873</v>
      </c>
      <c r="AA87" s="304" t="str">
        <f t="shared" si="99"/>
        <v>Los profesionales designados por el Jefe de Servicio a la Ciudadania y Sostenibilidad  (Coordinadores (as)  Ambiental, Social y SST)  Valida la correcta implementación de los controles ambientales, sociales y SST, a traves de al menos 2 visitas de seguimiento al mes a los Frentes de Obra.
Lo anterior se evidenciará por medio de registro fotográfico de las visitas a los frentes de obra realizadas por los coordinadores de la OSCS. 
En el caso que se identifiquen anomalías, se procede a informar al supervisor del contrato para tomar las medidas correctivas necesaria</v>
      </c>
      <c r="AB87" s="126" t="str">
        <f t="shared" ref="AB87:AB89" si="122">IF(OR(AC87="Preventivo",AC87="Detectivo"),"Probabilidad",IF(AC87="Correctivo","Impacto",""))</f>
        <v>Probabilidad</v>
      </c>
      <c r="AC87" s="127" t="s">
        <v>393</v>
      </c>
      <c r="AD87" s="127" t="s">
        <v>394</v>
      </c>
      <c r="AE87" s="128" t="str">
        <f t="shared" si="117"/>
        <v>30%</v>
      </c>
      <c r="AF87" s="127" t="s">
        <v>395</v>
      </c>
      <c r="AG87" s="127" t="s">
        <v>396</v>
      </c>
      <c r="AH87" s="127" t="s">
        <v>397</v>
      </c>
      <c r="AI87" s="129">
        <f t="shared" ref="AI87:AI89" si="123">IFERROR(IF(AND(AB86="Probabilidad",AB87="Probabilidad"),(AK86-(+AK86*AE87)),IF(AND(AB86="Impacto",AB87="Probabilidad"),(AK85-(+AK85*AE87)),IF(AB87="Impacto",AK86,""))),"")</f>
        <v>0.10584</v>
      </c>
      <c r="AJ87" s="130" t="str">
        <f t="shared" si="101"/>
        <v>Muy Baja</v>
      </c>
      <c r="AK87" s="128">
        <f t="shared" si="118"/>
        <v>0.10584</v>
      </c>
      <c r="AL87" s="130" t="str">
        <f t="shared" si="103"/>
        <v>Moderado</v>
      </c>
      <c r="AM87" s="128">
        <f t="shared" si="112"/>
        <v>0.6</v>
      </c>
      <c r="AN87" s="131" t="str">
        <f>IFERROR(IF(OR(AND(AJ87="Muy Baja",AL87="Leve"),AND(AJ87="Muy Baja",AL87="Menor"),AND(AJ87="Baja",AL87="Leve")),"Bajo",IF(OR(AND(AJ87="Muy baja",AL87="Moderado"),AND(AJ87="Baja",AL87="Menor"),AND(AJ87="Baja",AL87="Moderado"),AND(AJ87="Media",AL87="Leve"),AND(AJ87="Media",AL87="Menor"),AND(AJ87="Media",AL87="Moderado"),AND(AJ87="Alta",AL87="Leve"),AND(AJ87="Alta",AL87="Menor")),"Moderado",IF(OR(AND(AJ87="Muy Baja",AL87="Mayor"),AND(AJ87="Baja",AL87="Mayor"),AND(AJ87="Media",AL87="Mayor"),AND(AJ87="Alta",AL87="Moderado"),AND(AJ87="Alta",AL87="Mayor"),AND(AJ87="Muy Alta",AL87="Leve"),AND(AJ87="Muy Alta",AL87="Menor"),AND(AJ87="Muy Alta",AL87="Moderado"),AND(AJ87="Muy Alta",AL87="Mayor")),"Alto",IF(OR(AND(AJ87="Muy Baja",AL87="Catastrófico"),AND(AJ87="Baja",AL87="Catastrófico"),AND(AJ87="Media",AL87="Catastrófico"),AND(AJ87="Alta",AL87="Catastrófico"),AND(AJ87="Muy Alta",AL87="Catastrófico")),"Extremo","")))),"")</f>
        <v>Moderado</v>
      </c>
      <c r="AO87" s="355" t="s">
        <v>43</v>
      </c>
      <c r="AP87" s="304"/>
      <c r="AQ87" s="353"/>
      <c r="AR87" s="353"/>
      <c r="AS87" s="347"/>
      <c r="AT87" s="400"/>
      <c r="AU87" s="400"/>
      <c r="AV87" s="400"/>
    </row>
    <row r="88" spans="1:48" x14ac:dyDescent="0.2">
      <c r="A88" s="398"/>
      <c r="B88" s="401"/>
      <c r="C88" s="423"/>
      <c r="D88" s="421"/>
      <c r="E88" s="421"/>
      <c r="F88" s="423"/>
      <c r="G88" s="401"/>
      <c r="H88" s="400"/>
      <c r="I88" s="403"/>
      <c r="J88" s="423"/>
      <c r="K88" s="423"/>
      <c r="L88" s="433"/>
      <c r="M88" s="403"/>
      <c r="N88" s="403"/>
      <c r="O88" s="416"/>
      <c r="P88" s="417"/>
      <c r="Q88" s="405"/>
      <c r="R88" s="406"/>
      <c r="S88" s="405">
        <f>IF(NOT(ISERROR(MATCH(R88,_xlfn.ANCHORARRAY(G99),0))),Q101&amp;"Por favor no seleccionar los criterios de impacto",R88)</f>
        <v>0</v>
      </c>
      <c r="T88" s="417"/>
      <c r="U88" s="405"/>
      <c r="V88" s="418"/>
      <c r="W88" s="149">
        <v>5</v>
      </c>
      <c r="X88" s="149"/>
      <c r="Y88" s="149"/>
      <c r="Z88" s="336"/>
      <c r="AA88" s="304" t="str">
        <f t="shared" si="99"/>
        <v xml:space="preserve">  </v>
      </c>
      <c r="AB88" s="126" t="str">
        <f t="shared" si="122"/>
        <v/>
      </c>
      <c r="AC88" s="127"/>
      <c r="AD88" s="127"/>
      <c r="AE88" s="128" t="str">
        <f t="shared" si="117"/>
        <v/>
      </c>
      <c r="AF88" s="127"/>
      <c r="AG88" s="127"/>
      <c r="AH88" s="127"/>
      <c r="AI88" s="129" t="str">
        <f t="shared" si="123"/>
        <v/>
      </c>
      <c r="AJ88" s="130" t="str">
        <f t="shared" si="101"/>
        <v/>
      </c>
      <c r="AK88" s="128" t="str">
        <f t="shared" si="118"/>
        <v/>
      </c>
      <c r="AL88" s="130" t="str">
        <f t="shared" si="103"/>
        <v/>
      </c>
      <c r="AM88" s="128" t="str">
        <f t="shared" si="112"/>
        <v/>
      </c>
      <c r="AN88" s="131" t="str">
        <f t="shared" ref="AN88:AN89" si="124">IFERROR(IF(OR(AND(AJ88="Muy Baja",AL88="Leve"),AND(AJ88="Muy Baja",AL88="Menor"),AND(AJ88="Baja",AL88="Leve")),"Bajo",IF(OR(AND(AJ88="Muy baja",AL88="Moderado"),AND(AJ88="Baja",AL88="Menor"),AND(AJ88="Baja",AL88="Moderado"),AND(AJ88="Media",AL88="Leve"),AND(AJ88="Media",AL88="Menor"),AND(AJ88="Media",AL88="Moderado"),AND(AJ88="Alta",AL88="Leve"),AND(AJ88="Alta",AL88="Menor")),"Moderado",IF(OR(AND(AJ88="Muy Baja",AL88="Mayor"),AND(AJ88="Baja",AL88="Mayor"),AND(AJ88="Media",AL88="Mayor"),AND(AJ88="Alta",AL88="Moderado"),AND(AJ88="Alta",AL88="Mayor"),AND(AJ88="Muy Alta",AL88="Leve"),AND(AJ88="Muy Alta",AL88="Menor"),AND(AJ88="Muy Alta",AL88="Moderado"),AND(AJ88="Muy Alta",AL88="Mayor")),"Alto",IF(OR(AND(AJ88="Muy Baja",AL88="Catastrófico"),AND(AJ88="Baja",AL88="Catastrófico"),AND(AJ88="Media",AL88="Catastrófico"),AND(AJ88="Alta",AL88="Catastrófico"),AND(AJ88="Muy Alta",AL88="Catastrófico")),"Extremo","")))),"")</f>
        <v/>
      </c>
      <c r="AO88" s="132"/>
      <c r="AP88" s="304"/>
      <c r="AQ88" s="353"/>
      <c r="AR88" s="353"/>
      <c r="AS88" s="347"/>
      <c r="AT88" s="400"/>
      <c r="AU88" s="400"/>
      <c r="AV88" s="400"/>
    </row>
    <row r="89" spans="1:48" x14ac:dyDescent="0.2">
      <c r="A89" s="398"/>
      <c r="B89" s="401"/>
      <c r="C89" s="423"/>
      <c r="D89" s="422"/>
      <c r="E89" s="422"/>
      <c r="F89" s="423"/>
      <c r="G89" s="401"/>
      <c r="H89" s="400"/>
      <c r="I89" s="404"/>
      <c r="J89" s="423"/>
      <c r="K89" s="423"/>
      <c r="L89" s="434"/>
      <c r="M89" s="404"/>
      <c r="N89" s="404"/>
      <c r="O89" s="416"/>
      <c r="P89" s="417"/>
      <c r="Q89" s="405"/>
      <c r="R89" s="406"/>
      <c r="S89" s="405">
        <f>IF(NOT(ISERROR(MATCH(R89,_xlfn.ANCHORARRAY(G100),0))),Q102&amp;"Por favor no seleccionar los criterios de impacto",R89)</f>
        <v>0</v>
      </c>
      <c r="T89" s="417"/>
      <c r="U89" s="405"/>
      <c r="V89" s="418"/>
      <c r="W89" s="149">
        <v>6</v>
      </c>
      <c r="X89" s="149"/>
      <c r="Y89" s="149"/>
      <c r="Z89" s="336"/>
      <c r="AA89" s="304" t="str">
        <f t="shared" si="99"/>
        <v xml:space="preserve">  </v>
      </c>
      <c r="AB89" s="126" t="str">
        <f t="shared" si="122"/>
        <v/>
      </c>
      <c r="AC89" s="127"/>
      <c r="AD89" s="127"/>
      <c r="AE89" s="128" t="str">
        <f t="shared" si="117"/>
        <v/>
      </c>
      <c r="AF89" s="127"/>
      <c r="AG89" s="127"/>
      <c r="AH89" s="127"/>
      <c r="AI89" s="129" t="str">
        <f t="shared" si="123"/>
        <v/>
      </c>
      <c r="AJ89" s="130" t="str">
        <f t="shared" si="101"/>
        <v/>
      </c>
      <c r="AK89" s="128" t="str">
        <f t="shared" si="118"/>
        <v/>
      </c>
      <c r="AL89" s="130" t="str">
        <f t="shared" si="103"/>
        <v/>
      </c>
      <c r="AM89" s="128" t="str">
        <f t="shared" si="112"/>
        <v/>
      </c>
      <c r="AN89" s="131" t="str">
        <f t="shared" si="124"/>
        <v/>
      </c>
      <c r="AO89" s="132"/>
      <c r="AP89" s="304"/>
      <c r="AQ89" s="353"/>
      <c r="AR89" s="353"/>
      <c r="AS89" s="347"/>
      <c r="AT89" s="400"/>
      <c r="AU89" s="400"/>
      <c r="AV89" s="400"/>
    </row>
    <row r="90" spans="1:48" ht="69.75" customHeight="1" x14ac:dyDescent="0.2">
      <c r="A90" s="398">
        <v>14</v>
      </c>
      <c r="B90" s="401" t="s">
        <v>554</v>
      </c>
      <c r="C90" s="420" t="s">
        <v>40</v>
      </c>
      <c r="D90" s="420" t="s">
        <v>874</v>
      </c>
      <c r="E90" s="420" t="s">
        <v>875</v>
      </c>
      <c r="F90" s="420" t="s">
        <v>876</v>
      </c>
      <c r="G90" s="401" t="str">
        <f>+CONCATENATE(C90," ",D84," ",E90)</f>
        <v>Posibilidad de afectación reputacional Por Incumplimiento  de la normativa, procedimientos y manuales ambiental, social y SST; Debido a materiales e insumos que  no cumplian las especificaciones técnicas en los diferente tipos de intervención que ejecuta la Entidad; deficiencia en la operatividad de la maquinaria y equipo, que podrían generar deficiencias en la calidad de las obras intervenidas.</v>
      </c>
      <c r="H90" s="400" t="s">
        <v>391</v>
      </c>
      <c r="I90" s="402" t="s">
        <v>59</v>
      </c>
      <c r="J90" s="423" t="s">
        <v>877</v>
      </c>
      <c r="K90" s="423" t="s">
        <v>878</v>
      </c>
      <c r="L90" s="428" t="s">
        <v>879</v>
      </c>
      <c r="M90" s="402" t="s">
        <v>63</v>
      </c>
      <c r="N90" s="402" t="s">
        <v>42</v>
      </c>
      <c r="O90" s="416">
        <v>400</v>
      </c>
      <c r="P90" s="417" t="str">
        <f>IF(O90&lt;=0,"",IF(O90&lt;=2,"Muy Baja",IF(O90&lt;=24,"Baja",IF(O90&lt;=500,"Media",IF(O90&lt;=5000,"Alta","Muy Alta")))))</f>
        <v>Media</v>
      </c>
      <c r="Q90" s="405">
        <f>IF(P90="","",IF(P90="Muy Baja",0.2,IF(P90="Baja",0.4,IF(P90="Media",0.6,IF(P90="Alta",0.8,IF(P90="Muy Alta",1,))))))</f>
        <v>0.6</v>
      </c>
      <c r="R90" s="406" t="s">
        <v>428</v>
      </c>
      <c r="S90" s="405" t="str">
        <f>IF(NOT(ISERROR(MATCH(R90,'[2]Tabla Impacto'!$B$245:$B$247,0))),'[2]Tabla Impacto'!$F$224&amp;"Por favor no seleccionar los criterios de impacto(Afectación Económica o presupuestal y Pérdida Reputacional)",R90)</f>
        <v xml:space="preserve">     El riesgo afecta la imagen de la entidad con algunos usuarios de relevancia frente al logro de los objetivos</v>
      </c>
      <c r="T90" s="417" t="str">
        <f>IF(OR(S90='[2]Tabla Impacto'!$C$12,S90='[2]Tabla Impacto'!$D$12),"Leve",IF(OR(S90='[2]Tabla Impacto'!$C$13,S90='[2]Tabla Impacto'!$D$13),"Menor",IF(OR(S90='[2]Tabla Impacto'!$C$14,S90='[2]Tabla Impacto'!$D$14),"Moderado",IF(OR(S90='[2]Tabla Impacto'!$C$15,S90='[2]Tabla Impacto'!$D$15),"Mayor",IF(OR(S90='[2]Tabla Impacto'!$C$16,S90='[2]Tabla Impacto'!$D$16),"Catastrófico","")))))</f>
        <v>Moderado</v>
      </c>
      <c r="U90" s="405">
        <f>IF(T90="","",IF(T90="Leve",0.2,IF(T90="Menor",0.4,IF(T90="Moderado",0.6,IF(T90="Mayor",0.8,IF(T90="Catastrófico",1,))))))</f>
        <v>0.6</v>
      </c>
      <c r="V90" s="418" t="str">
        <f>IF(OR(AND(P90="Muy Baja",T90="Leve"),AND(P90="Muy Baja",T90="Menor"),AND(P90="Baja",T90="Leve")),"Bajo",IF(OR(AND(P90="Muy baja",T90="Moderado"),AND(P90="Baja",T90="Menor"),AND(P90="Baja",T90="Moderado"),AND(P90="Media",T90="Leve"),AND(P90="Media",T90="Menor"),AND(P90="Media",T90="Moderado"),AND(P90="Alta",T90="Leve"),AND(P90="Alta",T90="Menor")),"Moderado",IF(OR(AND(P90="Muy Baja",T90="Mayor"),AND(P90="Baja",T90="Mayor"),AND(P90="Media",T90="Mayor"),AND(P90="Alta",T90="Moderado"),AND(P90="Alta",T90="Mayor"),AND(P90="Muy Alta",T90="Leve"),AND(P90="Muy Alta",T90="Menor"),AND(P90="Muy Alta",T90="Moderado"),AND(P90="Muy Alta",T90="Mayor")),"Alto",IF(OR(AND(P90="Muy Baja",T90="Catastrófico"),AND(P90="Baja",T90="Catastrófico"),AND(P90="Media",T90="Catastrófico"),AND(P90="Alta",T90="Catastrófico"),AND(P90="Muy Alta",T90="Catastrófico")),"Extremo",""))))</f>
        <v>Moderado</v>
      </c>
      <c r="W90" s="149">
        <v>1</v>
      </c>
      <c r="X90" s="182" t="s">
        <v>880</v>
      </c>
      <c r="Y90" s="351" t="s">
        <v>37</v>
      </c>
      <c r="Z90" s="182" t="s">
        <v>881</v>
      </c>
      <c r="AA90" s="304" t="str">
        <f t="shared" si="99"/>
        <v>El profesional designado por el Subdirector de Intervención de la Infraestructura  Verifica en campo el cumplimiento del proceso constructivo de acuerdo con la aplicación de los procedimientos, planes de calidad, instructivos y demás documentos asociados al proceso; asi como la trazabilidad al suministro de materiales requeridos en obra mensualmente, Como evidencia queda el Informe Técnico de Autocontrol de la Calidad a Intervenciones en proceso de ejecución dirigido al Subdirector de Intervención de la Infraestructura y Gerentes de Infraestructura
En caso de que se presenten incumplimientos el profesional de Calidad con previa aprobación del Subdirector impartira las medidas pertinentes que hayan a lugar.</v>
      </c>
      <c r="AB90" s="126" t="str">
        <f>IF(OR(AC90="Preventivo",AC90="Detectivo"),"Probabilidad",IF(AC90="Correctivo","Impacto",""))</f>
        <v>Probabilidad</v>
      </c>
      <c r="AC90" s="127" t="s">
        <v>393</v>
      </c>
      <c r="AD90" s="127" t="s">
        <v>394</v>
      </c>
      <c r="AE90" s="128" t="str">
        <f>IF(AND(AC90="Preventivo",AD90="Automático"),"50%",IF(AND(AC90="Preventivo",AD90="Manual"),"40%",IF(AND(AC90="Detectivo",AD90="Automático"),"40%",IF(AND(AC90="Detectivo",AD90="Manual"),"30%",IF(AND(AC90="Correctivo",AD90="Automático"),"35%",IF(AND(AC90="Correctivo",AD90="Manual"),"25%",""))))))</f>
        <v>30%</v>
      </c>
      <c r="AF90" s="127" t="s">
        <v>395</v>
      </c>
      <c r="AG90" s="127" t="s">
        <v>396</v>
      </c>
      <c r="AH90" s="127" t="s">
        <v>397</v>
      </c>
      <c r="AI90" s="129">
        <f>IFERROR(IF(AB90="Probabilidad",(Q90-(+Q90*AE90)),IF(AB90="Impacto",Q90,"")),"")</f>
        <v>0.42</v>
      </c>
      <c r="AJ90" s="130" t="str">
        <f>IFERROR(IF(AI90="","",IF(AI90&lt;=0.2,"Muy Baja",IF(AI90&lt;=0.4,"Baja",IF(AI90&lt;=0.6,"Media",IF(AI90&lt;=0.8,"Alta","Muy Alta"))))),"")</f>
        <v>Media</v>
      </c>
      <c r="AK90" s="128">
        <f>+AI90</f>
        <v>0.42</v>
      </c>
      <c r="AL90" s="130" t="str">
        <f>IFERROR(IF(AM90="","",IF(AM90&lt;=0.2,"Leve",IF(AM90&lt;=0.4,"Menor",IF(AM90&lt;=0.6,"Moderado",IF(AM90&lt;=0.8,"Mayor","Catastrófico"))))),"")</f>
        <v>Moderado</v>
      </c>
      <c r="AM90" s="128">
        <f t="shared" ref="AM90" si="125">IFERROR(IF(AB90="Impacto",(U90-(+U90*AE90)),IF(AB90="Probabilidad",U90,"")),"")</f>
        <v>0.6</v>
      </c>
      <c r="AN90" s="131" t="str">
        <f>IFERROR(IF(OR(AND(AJ90="Muy Baja",AL90="Leve"),AND(AJ90="Muy Baja",AL90="Menor"),AND(AJ90="Baja",AL90="Leve")),"Bajo",IF(OR(AND(AJ90="Muy baja",AL90="Moderado"),AND(AJ90="Baja",AL90="Menor"),AND(AJ90="Baja",AL90="Moderado"),AND(AJ90="Media",AL90="Leve"),AND(AJ90="Media",AL90="Menor"),AND(AJ90="Media",AL90="Moderado"),AND(AJ90="Alta",AL90="Leve"),AND(AJ90="Alta",AL90="Menor")),"Moderado",IF(OR(AND(AJ90="Muy Baja",AL90="Mayor"),AND(AJ90="Baja",AL90="Mayor"),AND(AJ90="Media",AL90="Mayor"),AND(AJ90="Alta",AL90="Moderado"),AND(AJ90="Alta",AL90="Mayor"),AND(AJ90="Muy Alta",AL90="Leve"),AND(AJ90="Muy Alta",AL90="Menor"),AND(AJ90="Muy Alta",AL90="Moderado"),AND(AJ90="Muy Alta",AL90="Mayor")),"Alto",IF(OR(AND(AJ90="Muy Baja",AL90="Catastrófico"),AND(AJ90="Baja",AL90="Catastrófico"),AND(AJ90="Media",AL90="Catastrófico"),AND(AJ90="Alta",AL90="Catastrófico"),AND(AJ90="Muy Alta",AL90="Catastrófico")),"Extremo","")))),"")</f>
        <v>Moderado</v>
      </c>
      <c r="AO90" s="132"/>
      <c r="AP90" s="304" t="s">
        <v>882</v>
      </c>
      <c r="AQ90" s="353" t="s">
        <v>883</v>
      </c>
      <c r="AR90" s="353" t="s">
        <v>884</v>
      </c>
      <c r="AS90" s="347" t="s">
        <v>885</v>
      </c>
      <c r="AT90" s="402" t="s">
        <v>859</v>
      </c>
      <c r="AU90" s="402" t="s">
        <v>886</v>
      </c>
      <c r="AV90" s="402" t="s">
        <v>883</v>
      </c>
    </row>
    <row r="91" spans="1:48" ht="69.75" customHeight="1" x14ac:dyDescent="0.2">
      <c r="A91" s="398"/>
      <c r="B91" s="401"/>
      <c r="C91" s="421"/>
      <c r="D91" s="421"/>
      <c r="E91" s="421"/>
      <c r="F91" s="421"/>
      <c r="G91" s="401"/>
      <c r="H91" s="400"/>
      <c r="I91" s="403"/>
      <c r="J91" s="423"/>
      <c r="K91" s="423"/>
      <c r="L91" s="429"/>
      <c r="M91" s="403"/>
      <c r="N91" s="403"/>
      <c r="O91" s="416"/>
      <c r="P91" s="417"/>
      <c r="Q91" s="405"/>
      <c r="R91" s="406"/>
      <c r="S91" s="405">
        <f>IF(NOT(ISERROR(MATCH(R91,_xlfn.ANCHORARRAY(G102),0))),Q104&amp;"Por favor no seleccionar los criterios de impacto",R91)</f>
        <v>0</v>
      </c>
      <c r="T91" s="417"/>
      <c r="U91" s="405"/>
      <c r="V91" s="418"/>
      <c r="W91" s="149">
        <v>2</v>
      </c>
      <c r="X91" s="182" t="s">
        <v>887</v>
      </c>
      <c r="Y91" s="351" t="s">
        <v>37</v>
      </c>
      <c r="Z91" s="182" t="s">
        <v>888</v>
      </c>
      <c r="AA91" s="304" t="str">
        <f t="shared" si="99"/>
        <v>El profesional encargado designado por el Gerente de Infraestructura Urbana Verifica mensualmente las alertas emitidas por los diferentes frentes de obra sobre el estado del funcionamiento de la maquinaria, equipos y la experticia de los operarios. Como evidencia queda el Informe de novedades de maquinaria y equipos en frentes de obra dirigido a la Subdirección de Producción y Apoyo Logístico, anexando el acta de reunión de la mesa de trabajo.
En caso que no sean atendidas y sean reiterativas, se solicita mesa de trabajo con la Gerencia de Maquinaria y Equipos.</v>
      </c>
      <c r="AB91" s="126" t="str">
        <f>IF(OR(AC91="Preventivo",AC91="Detectivo"),"Probabilidad",IF(AC91="Correctivo","Impacto",""))</f>
        <v>Probabilidad</v>
      </c>
      <c r="AC91" s="127" t="s">
        <v>393</v>
      </c>
      <c r="AD91" s="127" t="s">
        <v>394</v>
      </c>
      <c r="AE91" s="128" t="str">
        <f t="shared" ref="AE91:AE95" si="126">IF(AND(AC91="Preventivo",AD91="Automático"),"50%",IF(AND(AC91="Preventivo",AD91="Manual"),"40%",IF(AND(AC91="Detectivo",AD91="Automático"),"40%",IF(AND(AC91="Detectivo",AD91="Manual"),"30%",IF(AND(AC91="Correctivo",AD91="Automático"),"35%",IF(AND(AC91="Correctivo",AD91="Manual"),"25%",""))))))</f>
        <v>30%</v>
      </c>
      <c r="AF91" s="127" t="s">
        <v>395</v>
      </c>
      <c r="AG91" s="127" t="s">
        <v>396</v>
      </c>
      <c r="AH91" s="127" t="s">
        <v>397</v>
      </c>
      <c r="AI91" s="129">
        <f>IFERROR(IF(AND(AB90="Probabilidad",AB91="Probabilidad"),(AK90-(+AK90*AE91)),IF(AB91="Probabilidad",(Q90-(+Q90*AE91)),IF(AB91="Impacto",AK90,""))),"")</f>
        <v>0.29399999999999998</v>
      </c>
      <c r="AJ91" s="130" t="str">
        <f t="shared" si="101"/>
        <v>Baja</v>
      </c>
      <c r="AK91" s="128">
        <f t="shared" ref="AK91:AK95" si="127">+AI91</f>
        <v>0.29399999999999998</v>
      </c>
      <c r="AL91" s="130" t="str">
        <f t="shared" si="103"/>
        <v>Moderado</v>
      </c>
      <c r="AM91" s="128">
        <f t="shared" ref="AM91" si="128">IFERROR(IF(AND(AB90="Impacto",AB91="Impacto"),(AM90-(+AM90*AE91)),IF(AB91="Impacto",($U$10-(+$U$10*AE91)),IF(AB91="Probabilidad",AM90,""))),"")</f>
        <v>0.6</v>
      </c>
      <c r="AN91" s="131" t="str">
        <f t="shared" ref="AN91:AN92" si="129">IFERROR(IF(OR(AND(AJ91="Muy Baja",AL91="Leve"),AND(AJ91="Muy Baja",AL91="Menor"),AND(AJ91="Baja",AL91="Leve")),"Bajo",IF(OR(AND(AJ91="Muy baja",AL91="Moderado"),AND(AJ91="Baja",AL91="Menor"),AND(AJ91="Baja",AL91="Moderado"),AND(AJ91="Media",AL91="Leve"),AND(AJ91="Media",AL91="Menor"),AND(AJ91="Media",AL91="Moderado"),AND(AJ91="Alta",AL91="Leve"),AND(AJ91="Alta",AL91="Menor")),"Moderado",IF(OR(AND(AJ91="Muy Baja",AL91="Mayor"),AND(AJ91="Baja",AL91="Mayor"),AND(AJ91="Media",AL91="Mayor"),AND(AJ91="Alta",AL91="Moderado"),AND(AJ91="Alta",AL91="Mayor"),AND(AJ91="Muy Alta",AL91="Leve"),AND(AJ91="Muy Alta",AL91="Menor"),AND(AJ91="Muy Alta",AL91="Moderado"),AND(AJ91="Muy Alta",AL91="Mayor")),"Alto",IF(OR(AND(AJ91="Muy Baja",AL91="Catastrófico"),AND(AJ91="Baja",AL91="Catastrófico"),AND(AJ91="Media",AL91="Catastrófico"),AND(AJ91="Alta",AL91="Catastrófico"),AND(AJ91="Muy Alta",AL91="Catastrófico")),"Extremo","")))),"")</f>
        <v>Moderado</v>
      </c>
      <c r="AO91" s="355" t="s">
        <v>43</v>
      </c>
      <c r="AP91" s="304"/>
      <c r="AQ91" s="353"/>
      <c r="AR91" s="353"/>
      <c r="AS91" s="347"/>
      <c r="AT91" s="403"/>
      <c r="AU91" s="403"/>
      <c r="AV91" s="403"/>
    </row>
    <row r="92" spans="1:48" x14ac:dyDescent="0.2">
      <c r="A92" s="398"/>
      <c r="B92" s="401"/>
      <c r="C92" s="421"/>
      <c r="D92" s="421"/>
      <c r="E92" s="421"/>
      <c r="F92" s="421"/>
      <c r="G92" s="401"/>
      <c r="H92" s="400"/>
      <c r="I92" s="403"/>
      <c r="J92" s="423"/>
      <c r="K92" s="423"/>
      <c r="L92" s="429"/>
      <c r="M92" s="403"/>
      <c r="N92" s="403"/>
      <c r="O92" s="416"/>
      <c r="P92" s="417"/>
      <c r="Q92" s="405"/>
      <c r="R92" s="406"/>
      <c r="S92" s="405">
        <f>IF(NOT(ISERROR(MATCH(R92,_xlfn.ANCHORARRAY(G103),0))),Q105&amp;"Por favor no seleccionar los criterios de impacto",R92)</f>
        <v>0</v>
      </c>
      <c r="T92" s="417"/>
      <c r="U92" s="405"/>
      <c r="V92" s="418"/>
      <c r="W92" s="149">
        <v>3</v>
      </c>
      <c r="X92" s="149"/>
      <c r="Y92" s="149"/>
      <c r="Z92" s="336"/>
      <c r="AA92" s="304" t="str">
        <f t="shared" si="99"/>
        <v xml:space="preserve">  </v>
      </c>
      <c r="AB92" s="126" t="str">
        <f>IF(OR(AC92="Preventivo",AC92="Detectivo"),"Probabilidad",IF(AC92="Correctivo","Impacto",""))</f>
        <v/>
      </c>
      <c r="AC92" s="127"/>
      <c r="AD92" s="127"/>
      <c r="AE92" s="128" t="str">
        <f t="shared" si="126"/>
        <v/>
      </c>
      <c r="AF92" s="127"/>
      <c r="AG92" s="127"/>
      <c r="AH92" s="127"/>
      <c r="AI92" s="129" t="str">
        <f>IFERROR(IF(AND(AB91="Probabilidad",AB92="Probabilidad"),(AK91-(+AK91*AE92)),IF(AND(AB91="Impacto",AB92="Probabilidad"),(AK90-(+AK90*AE92)),IF(AB92="Impacto",AK91,""))),"")</f>
        <v/>
      </c>
      <c r="AJ92" s="130" t="str">
        <f t="shared" si="101"/>
        <v/>
      </c>
      <c r="AK92" s="128" t="str">
        <f t="shared" si="127"/>
        <v/>
      </c>
      <c r="AL92" s="130" t="str">
        <f t="shared" si="103"/>
        <v/>
      </c>
      <c r="AM92" s="128" t="str">
        <f t="shared" ref="AM92" si="130">IFERROR(IF(AND(AB91="Impacto",AB92="Impacto"),(AM91-(+AM91*AE92)),IF(AND(AB91="Probabilidad",AB92="Impacto"),(AM90-(+AM90*AE92)),IF(AB92="Probabilidad",AM91,""))),"")</f>
        <v/>
      </c>
      <c r="AN92" s="131" t="str">
        <f t="shared" si="129"/>
        <v/>
      </c>
      <c r="AO92" s="132"/>
      <c r="AP92" s="304"/>
      <c r="AQ92" s="353"/>
      <c r="AR92" s="353"/>
      <c r="AS92" s="347"/>
      <c r="AT92" s="403"/>
      <c r="AU92" s="403"/>
      <c r="AV92" s="403"/>
    </row>
    <row r="93" spans="1:48" x14ac:dyDescent="0.2">
      <c r="A93" s="398"/>
      <c r="B93" s="401"/>
      <c r="C93" s="421"/>
      <c r="D93" s="421"/>
      <c r="E93" s="421"/>
      <c r="F93" s="421"/>
      <c r="G93" s="401"/>
      <c r="H93" s="400"/>
      <c r="I93" s="403"/>
      <c r="J93" s="423"/>
      <c r="K93" s="423"/>
      <c r="L93" s="429"/>
      <c r="M93" s="403"/>
      <c r="N93" s="403"/>
      <c r="O93" s="416"/>
      <c r="P93" s="417"/>
      <c r="Q93" s="405"/>
      <c r="R93" s="406"/>
      <c r="S93" s="405">
        <f>IF(NOT(ISERROR(MATCH(R93,_xlfn.ANCHORARRAY(G104),0))),Q106&amp;"Por favor no seleccionar los criterios de impacto",R93)</f>
        <v>0</v>
      </c>
      <c r="T93" s="417"/>
      <c r="U93" s="405"/>
      <c r="V93" s="418"/>
      <c r="W93" s="149">
        <v>4</v>
      </c>
      <c r="X93" s="149"/>
      <c r="Y93" s="149"/>
      <c r="Z93" s="336"/>
      <c r="AA93" s="304" t="str">
        <f t="shared" si="99"/>
        <v xml:space="preserve">  </v>
      </c>
      <c r="AB93" s="126" t="str">
        <f t="shared" ref="AB93:AB95" si="131">IF(OR(AC93="Preventivo",AC93="Detectivo"),"Probabilidad",IF(AC93="Correctivo","Impacto",""))</f>
        <v/>
      </c>
      <c r="AC93" s="127"/>
      <c r="AD93" s="127"/>
      <c r="AE93" s="128" t="str">
        <f t="shared" si="126"/>
        <v/>
      </c>
      <c r="AF93" s="127"/>
      <c r="AG93" s="127"/>
      <c r="AH93" s="127"/>
      <c r="AI93" s="129" t="str">
        <f t="shared" ref="AI93:AI95" si="132">IFERROR(IF(AND(AB92="Probabilidad",AB93="Probabilidad"),(AK92-(+AK92*AE93)),IF(AND(AB92="Impacto",AB93="Probabilidad"),(AK91-(+AK91*AE93)),IF(AB93="Impacto",AK92,""))),"")</f>
        <v/>
      </c>
      <c r="AJ93" s="130" t="str">
        <f t="shared" si="101"/>
        <v/>
      </c>
      <c r="AK93" s="128" t="str">
        <f t="shared" si="127"/>
        <v/>
      </c>
      <c r="AL93" s="130" t="str">
        <f t="shared" si="103"/>
        <v/>
      </c>
      <c r="AM93" s="128" t="str">
        <f t="shared" si="112"/>
        <v/>
      </c>
      <c r="AN93" s="131" t="str">
        <f>IFERROR(IF(OR(AND(AJ93="Muy Baja",AL93="Leve"),AND(AJ93="Muy Baja",AL93="Menor"),AND(AJ93="Baja",AL93="Leve")),"Bajo",IF(OR(AND(AJ93="Muy baja",AL93="Moderado"),AND(AJ93="Baja",AL93="Menor"),AND(AJ93="Baja",AL93="Moderado"),AND(AJ93="Media",AL93="Leve"),AND(AJ93="Media",AL93="Menor"),AND(AJ93="Media",AL93="Moderado"),AND(AJ93="Alta",AL93="Leve"),AND(AJ93="Alta",AL93="Menor")),"Moderado",IF(OR(AND(AJ93="Muy Baja",AL93="Mayor"),AND(AJ93="Baja",AL93="Mayor"),AND(AJ93="Media",AL93="Mayor"),AND(AJ93="Alta",AL93="Moderado"),AND(AJ93="Alta",AL93="Mayor"),AND(AJ93="Muy Alta",AL93="Leve"),AND(AJ93="Muy Alta",AL93="Menor"),AND(AJ93="Muy Alta",AL93="Moderado"),AND(AJ93="Muy Alta",AL93="Mayor")),"Alto",IF(OR(AND(AJ93="Muy Baja",AL93="Catastrófico"),AND(AJ93="Baja",AL93="Catastrófico"),AND(AJ93="Media",AL93="Catastrófico"),AND(AJ93="Alta",AL93="Catastrófico"),AND(AJ93="Muy Alta",AL93="Catastrófico")),"Extremo","")))),"")</f>
        <v/>
      </c>
      <c r="AO93" s="132"/>
      <c r="AP93" s="304"/>
      <c r="AQ93" s="353"/>
      <c r="AR93" s="353"/>
      <c r="AS93" s="347"/>
      <c r="AT93" s="403"/>
      <c r="AU93" s="403"/>
      <c r="AV93" s="403"/>
    </row>
    <row r="94" spans="1:48" x14ac:dyDescent="0.2">
      <c r="A94" s="398"/>
      <c r="B94" s="401"/>
      <c r="C94" s="421"/>
      <c r="D94" s="421"/>
      <c r="E94" s="421"/>
      <c r="F94" s="421"/>
      <c r="G94" s="401"/>
      <c r="H94" s="400"/>
      <c r="I94" s="403"/>
      <c r="J94" s="423"/>
      <c r="K94" s="423"/>
      <c r="L94" s="429"/>
      <c r="M94" s="403"/>
      <c r="N94" s="403"/>
      <c r="O94" s="416"/>
      <c r="P94" s="417"/>
      <c r="Q94" s="405"/>
      <c r="R94" s="406"/>
      <c r="S94" s="405">
        <f>IF(NOT(ISERROR(MATCH(R94,_xlfn.ANCHORARRAY(G105),0))),Q107&amp;"Por favor no seleccionar los criterios de impacto",R94)</f>
        <v>0</v>
      </c>
      <c r="T94" s="417"/>
      <c r="U94" s="405"/>
      <c r="V94" s="418"/>
      <c r="W94" s="149">
        <v>5</v>
      </c>
      <c r="X94" s="149"/>
      <c r="Y94" s="149"/>
      <c r="Z94" s="336"/>
      <c r="AA94" s="304" t="str">
        <f t="shared" si="99"/>
        <v xml:space="preserve">  </v>
      </c>
      <c r="AB94" s="126" t="str">
        <f t="shared" si="131"/>
        <v/>
      </c>
      <c r="AC94" s="127"/>
      <c r="AD94" s="127"/>
      <c r="AE94" s="128" t="str">
        <f t="shared" si="126"/>
        <v/>
      </c>
      <c r="AF94" s="127"/>
      <c r="AG94" s="127"/>
      <c r="AH94" s="127"/>
      <c r="AI94" s="129" t="str">
        <f t="shared" si="132"/>
        <v/>
      </c>
      <c r="AJ94" s="130" t="str">
        <f>IFERROR(IF(AI94="","",IF(AI94&lt;=0.2,"Muy Baja",IF(AI94&lt;=0.4,"Baja",IF(AI94&lt;=0.6,"Media",IF(AI94&lt;=0.8,"Alta","Muy Alta"))))),"")</f>
        <v/>
      </c>
      <c r="AK94" s="128" t="str">
        <f t="shared" si="127"/>
        <v/>
      </c>
      <c r="AL94" s="130" t="str">
        <f t="shared" si="103"/>
        <v/>
      </c>
      <c r="AM94" s="128" t="str">
        <f t="shared" si="112"/>
        <v/>
      </c>
      <c r="AN94" s="131" t="str">
        <f t="shared" ref="AN94:AN95" si="133">IFERROR(IF(OR(AND(AJ94="Muy Baja",AL94="Leve"),AND(AJ94="Muy Baja",AL94="Menor"),AND(AJ94="Baja",AL94="Leve")),"Bajo",IF(OR(AND(AJ94="Muy baja",AL94="Moderado"),AND(AJ94="Baja",AL94="Menor"),AND(AJ94="Baja",AL94="Moderado"),AND(AJ94="Media",AL94="Leve"),AND(AJ94="Media",AL94="Menor"),AND(AJ94="Media",AL94="Moderado"),AND(AJ94="Alta",AL94="Leve"),AND(AJ94="Alta",AL94="Menor")),"Moderado",IF(OR(AND(AJ94="Muy Baja",AL94="Mayor"),AND(AJ94="Baja",AL94="Mayor"),AND(AJ94="Media",AL94="Mayor"),AND(AJ94="Alta",AL94="Moderado"),AND(AJ94="Alta",AL94="Mayor"),AND(AJ94="Muy Alta",AL94="Leve"),AND(AJ94="Muy Alta",AL94="Menor"),AND(AJ94="Muy Alta",AL94="Moderado"),AND(AJ94="Muy Alta",AL94="Mayor")),"Alto",IF(OR(AND(AJ94="Muy Baja",AL94="Catastrófico"),AND(AJ94="Baja",AL94="Catastrófico"),AND(AJ94="Media",AL94="Catastrófico"),AND(AJ94="Alta",AL94="Catastrófico"),AND(AJ94="Muy Alta",AL94="Catastrófico")),"Extremo","")))),"")</f>
        <v/>
      </c>
      <c r="AO94" s="132"/>
      <c r="AP94" s="304"/>
      <c r="AQ94" s="353"/>
      <c r="AR94" s="353"/>
      <c r="AS94" s="347"/>
      <c r="AT94" s="403"/>
      <c r="AU94" s="403"/>
      <c r="AV94" s="403"/>
    </row>
    <row r="95" spans="1:48" x14ac:dyDescent="0.2">
      <c r="A95" s="398"/>
      <c r="B95" s="401"/>
      <c r="C95" s="422"/>
      <c r="D95" s="422"/>
      <c r="E95" s="422"/>
      <c r="F95" s="422"/>
      <c r="G95" s="401"/>
      <c r="H95" s="400"/>
      <c r="I95" s="404"/>
      <c r="J95" s="423"/>
      <c r="K95" s="423"/>
      <c r="L95" s="430"/>
      <c r="M95" s="404"/>
      <c r="N95" s="404"/>
      <c r="O95" s="416"/>
      <c r="P95" s="417"/>
      <c r="Q95" s="405"/>
      <c r="R95" s="406"/>
      <c r="S95" s="405">
        <f>IF(NOT(ISERROR(MATCH(R95,_xlfn.ANCHORARRAY(G106),0))),Q108&amp;"Por favor no seleccionar los criterios de impacto",R95)</f>
        <v>0</v>
      </c>
      <c r="T95" s="417"/>
      <c r="U95" s="405"/>
      <c r="V95" s="418"/>
      <c r="W95" s="149">
        <v>6</v>
      </c>
      <c r="X95" s="149"/>
      <c r="Y95" s="149"/>
      <c r="Z95" s="336"/>
      <c r="AA95" s="304" t="str">
        <f t="shared" si="99"/>
        <v xml:space="preserve">  </v>
      </c>
      <c r="AB95" s="126" t="str">
        <f t="shared" si="131"/>
        <v/>
      </c>
      <c r="AC95" s="127"/>
      <c r="AD95" s="127"/>
      <c r="AE95" s="128" t="str">
        <f t="shared" si="126"/>
        <v/>
      </c>
      <c r="AF95" s="127"/>
      <c r="AG95" s="127"/>
      <c r="AH95" s="127"/>
      <c r="AI95" s="129" t="str">
        <f t="shared" si="132"/>
        <v/>
      </c>
      <c r="AJ95" s="130" t="str">
        <f t="shared" si="101"/>
        <v/>
      </c>
      <c r="AK95" s="128" t="str">
        <f t="shared" si="127"/>
        <v/>
      </c>
      <c r="AL95" s="130" t="str">
        <f t="shared" si="103"/>
        <v/>
      </c>
      <c r="AM95" s="128" t="str">
        <f t="shared" si="112"/>
        <v/>
      </c>
      <c r="AN95" s="131" t="str">
        <f t="shared" si="133"/>
        <v/>
      </c>
      <c r="AO95" s="132"/>
      <c r="AP95" s="304"/>
      <c r="AQ95" s="353"/>
      <c r="AR95" s="353"/>
      <c r="AS95" s="347"/>
      <c r="AT95" s="404"/>
      <c r="AU95" s="404"/>
      <c r="AV95" s="404"/>
    </row>
    <row r="96" spans="1:48" ht="69.75" customHeight="1" x14ac:dyDescent="0.2">
      <c r="A96" s="398">
        <v>15</v>
      </c>
      <c r="B96" s="401" t="s">
        <v>554</v>
      </c>
      <c r="C96" s="423" t="s">
        <v>44</v>
      </c>
      <c r="D96" s="420" t="s">
        <v>889</v>
      </c>
      <c r="E96" s="401" t="s">
        <v>890</v>
      </c>
      <c r="F96" s="401" t="s">
        <v>891</v>
      </c>
      <c r="G96" s="401" t="str">
        <f t="shared" ref="G96" si="134">+CONCATENATE(C96," ",D96," ",E96)</f>
        <v>Posibilidad de afectación Económica y Reputacional Por retrasos desde su iniciación, ejecución y terminación de la obra.   Debido a  que se presentas iImprevistos e incumplimientos en el suministro de equipo, maquinaria e insumos y la falta de reacción a las alertas generadas durante el intervención de las obras</v>
      </c>
      <c r="H96" s="400" t="s">
        <v>391</v>
      </c>
      <c r="I96" s="402" t="s">
        <v>59</v>
      </c>
      <c r="J96" s="423" t="s">
        <v>892</v>
      </c>
      <c r="K96" s="423" t="s">
        <v>893</v>
      </c>
      <c r="L96" s="424" t="s">
        <v>894</v>
      </c>
      <c r="M96" s="402" t="s">
        <v>63</v>
      </c>
      <c r="N96" s="402" t="s">
        <v>42</v>
      </c>
      <c r="O96" s="416">
        <v>48</v>
      </c>
      <c r="P96" s="417" t="str">
        <f>IF(O96&lt;=0,"",IF(O96&lt;=2,"Muy Baja",IF(O96&lt;=24,"Baja",IF(O96&lt;=500,"Media",IF(O96&lt;=5000,"Alta","Muy Alta")))))</f>
        <v>Media</v>
      </c>
      <c r="Q96" s="405">
        <f>IF(P96="","",IF(P96="Muy Baja",0.2,IF(P96="Baja",0.4,IF(P96="Media",0.6,IF(P96="Alta",0.8,IF(P96="Muy Alta",1,))))))</f>
        <v>0.6</v>
      </c>
      <c r="R96" s="406" t="s">
        <v>428</v>
      </c>
      <c r="S96" s="405" t="str">
        <f>IF(NOT(ISERROR(MATCH(R96,'[2]Tabla Impacto'!$B$245:$B$247,0))),'[2]Tabla Impacto'!$F$224&amp;"Por favor no seleccionar los criterios de impacto(Afectación Económica o presupuestal y Pérdida Reputacional)",R96)</f>
        <v xml:space="preserve">     El riesgo afecta la imagen de la entidad con algunos usuarios de relevancia frente al logro de los objetivos</v>
      </c>
      <c r="T96" s="417" t="str">
        <f>IF(OR(S96='[2]Tabla Impacto'!$C$12,S96='[2]Tabla Impacto'!$D$12),"Leve",IF(OR(S96='[2]Tabla Impacto'!$C$13,S96='[2]Tabla Impacto'!$D$13),"Menor",IF(OR(S96='[2]Tabla Impacto'!$C$14,S96='[2]Tabla Impacto'!$D$14),"Moderado",IF(OR(S96='[2]Tabla Impacto'!$C$15,S96='[2]Tabla Impacto'!$D$15),"Mayor",IF(OR(S96='[2]Tabla Impacto'!$C$16,S96='[2]Tabla Impacto'!$D$16),"Catastrófico","")))))</f>
        <v>Moderado</v>
      </c>
      <c r="U96" s="405">
        <f>IF(T96="","",IF(T96="Leve",0.2,IF(T96="Menor",0.4,IF(T96="Moderado",0.6,IF(T96="Mayor",0.8,IF(T96="Catastrófico",1,))))))</f>
        <v>0.6</v>
      </c>
      <c r="V96" s="418" t="str">
        <f>IF(OR(AND(P96="Muy Baja",T96="Leve"),AND(P96="Muy Baja",T96="Menor"),AND(P96="Baja",T96="Leve")),"Bajo",IF(OR(AND(P96="Muy baja",T96="Moderado"),AND(P96="Baja",T96="Menor"),AND(P96="Baja",T96="Moderado"),AND(P96="Media",T96="Leve"),AND(P96="Media",T96="Menor"),AND(P96="Media",T96="Moderado"),AND(P96="Alta",T96="Leve"),AND(P96="Alta",T96="Menor")),"Moderado",IF(OR(AND(P96="Muy Baja",T96="Mayor"),AND(P96="Baja",T96="Mayor"),AND(P96="Media",T96="Mayor"),AND(P96="Alta",T96="Moderado"),AND(P96="Alta",T96="Mayor"),AND(P96="Muy Alta",T96="Leve"),AND(P96="Muy Alta",T96="Menor"),AND(P96="Muy Alta",T96="Moderado"),AND(P96="Muy Alta",T96="Mayor")),"Alto",IF(OR(AND(P96="Muy Baja",T96="Catastrófico"),AND(P96="Baja",T96="Catastrófico"),AND(P96="Media",T96="Catastrófico"),AND(P96="Alta",T96="Catastrófico"),AND(P96="Muy Alta",T96="Catastrófico")),"Extremo",""))))</f>
        <v>Moderado</v>
      </c>
      <c r="W96" s="149">
        <v>1</v>
      </c>
      <c r="X96" s="182" t="s">
        <v>880</v>
      </c>
      <c r="Y96" s="351" t="s">
        <v>52</v>
      </c>
      <c r="Z96" s="348" t="s">
        <v>895</v>
      </c>
      <c r="AA96" s="174" t="str">
        <f>+CONCATENATE(X96," ",Y96," ",Z96)</f>
        <v xml:space="preserve">El profesional designado por el Subdirector de Intervención de la Infraestructura  Revisa semanalmente el cumplimiento de la programación e informa al comité técnico el avance de lo programado, la ejecución y el cumplimiento de las metas misionales. Como evidencia queda el correo enviado que contiene el avance semanal del cumplimiento a lo programado por cada estrategia.
En caso de evidenciar retrasos en el comité se impartiran medidas a tener en cuenta para dar cumplimiento al programa de trabajo. </v>
      </c>
      <c r="AB96" s="126" t="str">
        <f>IF(OR(AC96="Preventivo",AC96="Detectivo"),"Probabilidad",IF(AC96="Correctivo","Impacto",""))</f>
        <v>Probabilidad</v>
      </c>
      <c r="AC96" s="127" t="s">
        <v>393</v>
      </c>
      <c r="AD96" s="127" t="s">
        <v>394</v>
      </c>
      <c r="AE96" s="128" t="str">
        <f>IF(AND(AC96="Preventivo",AD96="Automático"),"50%",IF(AND(AC96="Preventivo",AD96="Manual"),"40%",IF(AND(AC96="Detectivo",AD96="Automático"),"40%",IF(AND(AC96="Detectivo",AD96="Manual"),"30%",IF(AND(AC96="Correctivo",AD96="Automático"),"35%",IF(AND(AC96="Correctivo",AD96="Manual"),"25%",""))))))</f>
        <v>30%</v>
      </c>
      <c r="AF96" s="127" t="s">
        <v>395</v>
      </c>
      <c r="AG96" s="127" t="s">
        <v>396</v>
      </c>
      <c r="AH96" s="127" t="s">
        <v>397</v>
      </c>
      <c r="AI96" s="129">
        <f>IFERROR(IF(AB96="Probabilidad",(Q96-(+Q96*AE96)),IF(AB96="Impacto",Q96,"")),"")</f>
        <v>0.42</v>
      </c>
      <c r="AJ96" s="130" t="str">
        <f>IFERROR(IF(AI96="","",IF(AI96&lt;=0.2,"Muy Baja",IF(AI96&lt;=0.4,"Baja",IF(AI96&lt;=0.6,"Media",IF(AI96&lt;=0.8,"Alta","Muy Alta"))))),"")</f>
        <v>Media</v>
      </c>
      <c r="AK96" s="128">
        <f>+AI96</f>
        <v>0.42</v>
      </c>
      <c r="AL96" s="130" t="str">
        <f>IFERROR(IF(AM96="","",IF(AM96&lt;=0.2,"Leve",IF(AM96&lt;=0.4,"Menor",IF(AM96&lt;=0.6,"Moderado",IF(AM96&lt;=0.8,"Mayor","Catastrófico"))))),"")</f>
        <v>Moderado</v>
      </c>
      <c r="AM96" s="128">
        <f t="shared" ref="AM96" si="135">IFERROR(IF(AB96="Impacto",(U96-(+U96*AE96)),IF(AB96="Probabilidad",U96,"")),"")</f>
        <v>0.6</v>
      </c>
      <c r="AN96" s="131" t="str">
        <f>IFERROR(IF(OR(AND(AJ96="Muy Baja",AL96="Leve"),AND(AJ96="Muy Baja",AL96="Menor"),AND(AJ96="Baja",AL96="Leve")),"Bajo",IF(OR(AND(AJ96="Muy baja",AL96="Moderado"),AND(AJ96="Baja",AL96="Menor"),AND(AJ96="Baja",AL96="Moderado"),AND(AJ96="Media",AL96="Leve"),AND(AJ96="Media",AL96="Menor"),AND(AJ96="Media",AL96="Moderado"),AND(AJ96="Alta",AL96="Leve"),AND(AJ96="Alta",AL96="Menor")),"Moderado",IF(OR(AND(AJ96="Muy Baja",AL96="Mayor"),AND(AJ96="Baja",AL96="Mayor"),AND(AJ96="Media",AL96="Mayor"),AND(AJ96="Alta",AL96="Moderado"),AND(AJ96="Alta",AL96="Mayor"),AND(AJ96="Muy Alta",AL96="Leve"),AND(AJ96="Muy Alta",AL96="Menor"),AND(AJ96="Muy Alta",AL96="Moderado"),AND(AJ96="Muy Alta",AL96="Mayor")),"Alto",IF(OR(AND(AJ96="Muy Baja",AL96="Catastrófico"),AND(AJ96="Baja",AL96="Catastrófico"),AND(AJ96="Media",AL96="Catastrófico"),AND(AJ96="Alta",AL96="Catastrófico"),AND(AJ96="Muy Alta",AL96="Catastrófico")),"Extremo","")))),"")</f>
        <v>Moderado</v>
      </c>
      <c r="AO96" s="132"/>
      <c r="AP96" s="304" t="s">
        <v>896</v>
      </c>
      <c r="AQ96" s="353" t="s">
        <v>883</v>
      </c>
      <c r="AR96" s="353" t="s">
        <v>884</v>
      </c>
      <c r="AS96" s="347" t="s">
        <v>885</v>
      </c>
      <c r="AT96" s="402" t="s">
        <v>859</v>
      </c>
      <c r="AU96" s="402" t="s">
        <v>886</v>
      </c>
      <c r="AV96" s="402" t="s">
        <v>883</v>
      </c>
    </row>
    <row r="97" spans="1:48" ht="69.75" customHeight="1" x14ac:dyDescent="0.2">
      <c r="A97" s="398"/>
      <c r="B97" s="401"/>
      <c r="C97" s="423"/>
      <c r="D97" s="421"/>
      <c r="E97" s="401"/>
      <c r="F97" s="401"/>
      <c r="G97" s="401"/>
      <c r="H97" s="400"/>
      <c r="I97" s="403"/>
      <c r="J97" s="423"/>
      <c r="K97" s="423"/>
      <c r="L97" s="425"/>
      <c r="M97" s="403"/>
      <c r="N97" s="403"/>
      <c r="O97" s="416"/>
      <c r="P97" s="417"/>
      <c r="Q97" s="405"/>
      <c r="R97" s="406"/>
      <c r="S97" s="405">
        <f>IF(NOT(ISERROR(MATCH(R97,_xlfn.ANCHORARRAY(G108),0))),Q110&amp;"Por favor no seleccionar los criterios de impacto",R97)</f>
        <v>0</v>
      </c>
      <c r="T97" s="417"/>
      <c r="U97" s="405"/>
      <c r="V97" s="418"/>
      <c r="W97" s="149">
        <v>2</v>
      </c>
      <c r="X97" s="182" t="s">
        <v>887</v>
      </c>
      <c r="Y97" s="351" t="s">
        <v>37</v>
      </c>
      <c r="Z97" s="348" t="s">
        <v>897</v>
      </c>
      <c r="AA97" s="174" t="str">
        <f t="shared" ref="AA97:AA103" si="136">+CONCATENATE(X97," ",Y97," ",Z97)</f>
        <v>El profesional encargado designado por el Gerente de Infraestructura Urbana Verifica mensualmente las alertas emitidas por los diferentes frentes de obra sobre el estado del funcionamiento de la maquinaria, equipos y la experticia de los operarios. 
Como evidencia queda el Informe de novedades de maquinaria y equipos en frentes de obra dirigido a la Subdirección de Producción y Apoyo Logístico, anexando el acta de reunión de la mesa de trabajo.
En caso que no sean atendidas y sean reiterativas, se solicita mesa de trabajo con la Gerencia de Maquinaria y Equipos.</v>
      </c>
      <c r="AB97" s="126" t="str">
        <f>IF(OR(AC97="Preventivo",AC97="Detectivo"),"Probabilidad",IF(AC97="Correctivo","Impacto",""))</f>
        <v>Probabilidad</v>
      </c>
      <c r="AC97" s="127" t="s">
        <v>393</v>
      </c>
      <c r="AD97" s="127" t="s">
        <v>394</v>
      </c>
      <c r="AE97" s="128" t="str">
        <f t="shared" ref="AE97:AE101" si="137">IF(AND(AC97="Preventivo",AD97="Automático"),"50%",IF(AND(AC97="Preventivo",AD97="Manual"),"40%",IF(AND(AC97="Detectivo",AD97="Automático"),"40%",IF(AND(AC97="Detectivo",AD97="Manual"),"30%",IF(AND(AC97="Correctivo",AD97="Automático"),"35%",IF(AND(AC97="Correctivo",AD97="Manual"),"25%",""))))))</f>
        <v>30%</v>
      </c>
      <c r="AF97" s="127" t="s">
        <v>395</v>
      </c>
      <c r="AG97" s="127" t="s">
        <v>396</v>
      </c>
      <c r="AH97" s="127" t="s">
        <v>397</v>
      </c>
      <c r="AI97" s="129">
        <f>IFERROR(IF(AND(AB96="Probabilidad",AB97="Probabilidad"),(AK96-(+AK96*AE97)),IF(AB97="Probabilidad",(Q96-(+Q96*AE97)),IF(AB97="Impacto",AK96,""))),"")</f>
        <v>0.29399999999999998</v>
      </c>
      <c r="AJ97" s="130" t="str">
        <f t="shared" si="101"/>
        <v>Baja</v>
      </c>
      <c r="AK97" s="128">
        <f t="shared" ref="AK97:AK101" si="138">+AI97</f>
        <v>0.29399999999999998</v>
      </c>
      <c r="AL97" s="130" t="str">
        <f t="shared" si="103"/>
        <v>Moderado</v>
      </c>
      <c r="AM97" s="128">
        <f t="shared" ref="AM97" si="139">IFERROR(IF(AND(AB96="Impacto",AB97="Impacto"),(AM96-(+AM96*AE97)),IF(AB97="Impacto",($U$10-(+$U$10*AE97)),IF(AB97="Probabilidad",AM96,""))),"")</f>
        <v>0.6</v>
      </c>
      <c r="AN97" s="131" t="str">
        <f t="shared" ref="AN97:AN98" si="140">IFERROR(IF(OR(AND(AJ97="Muy Baja",AL97="Leve"),AND(AJ97="Muy Baja",AL97="Menor"),AND(AJ97="Baja",AL97="Leve")),"Bajo",IF(OR(AND(AJ97="Muy baja",AL97="Moderado"),AND(AJ97="Baja",AL97="Menor"),AND(AJ97="Baja",AL97="Moderado"),AND(AJ97="Media",AL97="Leve"),AND(AJ97="Media",AL97="Menor"),AND(AJ97="Media",AL97="Moderado"),AND(AJ97="Alta",AL97="Leve"),AND(AJ97="Alta",AL97="Menor")),"Moderado",IF(OR(AND(AJ97="Muy Baja",AL97="Mayor"),AND(AJ97="Baja",AL97="Mayor"),AND(AJ97="Media",AL97="Mayor"),AND(AJ97="Alta",AL97="Moderado"),AND(AJ97="Alta",AL97="Mayor"),AND(AJ97="Muy Alta",AL97="Leve"),AND(AJ97="Muy Alta",AL97="Menor"),AND(AJ97="Muy Alta",AL97="Moderado"),AND(AJ97="Muy Alta",AL97="Mayor")),"Alto",IF(OR(AND(AJ97="Muy Baja",AL97="Catastrófico"),AND(AJ97="Baja",AL97="Catastrófico"),AND(AJ97="Media",AL97="Catastrófico"),AND(AJ97="Alta",AL97="Catastrófico"),AND(AJ97="Muy Alta",AL97="Catastrófico")),"Extremo","")))),"")</f>
        <v>Moderado</v>
      </c>
      <c r="AO97" s="355" t="s">
        <v>43</v>
      </c>
      <c r="AP97" s="304" t="s">
        <v>898</v>
      </c>
      <c r="AQ97" s="353" t="s">
        <v>883</v>
      </c>
      <c r="AR97" s="353" t="s">
        <v>884</v>
      </c>
      <c r="AS97" s="347" t="s">
        <v>885</v>
      </c>
      <c r="AT97" s="403"/>
      <c r="AU97" s="403"/>
      <c r="AV97" s="403"/>
    </row>
    <row r="98" spans="1:48" x14ac:dyDescent="0.2">
      <c r="A98" s="398"/>
      <c r="B98" s="401"/>
      <c r="C98" s="423"/>
      <c r="D98" s="421"/>
      <c r="E98" s="401"/>
      <c r="F98" s="401"/>
      <c r="G98" s="401"/>
      <c r="H98" s="400"/>
      <c r="I98" s="403"/>
      <c r="J98" s="423"/>
      <c r="K98" s="423"/>
      <c r="L98" s="425"/>
      <c r="M98" s="403"/>
      <c r="N98" s="403"/>
      <c r="O98" s="416"/>
      <c r="P98" s="417"/>
      <c r="Q98" s="405"/>
      <c r="R98" s="406"/>
      <c r="S98" s="405">
        <f>IF(NOT(ISERROR(MATCH(R98,_xlfn.ANCHORARRAY(G109),0))),Q111&amp;"Por favor no seleccionar los criterios de impacto",R98)</f>
        <v>0</v>
      </c>
      <c r="T98" s="417"/>
      <c r="U98" s="405"/>
      <c r="V98" s="418"/>
      <c r="W98" s="149">
        <v>3</v>
      </c>
      <c r="X98" s="182"/>
      <c r="Y98" s="149"/>
      <c r="Z98" s="336"/>
      <c r="AA98" s="174" t="str">
        <f t="shared" si="136"/>
        <v xml:space="preserve">  </v>
      </c>
      <c r="AB98" s="126" t="str">
        <f>IF(OR(AC98="Preventivo",AC98="Detectivo"),"Probabilidad",IF(AC98="Correctivo","Impacto",""))</f>
        <v/>
      </c>
      <c r="AC98" s="127"/>
      <c r="AD98" s="127"/>
      <c r="AE98" s="128" t="str">
        <f t="shared" si="137"/>
        <v/>
      </c>
      <c r="AF98" s="127"/>
      <c r="AG98" s="127"/>
      <c r="AH98" s="127"/>
      <c r="AI98" s="129" t="str">
        <f>IFERROR(IF(AND(AB97="Probabilidad",AB98="Probabilidad"),(AK97-(+AK97*AE98)),IF(AND(AB97="Impacto",AB98="Probabilidad"),(AK96-(+AK96*AE98)),IF(AB98="Impacto",AK97,""))),"")</f>
        <v/>
      </c>
      <c r="AJ98" s="130" t="str">
        <f t="shared" si="101"/>
        <v/>
      </c>
      <c r="AK98" s="128" t="str">
        <f t="shared" si="138"/>
        <v/>
      </c>
      <c r="AL98" s="130" t="str">
        <f t="shared" si="103"/>
        <v/>
      </c>
      <c r="AM98" s="128" t="str">
        <f t="shared" ref="AM98" si="141">IFERROR(IF(AND(AB97="Impacto",AB98="Impacto"),(AM97-(+AM97*AE98)),IF(AND(AB97="Probabilidad",AB98="Impacto"),(AM96-(+AM96*AE98)),IF(AB98="Probabilidad",AM97,""))),"")</f>
        <v/>
      </c>
      <c r="AN98" s="131" t="str">
        <f t="shared" si="140"/>
        <v/>
      </c>
      <c r="AO98" s="132"/>
      <c r="AP98" s="304"/>
      <c r="AQ98" s="353"/>
      <c r="AR98" s="353"/>
      <c r="AS98" s="347"/>
      <c r="AT98" s="403"/>
      <c r="AU98" s="403"/>
      <c r="AV98" s="403"/>
    </row>
    <row r="99" spans="1:48" x14ac:dyDescent="0.2">
      <c r="A99" s="398"/>
      <c r="B99" s="401"/>
      <c r="C99" s="423"/>
      <c r="D99" s="421"/>
      <c r="E99" s="401"/>
      <c r="F99" s="401"/>
      <c r="G99" s="401"/>
      <c r="H99" s="400"/>
      <c r="I99" s="403"/>
      <c r="J99" s="423"/>
      <c r="K99" s="423"/>
      <c r="L99" s="425"/>
      <c r="M99" s="403"/>
      <c r="N99" s="403"/>
      <c r="O99" s="416"/>
      <c r="P99" s="417"/>
      <c r="Q99" s="405"/>
      <c r="R99" s="406"/>
      <c r="S99" s="405">
        <f>IF(NOT(ISERROR(MATCH(R99,_xlfn.ANCHORARRAY(G110),0))),Q112&amp;"Por favor no seleccionar los criterios de impacto",R99)</f>
        <v>0</v>
      </c>
      <c r="T99" s="417"/>
      <c r="U99" s="405"/>
      <c r="V99" s="418"/>
      <c r="W99" s="149">
        <v>4</v>
      </c>
      <c r="X99" s="182"/>
      <c r="Y99" s="149"/>
      <c r="Z99" s="336"/>
      <c r="AA99" s="174" t="str">
        <f t="shared" si="136"/>
        <v xml:space="preserve">  </v>
      </c>
      <c r="AB99" s="126" t="str">
        <f t="shared" ref="AB99:AB101" si="142">IF(OR(AC99="Preventivo",AC99="Detectivo"),"Probabilidad",IF(AC99="Correctivo","Impacto",""))</f>
        <v/>
      </c>
      <c r="AC99" s="127"/>
      <c r="AD99" s="127"/>
      <c r="AE99" s="128" t="str">
        <f t="shared" si="137"/>
        <v/>
      </c>
      <c r="AF99" s="127"/>
      <c r="AG99" s="127"/>
      <c r="AH99" s="127"/>
      <c r="AI99" s="129" t="str">
        <f t="shared" ref="AI99:AI101" si="143">IFERROR(IF(AND(AB98="Probabilidad",AB99="Probabilidad"),(AK98-(+AK98*AE99)),IF(AND(AB98="Impacto",AB99="Probabilidad"),(AK97-(+AK97*AE99)),IF(AB99="Impacto",AK98,""))),"")</f>
        <v/>
      </c>
      <c r="AJ99" s="130" t="str">
        <f t="shared" si="101"/>
        <v/>
      </c>
      <c r="AK99" s="128" t="str">
        <f t="shared" si="138"/>
        <v/>
      </c>
      <c r="AL99" s="130" t="str">
        <f t="shared" si="103"/>
        <v/>
      </c>
      <c r="AM99" s="128" t="str">
        <f t="shared" si="112"/>
        <v/>
      </c>
      <c r="AN99" s="131" t="str">
        <f>IFERROR(IF(OR(AND(AJ99="Muy Baja",AL99="Leve"),AND(AJ99="Muy Baja",AL99="Menor"),AND(AJ99="Baja",AL99="Leve")),"Bajo",IF(OR(AND(AJ99="Muy baja",AL99="Moderado"),AND(AJ99="Baja",AL99="Menor"),AND(AJ99="Baja",AL99="Moderado"),AND(AJ99="Media",AL99="Leve"),AND(AJ99="Media",AL99="Menor"),AND(AJ99="Media",AL99="Moderado"),AND(AJ99="Alta",AL99="Leve"),AND(AJ99="Alta",AL99="Menor")),"Moderado",IF(OR(AND(AJ99="Muy Baja",AL99="Mayor"),AND(AJ99="Baja",AL99="Mayor"),AND(AJ99="Media",AL99="Mayor"),AND(AJ99="Alta",AL99="Moderado"),AND(AJ99="Alta",AL99="Mayor"),AND(AJ99="Muy Alta",AL99="Leve"),AND(AJ99="Muy Alta",AL99="Menor"),AND(AJ99="Muy Alta",AL99="Moderado"),AND(AJ99="Muy Alta",AL99="Mayor")),"Alto",IF(OR(AND(AJ99="Muy Baja",AL99="Catastrófico"),AND(AJ99="Baja",AL99="Catastrófico"),AND(AJ99="Media",AL99="Catastrófico"),AND(AJ99="Alta",AL99="Catastrófico"),AND(AJ99="Muy Alta",AL99="Catastrófico")),"Extremo","")))),"")</f>
        <v/>
      </c>
      <c r="AO99" s="132"/>
      <c r="AP99" s="304"/>
      <c r="AQ99" s="353"/>
      <c r="AR99" s="353"/>
      <c r="AS99" s="347"/>
      <c r="AT99" s="403"/>
      <c r="AU99" s="403"/>
      <c r="AV99" s="403"/>
    </row>
    <row r="100" spans="1:48" x14ac:dyDescent="0.2">
      <c r="A100" s="398"/>
      <c r="B100" s="401"/>
      <c r="C100" s="423"/>
      <c r="D100" s="421"/>
      <c r="E100" s="401"/>
      <c r="F100" s="401"/>
      <c r="G100" s="401"/>
      <c r="H100" s="400"/>
      <c r="I100" s="403"/>
      <c r="J100" s="423"/>
      <c r="K100" s="423"/>
      <c r="L100" s="425"/>
      <c r="M100" s="403"/>
      <c r="N100" s="403"/>
      <c r="O100" s="416"/>
      <c r="P100" s="417"/>
      <c r="Q100" s="405"/>
      <c r="R100" s="406"/>
      <c r="S100" s="405">
        <f>IF(NOT(ISERROR(MATCH(R100,_xlfn.ANCHORARRAY(G111),0))),Q113&amp;"Por favor no seleccionar los criterios de impacto",R100)</f>
        <v>0</v>
      </c>
      <c r="T100" s="417"/>
      <c r="U100" s="405"/>
      <c r="V100" s="418"/>
      <c r="W100" s="149">
        <v>5</v>
      </c>
      <c r="X100" s="182"/>
      <c r="Y100" s="149"/>
      <c r="Z100" s="336"/>
      <c r="AA100" s="174" t="str">
        <f t="shared" si="136"/>
        <v xml:space="preserve">  </v>
      </c>
      <c r="AB100" s="126" t="str">
        <f t="shared" si="142"/>
        <v/>
      </c>
      <c r="AC100" s="127"/>
      <c r="AD100" s="127"/>
      <c r="AE100" s="128" t="str">
        <f t="shared" si="137"/>
        <v/>
      </c>
      <c r="AF100" s="127"/>
      <c r="AG100" s="127"/>
      <c r="AH100" s="127"/>
      <c r="AI100" s="129" t="str">
        <f t="shared" si="143"/>
        <v/>
      </c>
      <c r="AJ100" s="130" t="str">
        <f t="shared" si="101"/>
        <v/>
      </c>
      <c r="AK100" s="128" t="str">
        <f t="shared" si="138"/>
        <v/>
      </c>
      <c r="AL100" s="130" t="str">
        <f t="shared" si="103"/>
        <v/>
      </c>
      <c r="AM100" s="128" t="str">
        <f t="shared" si="112"/>
        <v/>
      </c>
      <c r="AN100" s="131" t="str">
        <f t="shared" ref="AN100:AN101" si="144">IFERROR(IF(OR(AND(AJ100="Muy Baja",AL100="Leve"),AND(AJ100="Muy Baja",AL100="Menor"),AND(AJ100="Baja",AL100="Leve")),"Bajo",IF(OR(AND(AJ100="Muy baja",AL100="Moderado"),AND(AJ100="Baja",AL100="Menor"),AND(AJ100="Baja",AL100="Moderado"),AND(AJ100="Media",AL100="Leve"),AND(AJ100="Media",AL100="Menor"),AND(AJ100="Media",AL100="Moderado"),AND(AJ100="Alta",AL100="Leve"),AND(AJ100="Alta",AL100="Menor")),"Moderado",IF(OR(AND(AJ100="Muy Baja",AL100="Mayor"),AND(AJ100="Baja",AL100="Mayor"),AND(AJ100="Media",AL100="Mayor"),AND(AJ100="Alta",AL100="Moderado"),AND(AJ100="Alta",AL100="Mayor"),AND(AJ100="Muy Alta",AL100="Leve"),AND(AJ100="Muy Alta",AL100="Menor"),AND(AJ100="Muy Alta",AL100="Moderado"),AND(AJ100="Muy Alta",AL100="Mayor")),"Alto",IF(OR(AND(AJ100="Muy Baja",AL100="Catastrófico"),AND(AJ100="Baja",AL100="Catastrófico"),AND(AJ100="Media",AL100="Catastrófico"),AND(AJ100="Alta",AL100="Catastrófico"),AND(AJ100="Muy Alta",AL100="Catastrófico")),"Extremo","")))),"")</f>
        <v/>
      </c>
      <c r="AO100" s="132"/>
      <c r="AP100" s="304"/>
      <c r="AQ100" s="353"/>
      <c r="AR100" s="353"/>
      <c r="AS100" s="347"/>
      <c r="AT100" s="403"/>
      <c r="AU100" s="403"/>
      <c r="AV100" s="403"/>
    </row>
    <row r="101" spans="1:48" x14ac:dyDescent="0.2">
      <c r="A101" s="398"/>
      <c r="B101" s="401"/>
      <c r="C101" s="423"/>
      <c r="D101" s="422"/>
      <c r="E101" s="401"/>
      <c r="F101" s="401"/>
      <c r="G101" s="401"/>
      <c r="H101" s="400"/>
      <c r="I101" s="404"/>
      <c r="J101" s="423"/>
      <c r="K101" s="423"/>
      <c r="L101" s="426"/>
      <c r="M101" s="404"/>
      <c r="N101" s="404"/>
      <c r="O101" s="416"/>
      <c r="P101" s="417"/>
      <c r="Q101" s="405"/>
      <c r="R101" s="406"/>
      <c r="S101" s="405">
        <f>IF(NOT(ISERROR(MATCH(R101,_xlfn.ANCHORARRAY(G112),0))),Q114&amp;"Por favor no seleccionar los criterios de impacto",R101)</f>
        <v>0</v>
      </c>
      <c r="T101" s="417"/>
      <c r="U101" s="405"/>
      <c r="V101" s="418"/>
      <c r="W101" s="149">
        <v>6</v>
      </c>
      <c r="X101" s="182"/>
      <c r="Y101" s="149"/>
      <c r="Z101" s="336"/>
      <c r="AA101" s="174" t="str">
        <f t="shared" si="136"/>
        <v xml:space="preserve">  </v>
      </c>
      <c r="AB101" s="126" t="str">
        <f t="shared" si="142"/>
        <v/>
      </c>
      <c r="AC101" s="127"/>
      <c r="AD101" s="127"/>
      <c r="AE101" s="128" t="str">
        <f t="shared" si="137"/>
        <v/>
      </c>
      <c r="AF101" s="127"/>
      <c r="AG101" s="127"/>
      <c r="AH101" s="127"/>
      <c r="AI101" s="129" t="str">
        <f t="shared" si="143"/>
        <v/>
      </c>
      <c r="AJ101" s="130" t="str">
        <f t="shared" si="101"/>
        <v/>
      </c>
      <c r="AK101" s="128" t="str">
        <f t="shared" si="138"/>
        <v/>
      </c>
      <c r="AL101" s="130" t="str">
        <f t="shared" si="103"/>
        <v/>
      </c>
      <c r="AM101" s="128" t="str">
        <f t="shared" si="112"/>
        <v/>
      </c>
      <c r="AN101" s="131" t="str">
        <f t="shared" si="144"/>
        <v/>
      </c>
      <c r="AO101" s="132"/>
      <c r="AP101" s="304"/>
      <c r="AQ101" s="353"/>
      <c r="AR101" s="353"/>
      <c r="AS101" s="347"/>
      <c r="AT101" s="404"/>
      <c r="AU101" s="404"/>
      <c r="AV101" s="404"/>
    </row>
    <row r="102" spans="1:48" ht="69.75" customHeight="1" x14ac:dyDescent="0.2">
      <c r="A102" s="398">
        <v>16</v>
      </c>
      <c r="B102" s="400" t="s">
        <v>555</v>
      </c>
      <c r="C102" s="401" t="s">
        <v>40</v>
      </c>
      <c r="D102" s="420" t="s">
        <v>899</v>
      </c>
      <c r="E102" s="401" t="s">
        <v>900</v>
      </c>
      <c r="F102" s="401" t="s">
        <v>901</v>
      </c>
      <c r="G102" s="401" t="str">
        <f t="shared" ref="G102" si="145">+CONCATENATE(C102," ",D102," ",E102)</f>
        <v>Posibilidad de afectación reputacional por la aprobación de un proyecto inviable para el desarrollo misional de la entidad. Debido a la deficiencia  en la revisión de aspectos economico y tecnico que se requiere para el desarrollo de la misionalidad de la entidad y/o debilidades con las  alianzas estrategicas con otras entidades.</v>
      </c>
      <c r="H102" s="400" t="s">
        <v>391</v>
      </c>
      <c r="I102" s="402" t="s">
        <v>59</v>
      </c>
      <c r="J102" s="423" t="s">
        <v>902</v>
      </c>
      <c r="K102" s="423" t="s">
        <v>903</v>
      </c>
      <c r="L102" s="424" t="s">
        <v>1063</v>
      </c>
      <c r="M102" s="402" t="s">
        <v>63</v>
      </c>
      <c r="N102" s="402" t="s">
        <v>42</v>
      </c>
      <c r="O102" s="427">
        <v>6</v>
      </c>
      <c r="P102" s="417" t="str">
        <f>IF(O102&lt;=0,"",IF(O102&lt;=2,"Muy Baja",IF(O102&lt;=24,"Baja",IF(O102&lt;=500,"Media",IF(O102&lt;=5000,"Alta","Muy Alta")))))</f>
        <v>Baja</v>
      </c>
      <c r="Q102" s="405">
        <f>IF(P102="","",IF(P102="Muy Baja",0.2,IF(P102="Baja",0.4,IF(P102="Media",0.6,IF(P102="Alta",0.8,IF(P102="Muy Alta",1,))))))</f>
        <v>0.4</v>
      </c>
      <c r="R102" s="406" t="s">
        <v>513</v>
      </c>
      <c r="S102" s="405" t="str">
        <f>IF(NOT(ISERROR(MATCH(R102,'[2]Tabla Impacto'!$B$245:$B$247,0))),'[2]Tabla Impacto'!$F$224&amp;"Por favor no seleccionar los criterios de impacto(Afectación Económica o presupuestal y Pérdida Reputacional)",R102)</f>
        <v xml:space="preserve">     El riesgo afecta la imagen de la entidad internamente, de conocimiento general, nivel interno, de junta dircetiva y accionistas y/o de provedores</v>
      </c>
      <c r="T102" s="417" t="str">
        <f>IF(OR(S102='[2]Tabla Impacto'!$C$12,S102='[2]Tabla Impacto'!$D$12),"Leve",IF(OR(S102='[2]Tabla Impacto'!$C$13,S102='[2]Tabla Impacto'!$D$13),"Menor",IF(OR(S102='[2]Tabla Impacto'!$C$14,S102='[2]Tabla Impacto'!$D$14),"Moderado",IF(OR(S102='[2]Tabla Impacto'!$C$15,S102='[2]Tabla Impacto'!$D$15),"Mayor",IF(OR(S102='[2]Tabla Impacto'!$C$16,S102='[2]Tabla Impacto'!$D$16),"Catastrófico","")))))</f>
        <v>Menor</v>
      </c>
      <c r="U102" s="405">
        <f>IF(T102="","",IF(T102="Leve",0.2,IF(T102="Menor",0.4,IF(T102="Moderado",0.6,IF(T102="Mayor",0.8,IF(T102="Catastrófico",1,))))))</f>
        <v>0.4</v>
      </c>
      <c r="V102" s="418" t="str">
        <f>IF(OR(AND(P102="Muy Baja",T102="Leve"),AND(P102="Muy Baja",T102="Menor"),AND(P102="Baja",T102="Leve")),"Bajo",IF(OR(AND(P102="Muy baja",T102="Moderado"),AND(P102="Baja",T102="Menor"),AND(P102="Baja",T102="Moderado"),AND(P102="Media",T102="Leve"),AND(P102="Media",T102="Menor"),AND(P102="Media",T102="Moderado"),AND(P102="Alta",T102="Leve"),AND(P102="Alta",T102="Menor")),"Moderado",IF(OR(AND(P102="Muy Baja",T102="Mayor"),AND(P102="Baja",T102="Mayor"),AND(P102="Media",T102="Mayor"),AND(P102="Alta",T102="Moderado"),AND(P102="Alta",T102="Mayor"),AND(P102="Muy Alta",T102="Leve"),AND(P102="Muy Alta",T102="Menor"),AND(P102="Muy Alta",T102="Moderado"),AND(P102="Muy Alta",T102="Mayor")),"Alto",IF(OR(AND(P102="Muy Baja",T102="Catastrófico"),AND(P102="Baja",T102="Catastrófico"),AND(P102="Media",T102="Catastrófico"),AND(P102="Alta",T102="Catastrófico"),AND(P102="Muy Alta",T102="Catastrófico")),"Extremo",""))))</f>
        <v>Moderado</v>
      </c>
      <c r="W102" s="149">
        <v>1</v>
      </c>
      <c r="X102" s="182" t="s">
        <v>904</v>
      </c>
      <c r="Y102" s="182" t="s">
        <v>52</v>
      </c>
      <c r="Z102" s="182" t="s">
        <v>905</v>
      </c>
      <c r="AA102" s="174" t="str">
        <f t="shared" si="136"/>
        <v>Lider de innovación Revisa Cada vez que se plantea la iniciativa de un proyecto de innovación, la viabilidad tecnica en las mesas de trabajo de iniciativas de proyectos, dejando como evidencia un  acta de reunion de las iniciativas. si la propuesta no cumple con lo establecido, no sera aprobada para continuar con su ejecución</v>
      </c>
      <c r="AB102" s="126" t="str">
        <f>IF(OR(AC102="Preventivo",AC102="Detectivo"),"Probabilidad",IF(AC102="Correctivo","Impacto",""))</f>
        <v>Probabilidad</v>
      </c>
      <c r="AC102" s="127" t="s">
        <v>393</v>
      </c>
      <c r="AD102" s="127" t="s">
        <v>394</v>
      </c>
      <c r="AE102" s="128" t="str">
        <f>IF(AND(AC102="Preventivo",AD102="Automático"),"50%",IF(AND(AC102="Preventivo",AD102="Manual"),"40%",IF(AND(AC102="Detectivo",AD102="Automático"),"40%",IF(AND(AC102="Detectivo",AD102="Manual"),"30%",IF(AND(AC102="Correctivo",AD102="Automático"),"35%",IF(AND(AC102="Correctivo",AD102="Manual"),"25%",""))))))</f>
        <v>30%</v>
      </c>
      <c r="AF102" s="127" t="s">
        <v>395</v>
      </c>
      <c r="AG102" s="127" t="s">
        <v>396</v>
      </c>
      <c r="AH102" s="127" t="s">
        <v>397</v>
      </c>
      <c r="AI102" s="129">
        <f>IFERROR(IF(AB102="Probabilidad",(Q102-(+Q102*AE102)),IF(AB102="Impacto",Q102,"")),"")</f>
        <v>0.28000000000000003</v>
      </c>
      <c r="AJ102" s="130" t="str">
        <f>IFERROR(IF(AI102="","",IF(AI102&lt;=0.2,"Muy Baja",IF(AI102&lt;=0.4,"Baja",IF(AI102&lt;=0.6,"Media",IF(AI102&lt;=0.8,"Alta","Muy Alta"))))),"")</f>
        <v>Baja</v>
      </c>
      <c r="AK102" s="128">
        <f>+AI102</f>
        <v>0.28000000000000003</v>
      </c>
      <c r="AL102" s="130" t="str">
        <f>IFERROR(IF(AM102="","",IF(AM102&lt;=0.2,"Leve",IF(AM102&lt;=0.4,"Menor",IF(AM102&lt;=0.6,"Moderado",IF(AM102&lt;=0.8,"Mayor","Catastrófico"))))),"")</f>
        <v>Menor</v>
      </c>
      <c r="AM102" s="128">
        <f t="shared" ref="AM102" si="146">IFERROR(IF(AB102="Impacto",(U102-(+U102*AE102)),IF(AB102="Probabilidad",U102,"")),"")</f>
        <v>0.4</v>
      </c>
      <c r="AN102" s="131" t="str">
        <f>IFERROR(IF(OR(AND(AJ102="Muy Baja",AL102="Leve"),AND(AJ102="Muy Baja",AL102="Menor"),AND(AJ102="Baja",AL102="Leve")),"Bajo",IF(OR(AND(AJ102="Muy baja",AL102="Moderado"),AND(AJ102="Baja",AL102="Menor"),AND(AJ102="Baja",AL102="Moderado"),AND(AJ102="Media",AL102="Leve"),AND(AJ102="Media",AL102="Menor"),AND(AJ102="Media",AL102="Moderado"),AND(AJ102="Alta",AL102="Leve"),AND(AJ102="Alta",AL102="Menor")),"Moderado",IF(OR(AND(AJ102="Muy Baja",AL102="Mayor"),AND(AJ102="Baja",AL102="Mayor"),AND(AJ102="Media",AL102="Mayor"),AND(AJ102="Alta",AL102="Moderado"),AND(AJ102="Alta",AL102="Mayor"),AND(AJ102="Muy Alta",AL102="Leve"),AND(AJ102="Muy Alta",AL102="Menor"),AND(AJ102="Muy Alta",AL102="Moderado"),AND(AJ102="Muy Alta",AL102="Mayor")),"Alto",IF(OR(AND(AJ102="Muy Baja",AL102="Catastrófico"),AND(AJ102="Baja",AL102="Catastrófico"),AND(AJ102="Media",AL102="Catastrófico"),AND(AJ102="Alta",AL102="Catastrófico"),AND(AJ102="Muy Alta",AL102="Catastrófico")),"Extremo","")))),"")</f>
        <v>Moderado</v>
      </c>
      <c r="AO102" s="127"/>
      <c r="AP102" s="304"/>
      <c r="AQ102" s="356"/>
      <c r="AR102" s="304"/>
      <c r="AS102" s="347"/>
      <c r="AT102" s="402" t="s">
        <v>1065</v>
      </c>
      <c r="AU102" s="402" t="s">
        <v>906</v>
      </c>
      <c r="AV102" s="402" t="s">
        <v>907</v>
      </c>
    </row>
    <row r="103" spans="1:48" ht="69.75" customHeight="1" x14ac:dyDescent="0.2">
      <c r="A103" s="398"/>
      <c r="B103" s="400"/>
      <c r="C103" s="401"/>
      <c r="D103" s="421"/>
      <c r="E103" s="401"/>
      <c r="F103" s="401"/>
      <c r="G103" s="401"/>
      <c r="H103" s="400"/>
      <c r="I103" s="403"/>
      <c r="J103" s="423"/>
      <c r="K103" s="423"/>
      <c r="L103" s="425"/>
      <c r="M103" s="403"/>
      <c r="N103" s="403"/>
      <c r="O103" s="427"/>
      <c r="P103" s="417"/>
      <c r="Q103" s="405"/>
      <c r="R103" s="406"/>
      <c r="S103" s="405">
        <f>IF(NOT(ISERROR(MATCH(R103,_xlfn.ANCHORARRAY(G114),0))),Q116&amp;"Por favor no seleccionar los criterios de impacto",R103)</f>
        <v>0</v>
      </c>
      <c r="T103" s="417"/>
      <c r="U103" s="405"/>
      <c r="V103" s="418"/>
      <c r="W103" s="149">
        <v>2</v>
      </c>
      <c r="X103" s="182" t="s">
        <v>908</v>
      </c>
      <c r="Y103" s="149" t="s">
        <v>41</v>
      </c>
      <c r="Z103" s="182" t="s">
        <v>909</v>
      </c>
      <c r="AA103" s="174" t="str">
        <f t="shared" si="136"/>
        <v>Gerente para el desarrollo, la Calidad e Innovación Valida Cada vez que un proyecto finaliza su fase de estructuración, que este cuente con el soporte teorico, tecnico y economico para la ejecución del proyecto, dejando como evidencia la aprobación en el formato acta de constitución del proyecto misional DMIC-FM-001_V1, de no ser asi se dara por finalizado el proyecto planteado inicialmente.</v>
      </c>
      <c r="AB103" s="126" t="str">
        <f>IF(OR(AC103="Preventivo",AC103="Detectivo"),"Probabilidad",IF(AC103="Correctivo","Impacto",""))</f>
        <v>Probabilidad</v>
      </c>
      <c r="AC103" s="127" t="s">
        <v>393</v>
      </c>
      <c r="AD103" s="127" t="s">
        <v>394</v>
      </c>
      <c r="AE103" s="128" t="str">
        <f t="shared" ref="AE103:AE107" si="147">IF(AND(AC103="Preventivo",AD103="Automático"),"50%",IF(AND(AC103="Preventivo",AD103="Manual"),"40%",IF(AND(AC103="Detectivo",AD103="Automático"),"40%",IF(AND(AC103="Detectivo",AD103="Manual"),"30%",IF(AND(AC103="Correctivo",AD103="Automático"),"35%",IF(AND(AC103="Correctivo",AD103="Manual"),"25%",""))))))</f>
        <v>30%</v>
      </c>
      <c r="AF103" s="127" t="s">
        <v>395</v>
      </c>
      <c r="AG103" s="127" t="s">
        <v>396</v>
      </c>
      <c r="AH103" s="127" t="s">
        <v>397</v>
      </c>
      <c r="AI103" s="129">
        <f>IFERROR(IF(AND(AB102="Probabilidad",AB103="Probabilidad"),(AK102-(+AK102*AE103)),IF(AB103="Probabilidad",(Q102-(+Q102*AE103)),IF(AB103="Impacto",AK102,""))),"")</f>
        <v>0.19600000000000001</v>
      </c>
      <c r="AJ103" s="130" t="str">
        <f t="shared" si="101"/>
        <v>Muy Baja</v>
      </c>
      <c r="AK103" s="128">
        <f t="shared" ref="AK103:AK107" si="148">+AI103</f>
        <v>0.19600000000000001</v>
      </c>
      <c r="AL103" s="130" t="str">
        <f t="shared" si="103"/>
        <v>Menor</v>
      </c>
      <c r="AM103" s="128">
        <f t="shared" ref="AM103" si="149">IFERROR(IF(AND(AB102="Impacto",AB103="Impacto"),(AM102-(+AM102*AE103)),IF(AB103="Impacto",($U$10-(+$U$10*AE103)),IF(AB103="Probabilidad",AM102,""))),"")</f>
        <v>0.4</v>
      </c>
      <c r="AN103" s="131" t="str">
        <f t="shared" ref="AN103:AN104" si="150">IFERROR(IF(OR(AND(AJ103="Muy Baja",AL103="Leve"),AND(AJ103="Muy Baja",AL103="Menor"),AND(AJ103="Baja",AL103="Leve")),"Bajo",IF(OR(AND(AJ103="Muy baja",AL103="Moderado"),AND(AJ103="Baja",AL103="Menor"),AND(AJ103="Baja",AL103="Moderado"),AND(AJ103="Media",AL103="Leve"),AND(AJ103="Media",AL103="Menor"),AND(AJ103="Media",AL103="Moderado"),AND(AJ103="Alta",AL103="Leve"),AND(AJ103="Alta",AL103="Menor")),"Moderado",IF(OR(AND(AJ103="Muy Baja",AL103="Mayor"),AND(AJ103="Baja",AL103="Mayor"),AND(AJ103="Media",AL103="Mayor"),AND(AJ103="Alta",AL103="Moderado"),AND(AJ103="Alta",AL103="Mayor"),AND(AJ103="Muy Alta",AL103="Leve"),AND(AJ103="Muy Alta",AL103="Menor"),AND(AJ103="Muy Alta",AL103="Moderado"),AND(AJ103="Muy Alta",AL103="Mayor")),"Alto",IF(OR(AND(AJ103="Muy Baja",AL103="Catastrófico"),AND(AJ103="Baja",AL103="Catastrófico"),AND(AJ103="Media",AL103="Catastrófico"),AND(AJ103="Alta",AL103="Catastrófico"),AND(AJ103="Muy Alta",AL103="Catastrófico")),"Extremo","")))),"")</f>
        <v>Bajo</v>
      </c>
      <c r="AO103" s="132"/>
      <c r="AP103" s="174"/>
      <c r="AQ103" s="356"/>
      <c r="AR103" s="357"/>
      <c r="AS103" s="357"/>
      <c r="AT103" s="403"/>
      <c r="AU103" s="403"/>
      <c r="AV103" s="403"/>
    </row>
    <row r="104" spans="1:48" ht="64.5" customHeight="1" x14ac:dyDescent="0.2">
      <c r="A104" s="398"/>
      <c r="B104" s="400"/>
      <c r="C104" s="401"/>
      <c r="D104" s="421"/>
      <c r="E104" s="401"/>
      <c r="F104" s="401"/>
      <c r="G104" s="401"/>
      <c r="H104" s="400"/>
      <c r="I104" s="403"/>
      <c r="J104" s="423"/>
      <c r="K104" s="423"/>
      <c r="L104" s="425"/>
      <c r="M104" s="403"/>
      <c r="N104" s="403"/>
      <c r="O104" s="427"/>
      <c r="P104" s="417"/>
      <c r="Q104" s="405"/>
      <c r="R104" s="406"/>
      <c r="S104" s="405">
        <f>IF(NOT(ISERROR(MATCH(R104,_xlfn.ANCHORARRAY(G115),0))),Q117&amp;"Por favor no seleccionar los criterios de impacto",R104)</f>
        <v>0</v>
      </c>
      <c r="T104" s="417"/>
      <c r="U104" s="405"/>
      <c r="V104" s="418"/>
      <c r="W104" s="149">
        <v>3</v>
      </c>
      <c r="X104" s="182" t="s">
        <v>1064</v>
      </c>
      <c r="Y104" s="149" t="s">
        <v>41</v>
      </c>
      <c r="Z104" s="182" t="s">
        <v>993</v>
      </c>
      <c r="AA104" s="304" t="str">
        <f t="shared" si="99"/>
        <v>Lider del proyecto Valida Cada vez que un proyecto finaliza su fase experimental, que los resultados obtenidos en la pruebas realizadas cumplan de acuerdo a lo planteado y aprobado en el acta de constitución del proyecto, dejando como evidencia en el formato DMIC-FM-002_V1 INFORME DE PROYECTO DE INVESTIGACIÓN las pruebas realizadas, de no ser asi, se dara por finalizado el proyecto planteado inicialmente.</v>
      </c>
      <c r="AB104" s="126" t="str">
        <f>IF(OR(AC104="Preventivo",AC104="Detectivo"),"Probabilidad",IF(AC104="Correctivo","Impacto",""))</f>
        <v>Probabilidad</v>
      </c>
      <c r="AC104" s="127" t="s">
        <v>393</v>
      </c>
      <c r="AD104" s="127" t="s">
        <v>394</v>
      </c>
      <c r="AE104" s="128" t="str">
        <f t="shared" si="147"/>
        <v>30%</v>
      </c>
      <c r="AF104" s="127"/>
      <c r="AG104" s="127"/>
      <c r="AH104" s="127"/>
      <c r="AI104" s="129">
        <f>IFERROR(IF(AND(AB103="Probabilidad",AB104="Probabilidad"),(AK103-(+AK103*AE104)),IF(AND(AB103="Impacto",AB104="Probabilidad"),(AK102-(+AK102*AE104)),IF(AB104="Impacto",AK103,""))),"")</f>
        <v>0.13720000000000002</v>
      </c>
      <c r="AJ104" s="130" t="str">
        <f t="shared" si="101"/>
        <v>Muy Baja</v>
      </c>
      <c r="AK104" s="128">
        <f t="shared" si="148"/>
        <v>0.13720000000000002</v>
      </c>
      <c r="AL104" s="130" t="str">
        <f t="shared" si="103"/>
        <v>Menor</v>
      </c>
      <c r="AM104" s="128">
        <f t="shared" ref="AM104" si="151">IFERROR(IF(AND(AB103="Impacto",AB104="Impacto"),(AM103-(+AM103*AE104)),IF(AND(AB103="Probabilidad",AB104="Impacto"),(AM102-(+AM102*AE104)),IF(AB104="Probabilidad",AM103,""))),"")</f>
        <v>0.4</v>
      </c>
      <c r="AN104" s="131" t="str">
        <f t="shared" si="150"/>
        <v>Bajo</v>
      </c>
      <c r="AO104" s="132" t="s">
        <v>35</v>
      </c>
      <c r="AP104" s="304"/>
      <c r="AQ104" s="353"/>
      <c r="AR104" s="353"/>
      <c r="AS104" s="347"/>
      <c r="AT104" s="403"/>
      <c r="AU104" s="403"/>
      <c r="AV104" s="403"/>
    </row>
    <row r="105" spans="1:48" x14ac:dyDescent="0.2">
      <c r="A105" s="398"/>
      <c r="B105" s="400"/>
      <c r="C105" s="401"/>
      <c r="D105" s="421"/>
      <c r="E105" s="401"/>
      <c r="F105" s="401"/>
      <c r="G105" s="401"/>
      <c r="H105" s="400"/>
      <c r="I105" s="403"/>
      <c r="J105" s="423"/>
      <c r="K105" s="423"/>
      <c r="L105" s="425"/>
      <c r="M105" s="403"/>
      <c r="N105" s="403"/>
      <c r="O105" s="427"/>
      <c r="P105" s="417"/>
      <c r="Q105" s="405"/>
      <c r="R105" s="406"/>
      <c r="S105" s="405">
        <f>IF(NOT(ISERROR(MATCH(R105,_xlfn.ANCHORARRAY(G116),0))),Q118&amp;"Por favor no seleccionar los criterios de impacto",R105)</f>
        <v>0</v>
      </c>
      <c r="T105" s="417"/>
      <c r="U105" s="405"/>
      <c r="V105" s="418"/>
      <c r="W105" s="149">
        <v>4</v>
      </c>
      <c r="X105" s="149"/>
      <c r="Y105" s="149"/>
      <c r="Z105" s="336"/>
      <c r="AA105" s="304" t="str">
        <f t="shared" si="99"/>
        <v xml:space="preserve">  </v>
      </c>
      <c r="AB105" s="126" t="str">
        <f t="shared" ref="AB105:AB107" si="152">IF(OR(AC105="Preventivo",AC105="Detectivo"),"Probabilidad",IF(AC105="Correctivo","Impacto",""))</f>
        <v/>
      </c>
      <c r="AC105" s="127"/>
      <c r="AD105" s="127"/>
      <c r="AE105" s="128" t="str">
        <f t="shared" si="147"/>
        <v/>
      </c>
      <c r="AF105" s="127"/>
      <c r="AG105" s="127"/>
      <c r="AH105" s="127"/>
      <c r="AI105" s="129" t="str">
        <f t="shared" ref="AI105:AI107" si="153">IFERROR(IF(AND(AB104="Probabilidad",AB105="Probabilidad"),(AK104-(+AK104*AE105)),IF(AND(AB104="Impacto",AB105="Probabilidad"),(AK103-(+AK103*AE105)),IF(AB105="Impacto",AK104,""))),"")</f>
        <v/>
      </c>
      <c r="AJ105" s="130" t="str">
        <f t="shared" si="101"/>
        <v/>
      </c>
      <c r="AK105" s="128" t="str">
        <f t="shared" si="148"/>
        <v/>
      </c>
      <c r="AL105" s="130" t="str">
        <f t="shared" si="103"/>
        <v/>
      </c>
      <c r="AM105" s="128" t="str">
        <f t="shared" si="112"/>
        <v/>
      </c>
      <c r="AN105" s="131" t="str">
        <f>IFERROR(IF(OR(AND(AJ105="Muy Baja",AL105="Leve"),AND(AJ105="Muy Baja",AL105="Menor"),AND(AJ105="Baja",AL105="Leve")),"Bajo",IF(OR(AND(AJ105="Muy baja",AL105="Moderado"),AND(AJ105="Baja",AL105="Menor"),AND(AJ105="Baja",AL105="Moderado"),AND(AJ105="Media",AL105="Leve"),AND(AJ105="Media",AL105="Menor"),AND(AJ105="Media",AL105="Moderado"),AND(AJ105="Alta",AL105="Leve"),AND(AJ105="Alta",AL105="Menor")),"Moderado",IF(OR(AND(AJ105="Muy Baja",AL105="Mayor"),AND(AJ105="Baja",AL105="Mayor"),AND(AJ105="Media",AL105="Mayor"),AND(AJ105="Alta",AL105="Moderado"),AND(AJ105="Alta",AL105="Mayor"),AND(AJ105="Muy Alta",AL105="Leve"),AND(AJ105="Muy Alta",AL105="Menor"),AND(AJ105="Muy Alta",AL105="Moderado"),AND(AJ105="Muy Alta",AL105="Mayor")),"Alto",IF(OR(AND(AJ105="Muy Baja",AL105="Catastrófico"),AND(AJ105="Baja",AL105="Catastrófico"),AND(AJ105="Media",AL105="Catastrófico"),AND(AJ105="Alta",AL105="Catastrófico"),AND(AJ105="Muy Alta",AL105="Catastrófico")),"Extremo","")))),"")</f>
        <v/>
      </c>
      <c r="AO105" s="132"/>
      <c r="AP105" s="304"/>
      <c r="AQ105" s="353"/>
      <c r="AR105" s="353"/>
      <c r="AS105" s="347"/>
      <c r="AT105" s="403"/>
      <c r="AU105" s="403"/>
      <c r="AV105" s="403"/>
    </row>
    <row r="106" spans="1:48" x14ac:dyDescent="0.2">
      <c r="A106" s="398"/>
      <c r="B106" s="400"/>
      <c r="C106" s="401"/>
      <c r="D106" s="421"/>
      <c r="E106" s="401"/>
      <c r="F106" s="401"/>
      <c r="G106" s="401"/>
      <c r="H106" s="400"/>
      <c r="I106" s="403"/>
      <c r="J106" s="423"/>
      <c r="K106" s="423"/>
      <c r="L106" s="425"/>
      <c r="M106" s="403"/>
      <c r="N106" s="403"/>
      <c r="O106" s="427"/>
      <c r="P106" s="417"/>
      <c r="Q106" s="405"/>
      <c r="R106" s="406"/>
      <c r="S106" s="405">
        <f>IF(NOT(ISERROR(MATCH(R106,_xlfn.ANCHORARRAY(G117),0))),Q119&amp;"Por favor no seleccionar los criterios de impacto",R106)</f>
        <v>0</v>
      </c>
      <c r="T106" s="417"/>
      <c r="U106" s="405"/>
      <c r="V106" s="418"/>
      <c r="W106" s="149">
        <v>5</v>
      </c>
      <c r="X106" s="149"/>
      <c r="Y106" s="149"/>
      <c r="Z106" s="336"/>
      <c r="AA106" s="304" t="str">
        <f t="shared" si="99"/>
        <v xml:space="preserve">  </v>
      </c>
      <c r="AB106" s="126" t="str">
        <f t="shared" si="152"/>
        <v/>
      </c>
      <c r="AC106" s="127"/>
      <c r="AD106" s="127"/>
      <c r="AE106" s="128" t="str">
        <f t="shared" si="147"/>
        <v/>
      </c>
      <c r="AF106" s="127"/>
      <c r="AG106" s="127"/>
      <c r="AH106" s="127"/>
      <c r="AI106" s="129" t="str">
        <f t="shared" si="153"/>
        <v/>
      </c>
      <c r="AJ106" s="130" t="str">
        <f t="shared" si="101"/>
        <v/>
      </c>
      <c r="AK106" s="128" t="str">
        <f t="shared" si="148"/>
        <v/>
      </c>
      <c r="AL106" s="130" t="str">
        <f t="shared" si="103"/>
        <v/>
      </c>
      <c r="AM106" s="128" t="str">
        <f t="shared" si="112"/>
        <v/>
      </c>
      <c r="AN106" s="131" t="str">
        <f t="shared" ref="AN106" si="154">IFERROR(IF(OR(AND(AJ106="Muy Baja",AL106="Leve"),AND(AJ106="Muy Baja",AL106="Menor"),AND(AJ106="Baja",AL106="Leve")),"Bajo",IF(OR(AND(AJ106="Muy baja",AL106="Moderado"),AND(AJ106="Baja",AL106="Menor"),AND(AJ106="Baja",AL106="Moderado"),AND(AJ106="Media",AL106="Leve"),AND(AJ106="Media",AL106="Menor"),AND(AJ106="Media",AL106="Moderado"),AND(AJ106="Alta",AL106="Leve"),AND(AJ106="Alta",AL106="Menor")),"Moderado",IF(OR(AND(AJ106="Muy Baja",AL106="Mayor"),AND(AJ106="Baja",AL106="Mayor"),AND(AJ106="Media",AL106="Mayor"),AND(AJ106="Alta",AL106="Moderado"),AND(AJ106="Alta",AL106="Mayor"),AND(AJ106="Muy Alta",AL106="Leve"),AND(AJ106="Muy Alta",AL106="Menor"),AND(AJ106="Muy Alta",AL106="Moderado"),AND(AJ106="Muy Alta",AL106="Mayor")),"Alto",IF(OR(AND(AJ106="Muy Baja",AL106="Catastrófico"),AND(AJ106="Baja",AL106="Catastrófico"),AND(AJ106="Media",AL106="Catastrófico"),AND(AJ106="Alta",AL106="Catastrófico"),AND(AJ106="Muy Alta",AL106="Catastrófico")),"Extremo","")))),"")</f>
        <v/>
      </c>
      <c r="AO106" s="132"/>
      <c r="AP106" s="304"/>
      <c r="AQ106" s="353"/>
      <c r="AR106" s="353"/>
      <c r="AS106" s="347"/>
      <c r="AT106" s="403"/>
      <c r="AU106" s="403"/>
      <c r="AV106" s="403"/>
    </row>
    <row r="107" spans="1:48" x14ac:dyDescent="0.2">
      <c r="A107" s="398"/>
      <c r="B107" s="400"/>
      <c r="C107" s="401"/>
      <c r="D107" s="422"/>
      <c r="E107" s="401"/>
      <c r="F107" s="401"/>
      <c r="G107" s="401"/>
      <c r="H107" s="400"/>
      <c r="I107" s="404"/>
      <c r="J107" s="423"/>
      <c r="K107" s="423"/>
      <c r="L107" s="426"/>
      <c r="M107" s="404"/>
      <c r="N107" s="404"/>
      <c r="O107" s="427"/>
      <c r="P107" s="417"/>
      <c r="Q107" s="405"/>
      <c r="R107" s="406"/>
      <c r="S107" s="405">
        <f>IF(NOT(ISERROR(MATCH(R107,_xlfn.ANCHORARRAY(G118),0))),Q120&amp;"Por favor no seleccionar los criterios de impacto",R107)</f>
        <v>0</v>
      </c>
      <c r="T107" s="417"/>
      <c r="U107" s="405"/>
      <c r="V107" s="418"/>
      <c r="W107" s="149">
        <v>6</v>
      </c>
      <c r="X107" s="149"/>
      <c r="Y107" s="149"/>
      <c r="Z107" s="336"/>
      <c r="AA107" s="304" t="str">
        <f t="shared" si="99"/>
        <v xml:space="preserve">  </v>
      </c>
      <c r="AB107" s="126" t="str">
        <f t="shared" si="152"/>
        <v/>
      </c>
      <c r="AC107" s="127"/>
      <c r="AD107" s="127"/>
      <c r="AE107" s="128" t="str">
        <f t="shared" si="147"/>
        <v/>
      </c>
      <c r="AF107" s="127"/>
      <c r="AG107" s="127"/>
      <c r="AH107" s="127"/>
      <c r="AI107" s="129" t="str">
        <f t="shared" si="153"/>
        <v/>
      </c>
      <c r="AJ107" s="130" t="str">
        <f t="shared" si="101"/>
        <v/>
      </c>
      <c r="AK107" s="128" t="str">
        <f t="shared" si="148"/>
        <v/>
      </c>
      <c r="AL107" s="130" t="str">
        <f>IFERROR(IF(AM107="","",IF(AM107&lt;=0.2,"Leve",IF(AM107&lt;=0.4,"Menor",IF(AM107&lt;=0.6,"Moderado",IF(AM107&lt;=0.8,"Mayor","Catastrófico"))))),"")</f>
        <v/>
      </c>
      <c r="AM107" s="128" t="str">
        <f t="shared" si="112"/>
        <v/>
      </c>
      <c r="AN107" s="131" t="str">
        <f>IFERROR(IF(OR(AND(AJ107="Muy Baja",AL107="Leve"),AND(AJ107="Muy Baja",AL107="Menor"),AND(AJ107="Baja",AL107="Leve")),"Bajo",IF(OR(AND(AJ107="Muy baja",AL107="Moderado"),AND(AJ107="Baja",AL107="Menor"),AND(AJ107="Baja",AL107="Moderado"),AND(AJ107="Media",AL107="Leve"),AND(AJ107="Media",AL107="Menor"),AND(AJ107="Media",AL107="Moderado"),AND(AJ107="Alta",AL107="Leve"),AND(AJ107="Alta",AL107="Menor")),"Moderado",IF(OR(AND(AJ107="Muy Baja",AL107="Mayor"),AND(AJ107="Baja",AL107="Mayor"),AND(AJ107="Media",AL107="Mayor"),AND(AJ107="Alta",AL107="Moderado"),AND(AJ107="Alta",AL107="Mayor"),AND(AJ107="Muy Alta",AL107="Leve"),AND(AJ107="Muy Alta",AL107="Menor"),AND(AJ107="Muy Alta",AL107="Moderado"),AND(AJ107="Muy Alta",AL107="Mayor")),"Alto",IF(OR(AND(AJ107="Muy Baja",AL107="Catastrófico"),AND(AJ107="Baja",AL107="Catastrófico"),AND(AJ107="Media",AL107="Catastrófico"),AND(AJ107="Alta",AL107="Catastrófico"),AND(AJ107="Muy Alta",AL107="Catastrófico")),"Extremo","")))),"")</f>
        <v/>
      </c>
      <c r="AO107" s="132"/>
      <c r="AP107" s="304"/>
      <c r="AQ107" s="353"/>
      <c r="AR107" s="353"/>
      <c r="AS107" s="347"/>
      <c r="AT107" s="404"/>
      <c r="AU107" s="404"/>
      <c r="AV107" s="404"/>
    </row>
    <row r="108" spans="1:48" ht="69.75" customHeight="1" x14ac:dyDescent="0.2">
      <c r="A108" s="398">
        <v>17</v>
      </c>
      <c r="B108" s="400" t="s">
        <v>556</v>
      </c>
      <c r="C108" s="401" t="s">
        <v>40</v>
      </c>
      <c r="D108" s="420" t="s">
        <v>910</v>
      </c>
      <c r="E108" s="401" t="s">
        <v>911</v>
      </c>
      <c r="F108" s="401" t="s">
        <v>912</v>
      </c>
      <c r="G108" s="401" t="str">
        <f t="shared" ref="G108" si="155">+CONCATENATE(C108," ",D108," ",E108)</f>
        <v>Posibilidad de afectación reputacional Por emisión de conceptos contrarios a la norma Debido a  a la desactualización de los sistemas de información jurídica de la Entidad y/o desconocimiento de las normas por parte de quienes emiten los conceptos.</v>
      </c>
      <c r="H108" s="400" t="s">
        <v>391</v>
      </c>
      <c r="I108" s="402" t="s">
        <v>62</v>
      </c>
      <c r="J108" s="423" t="s">
        <v>913</v>
      </c>
      <c r="K108" s="423"/>
      <c r="L108" s="402" t="s">
        <v>914</v>
      </c>
      <c r="M108" s="402" t="s">
        <v>65</v>
      </c>
      <c r="N108" s="402"/>
      <c r="O108" s="416">
        <v>25</v>
      </c>
      <c r="P108" s="417" t="str">
        <f>IF(O108&lt;=0,"",IF(O108&lt;=2,"Muy Baja",IF(O108&lt;=24,"Baja",IF(O108&lt;=500,"Media",IF(O108&lt;=5000,"Alta","Muy Alta")))))</f>
        <v>Media</v>
      </c>
      <c r="Q108" s="405">
        <f>IF(P108="","",IF(P108="Muy Baja",0.2,IF(P108="Baja",0.4,IF(P108="Media",0.6,IF(P108="Alta",0.8,IF(P108="Muy Alta",1,))))))</f>
        <v>0.6</v>
      </c>
      <c r="R108" s="406" t="s">
        <v>392</v>
      </c>
      <c r="S108" s="405" t="str">
        <f>IF(NOT(ISERROR(MATCH(R108,'[2]Tabla Impacto'!$B$245:$B$247,0))),'[2]Tabla Impacto'!$F$224&amp;"Por favor no seleccionar los criterios de impacto(Afectación Económica o presupuestal y Pérdida Reputacional)",R108)</f>
        <v xml:space="preserve">     El riesgo afecta la imagen de alguna área de la organización</v>
      </c>
      <c r="T108" s="417" t="str">
        <f>IF(OR(S108='[2]Tabla Impacto'!$C$12,S108='[2]Tabla Impacto'!$D$12),"Leve",IF(OR(S108='[2]Tabla Impacto'!$C$13,S108='[2]Tabla Impacto'!$D$13),"Menor",IF(OR(S108='[2]Tabla Impacto'!$C$14,S108='[2]Tabla Impacto'!$D$14),"Moderado",IF(OR(S108='[2]Tabla Impacto'!$C$15,S108='[2]Tabla Impacto'!$D$15),"Mayor",IF(OR(S108='[2]Tabla Impacto'!$C$16,S108='[2]Tabla Impacto'!$D$16),"Catastrófico","")))))</f>
        <v>Leve</v>
      </c>
      <c r="U108" s="405">
        <f>IF(T108="","",IF(T108="Leve",0.2,IF(T108="Menor",0.4,IF(T108="Moderado",0.6,IF(T108="Mayor",0.8,IF(T108="Catastrófico",1,))))))</f>
        <v>0.2</v>
      </c>
      <c r="V108" s="418" t="str">
        <f>IF(OR(AND(P108="Muy Baja",T108="Leve"),AND(P108="Muy Baja",T108="Menor"),AND(P108="Baja",T108="Leve")),"Bajo",IF(OR(AND(P108="Muy baja",T108="Moderado"),AND(P108="Baja",T108="Menor"),AND(P108="Baja",T108="Moderado"),AND(P108="Media",T108="Leve"),AND(P108="Media",T108="Menor"),AND(P108="Media",T108="Moderado"),AND(P108="Alta",T108="Leve"),AND(P108="Alta",T108="Menor")),"Moderado",IF(OR(AND(P108="Muy Baja",T108="Mayor"),AND(P108="Baja",T108="Mayor"),AND(P108="Media",T108="Mayor"),AND(P108="Alta",T108="Moderado"),AND(P108="Alta",T108="Mayor"),AND(P108="Muy Alta",T108="Leve"),AND(P108="Muy Alta",T108="Menor"),AND(P108="Muy Alta",T108="Moderado"),AND(P108="Muy Alta",T108="Mayor")),"Alto",IF(OR(AND(P108="Muy Baja",T108="Catastrófico"),AND(P108="Baja",T108="Catastrófico"),AND(P108="Media",T108="Catastrófico"),AND(P108="Alta",T108="Catastrófico"),AND(P108="Muy Alta",T108="Catastrófico")),"Extremo",""))))</f>
        <v>Moderado</v>
      </c>
      <c r="W108" s="149">
        <v>1</v>
      </c>
      <c r="X108" s="182" t="s">
        <v>915</v>
      </c>
      <c r="Y108" s="182" t="s">
        <v>37</v>
      </c>
      <c r="Z108" s="304" t="s">
        <v>916</v>
      </c>
      <c r="AA108" s="304" t="str">
        <f t="shared" si="99"/>
        <v>Jefe de la OJ Verifica Trismestralmente  que los conceptos Juridicos solicitados y emitidos en el periodo, cumplan con la normatividad vigente, deben ser emitidos conforme a los disposiciones contenidas en el  procedimiento GJUR-PR-008.
Como evidencia se tienen los conceptos emitidos, según solicitudes,  en la herramiento ORFEO.</v>
      </c>
      <c r="AB108" s="126" t="str">
        <f>IF(OR(AC108="Preventivo",AC108="Detectivo"),"Probabilidad",IF(AC108="Correctivo","Impacto",""))</f>
        <v>Probabilidad</v>
      </c>
      <c r="AC108" s="127" t="s">
        <v>393</v>
      </c>
      <c r="AD108" s="127" t="s">
        <v>394</v>
      </c>
      <c r="AE108" s="128" t="str">
        <f>IF(AND(AC108="Preventivo",AD108="Automático"),"50%",IF(AND(AC108="Preventivo",AD108="Manual"),"40%",IF(AND(AC108="Detectivo",AD108="Automático"),"40%",IF(AND(AC108="Detectivo",AD108="Manual"),"30%",IF(AND(AC108="Correctivo",AD108="Automático"),"35%",IF(AND(AC108="Correctivo",AD108="Manual"),"25%",""))))))</f>
        <v>30%</v>
      </c>
      <c r="AF108" s="127" t="s">
        <v>395</v>
      </c>
      <c r="AG108" s="127" t="s">
        <v>396</v>
      </c>
      <c r="AH108" s="127" t="s">
        <v>397</v>
      </c>
      <c r="AI108" s="129">
        <f>IFERROR(IF(AB108="Probabilidad",(Q108-(+Q108*AE108)),IF(AB108="Impacto",Q108,"")),"")</f>
        <v>0.42</v>
      </c>
      <c r="AJ108" s="130" t="str">
        <f>IFERROR(IF(AI108="","",IF(AI108&lt;=0.2,"Muy Baja",IF(AI108&lt;=0.4,"Baja",IF(AI108&lt;=0.6,"Media",IF(AI108&lt;=0.8,"Alta","Muy Alta"))))),"")</f>
        <v>Media</v>
      </c>
      <c r="AK108" s="128">
        <f>+AI108</f>
        <v>0.42</v>
      </c>
      <c r="AL108" s="130" t="str">
        <f>IFERROR(IF(AM108="","",IF(AM108&lt;=0.2,"Leve",IF(AM108&lt;=0.4,"Menor",IF(AM108&lt;=0.6,"Moderado",IF(AM108&lt;=0.8,"Mayor","Catastrófico"))))),"")</f>
        <v>Leve</v>
      </c>
      <c r="AM108" s="128">
        <f t="shared" ref="AM108" si="156">IFERROR(IF(AB108="Impacto",(U108-(+U108*AE108)),IF(AB108="Probabilidad",U108,"")),"")</f>
        <v>0.2</v>
      </c>
      <c r="AN108" s="131" t="str">
        <f>IFERROR(IF(OR(AND(AJ108="Muy Baja",AL108="Leve"),AND(AJ108="Muy Baja",AL108="Menor"),AND(AJ108="Baja",AL108="Leve")),"Bajo",IF(OR(AND(AJ108="Muy baja",AL108="Moderado"),AND(AJ108="Baja",AL108="Menor"),AND(AJ108="Baja",AL108="Moderado"),AND(AJ108="Media",AL108="Leve"),AND(AJ108="Media",AL108="Menor"),AND(AJ108="Media",AL108="Moderado"),AND(AJ108="Alta",AL108="Leve"),AND(AJ108="Alta",AL108="Menor")),"Moderado",IF(OR(AND(AJ108="Muy Baja",AL108="Mayor"),AND(AJ108="Baja",AL108="Mayor"),AND(AJ108="Media",AL108="Mayor"),AND(AJ108="Alta",AL108="Moderado"),AND(AJ108="Alta",AL108="Mayor"),AND(AJ108="Muy Alta",AL108="Leve"),AND(AJ108="Muy Alta",AL108="Menor"),AND(AJ108="Muy Alta",AL108="Moderado"),AND(AJ108="Muy Alta",AL108="Mayor")),"Alto",IF(OR(AND(AJ108="Muy Baja",AL108="Catastrófico"),AND(AJ108="Baja",AL108="Catastrófico"),AND(AJ108="Media",AL108="Catastrófico"),AND(AJ108="Alta",AL108="Catastrófico"),AND(AJ108="Muy Alta",AL108="Catastrófico")),"Extremo","")))),"")</f>
        <v>Moderado</v>
      </c>
      <c r="AO108" s="132" t="s">
        <v>43</v>
      </c>
      <c r="AP108" s="332" t="s">
        <v>1061</v>
      </c>
      <c r="AQ108" s="344" t="s">
        <v>915</v>
      </c>
      <c r="AR108" s="367" t="s">
        <v>1062</v>
      </c>
      <c r="AS108" s="368">
        <v>46022</v>
      </c>
      <c r="AT108" s="400" t="s">
        <v>917</v>
      </c>
      <c r="AU108" s="400" t="s">
        <v>918</v>
      </c>
      <c r="AV108" s="400" t="s">
        <v>915</v>
      </c>
    </row>
    <row r="109" spans="1:48" x14ac:dyDescent="0.2">
      <c r="A109" s="398"/>
      <c r="B109" s="400"/>
      <c r="C109" s="401"/>
      <c r="D109" s="421"/>
      <c r="E109" s="401"/>
      <c r="F109" s="401"/>
      <c r="G109" s="401"/>
      <c r="H109" s="400"/>
      <c r="I109" s="403"/>
      <c r="J109" s="423"/>
      <c r="K109" s="423"/>
      <c r="L109" s="403"/>
      <c r="M109" s="403"/>
      <c r="N109" s="403"/>
      <c r="O109" s="416"/>
      <c r="P109" s="417"/>
      <c r="Q109" s="405"/>
      <c r="R109" s="406"/>
      <c r="S109" s="405">
        <f>IF(NOT(ISERROR(MATCH(R109,_xlfn.ANCHORARRAY(G120),0))),Q122&amp;"Por favor no seleccionar los criterios de impacto",R109)</f>
        <v>0</v>
      </c>
      <c r="T109" s="417"/>
      <c r="U109" s="405"/>
      <c r="V109" s="418"/>
      <c r="W109" s="149">
        <v>2</v>
      </c>
      <c r="X109" s="182"/>
      <c r="Y109" s="182"/>
      <c r="Z109" s="336"/>
      <c r="AA109" s="304" t="str">
        <f t="shared" si="99"/>
        <v xml:space="preserve">  </v>
      </c>
      <c r="AB109" s="126" t="str">
        <f>IF(OR(AC109="Preventivo",AC109="Detectivo"),"Probabilidad",IF(AC109="Correctivo","Impacto",""))</f>
        <v/>
      </c>
      <c r="AC109" s="127"/>
      <c r="AD109" s="127"/>
      <c r="AE109" s="128" t="str">
        <f t="shared" ref="AE109:AE113" si="157">IF(AND(AC109="Preventivo",AD109="Automático"),"50%",IF(AND(AC109="Preventivo",AD109="Manual"),"40%",IF(AND(AC109="Detectivo",AD109="Automático"),"40%",IF(AND(AC109="Detectivo",AD109="Manual"),"30%",IF(AND(AC109="Correctivo",AD109="Automático"),"35%",IF(AND(AC109="Correctivo",AD109="Manual"),"25%",""))))))</f>
        <v/>
      </c>
      <c r="AF109" s="127"/>
      <c r="AG109" s="127"/>
      <c r="AH109" s="127"/>
      <c r="AI109" s="129" t="str">
        <f>IFERROR(IF(AND(AB108="Probabilidad",AB109="Probabilidad"),(AK108-(+AK108*AE109)),IF(AB109="Probabilidad",(Q108-(+Q108*AE109)),IF(AB109="Impacto",AK108,""))),"")</f>
        <v/>
      </c>
      <c r="AJ109" s="130" t="str">
        <f t="shared" si="101"/>
        <v/>
      </c>
      <c r="AK109" s="128" t="str">
        <f t="shared" ref="AK109:AK113" si="158">+AI109</f>
        <v/>
      </c>
      <c r="AL109" s="130" t="str">
        <f t="shared" si="103"/>
        <v/>
      </c>
      <c r="AM109" s="128" t="str">
        <f t="shared" ref="AM109" si="159">IFERROR(IF(AND(AB108="Impacto",AB109="Impacto"),(AM108-(+AM108*AE109)),IF(AB109="Impacto",($U$10-(+$U$10*AE109)),IF(AB109="Probabilidad",AM108,""))),"")</f>
        <v/>
      </c>
      <c r="AN109" s="131" t="str">
        <f t="shared" ref="AN109:AN110" si="160">IFERROR(IF(OR(AND(AJ109="Muy Baja",AL109="Leve"),AND(AJ109="Muy Baja",AL109="Menor"),AND(AJ109="Baja",AL109="Leve")),"Bajo",IF(OR(AND(AJ109="Muy baja",AL109="Moderado"),AND(AJ109="Baja",AL109="Menor"),AND(AJ109="Baja",AL109="Moderado"),AND(AJ109="Media",AL109="Leve"),AND(AJ109="Media",AL109="Menor"),AND(AJ109="Media",AL109="Moderado"),AND(AJ109="Alta",AL109="Leve"),AND(AJ109="Alta",AL109="Menor")),"Moderado",IF(OR(AND(AJ109="Muy Baja",AL109="Mayor"),AND(AJ109="Baja",AL109="Mayor"),AND(AJ109="Media",AL109="Mayor"),AND(AJ109="Alta",AL109="Moderado"),AND(AJ109="Alta",AL109="Mayor"),AND(AJ109="Muy Alta",AL109="Leve"),AND(AJ109="Muy Alta",AL109="Menor"),AND(AJ109="Muy Alta",AL109="Moderado"),AND(AJ109="Muy Alta",AL109="Mayor")),"Alto",IF(OR(AND(AJ109="Muy Baja",AL109="Catastrófico"),AND(AJ109="Baja",AL109="Catastrófico"),AND(AJ109="Media",AL109="Catastrófico"),AND(AJ109="Alta",AL109="Catastrófico"),AND(AJ109="Muy Alta",AL109="Catastrófico")),"Extremo","")))),"")</f>
        <v/>
      </c>
      <c r="AO109" s="132"/>
      <c r="AP109" s="304"/>
      <c r="AQ109" s="353"/>
      <c r="AR109" s="353"/>
      <c r="AS109" s="347"/>
      <c r="AT109" s="400"/>
      <c r="AU109" s="400"/>
      <c r="AV109" s="400"/>
    </row>
    <row r="110" spans="1:48" x14ac:dyDescent="0.2">
      <c r="A110" s="398"/>
      <c r="B110" s="400"/>
      <c r="C110" s="401"/>
      <c r="D110" s="421"/>
      <c r="E110" s="401"/>
      <c r="F110" s="401"/>
      <c r="G110" s="401"/>
      <c r="H110" s="400"/>
      <c r="I110" s="403"/>
      <c r="J110" s="423"/>
      <c r="K110" s="423"/>
      <c r="L110" s="403"/>
      <c r="M110" s="403"/>
      <c r="N110" s="403"/>
      <c r="O110" s="416"/>
      <c r="P110" s="417"/>
      <c r="Q110" s="405"/>
      <c r="R110" s="406"/>
      <c r="S110" s="405">
        <f>IF(NOT(ISERROR(MATCH(R110,_xlfn.ANCHORARRAY(G121),0))),Q123&amp;"Por favor no seleccionar los criterios de impacto",R110)</f>
        <v>0</v>
      </c>
      <c r="T110" s="417"/>
      <c r="U110" s="405"/>
      <c r="V110" s="418"/>
      <c r="W110" s="149">
        <v>3</v>
      </c>
      <c r="X110" s="149"/>
      <c r="Y110" s="149"/>
      <c r="Z110" s="336"/>
      <c r="AA110" s="304" t="str">
        <f t="shared" si="99"/>
        <v xml:space="preserve">  </v>
      </c>
      <c r="AB110" s="126" t="str">
        <f>IF(OR(AC110="Preventivo",AC110="Detectivo"),"Probabilidad",IF(AC110="Correctivo","Impacto",""))</f>
        <v/>
      </c>
      <c r="AC110" s="127"/>
      <c r="AD110" s="127"/>
      <c r="AE110" s="128" t="str">
        <f t="shared" si="157"/>
        <v/>
      </c>
      <c r="AF110" s="127"/>
      <c r="AG110" s="127"/>
      <c r="AH110" s="127"/>
      <c r="AI110" s="129" t="str">
        <f>IFERROR(IF(AND(AB109="Probabilidad",AB110="Probabilidad"),(AK109-(+AK109*AE110)),IF(AND(AB109="Impacto",AB110="Probabilidad"),(AK108-(+AK108*AE110)),IF(AB110="Impacto",AK109,""))),"")</f>
        <v/>
      </c>
      <c r="AJ110" s="130" t="str">
        <f t="shared" si="101"/>
        <v/>
      </c>
      <c r="AK110" s="128" t="str">
        <f t="shared" si="158"/>
        <v/>
      </c>
      <c r="AL110" s="130" t="str">
        <f t="shared" si="103"/>
        <v/>
      </c>
      <c r="AM110" s="128" t="str">
        <f t="shared" ref="AM110" si="161">IFERROR(IF(AND(AB109="Impacto",AB110="Impacto"),(AM109-(+AM109*AE110)),IF(AND(AB109="Probabilidad",AB110="Impacto"),(AM108-(+AM108*AE110)),IF(AB110="Probabilidad",AM109,""))),"")</f>
        <v/>
      </c>
      <c r="AN110" s="131" t="str">
        <f t="shared" si="160"/>
        <v/>
      </c>
      <c r="AO110" s="132"/>
      <c r="AP110" s="304"/>
      <c r="AQ110" s="353"/>
      <c r="AR110" s="353"/>
      <c r="AS110" s="347"/>
      <c r="AT110" s="400"/>
      <c r="AU110" s="400"/>
      <c r="AV110" s="400"/>
    </row>
    <row r="111" spans="1:48" x14ac:dyDescent="0.2">
      <c r="A111" s="398"/>
      <c r="B111" s="400"/>
      <c r="C111" s="401"/>
      <c r="D111" s="421"/>
      <c r="E111" s="401"/>
      <c r="F111" s="401"/>
      <c r="G111" s="401"/>
      <c r="H111" s="400"/>
      <c r="I111" s="403"/>
      <c r="J111" s="423"/>
      <c r="K111" s="423"/>
      <c r="L111" s="403"/>
      <c r="M111" s="403"/>
      <c r="N111" s="403"/>
      <c r="O111" s="416"/>
      <c r="P111" s="417"/>
      <c r="Q111" s="405"/>
      <c r="R111" s="406"/>
      <c r="S111" s="405">
        <f>IF(NOT(ISERROR(MATCH(R111,_xlfn.ANCHORARRAY(G122),0))),Q124&amp;"Por favor no seleccionar los criterios de impacto",R111)</f>
        <v>0</v>
      </c>
      <c r="T111" s="417"/>
      <c r="U111" s="405"/>
      <c r="V111" s="418"/>
      <c r="W111" s="149">
        <v>4</v>
      </c>
      <c r="X111" s="149"/>
      <c r="Y111" s="149"/>
      <c r="Z111" s="336"/>
      <c r="AA111" s="304" t="str">
        <f t="shared" si="99"/>
        <v xml:space="preserve">  </v>
      </c>
      <c r="AB111" s="126" t="str">
        <f t="shared" ref="AB111:AB113" si="162">IF(OR(AC111="Preventivo",AC111="Detectivo"),"Probabilidad",IF(AC111="Correctivo","Impacto",""))</f>
        <v/>
      </c>
      <c r="AC111" s="127"/>
      <c r="AD111" s="127"/>
      <c r="AE111" s="128" t="str">
        <f t="shared" si="157"/>
        <v/>
      </c>
      <c r="AF111" s="127"/>
      <c r="AG111" s="127"/>
      <c r="AH111" s="127"/>
      <c r="AI111" s="129" t="str">
        <f t="shared" ref="AI111:AI113" si="163">IFERROR(IF(AND(AB110="Probabilidad",AB111="Probabilidad"),(AK110-(+AK110*AE111)),IF(AND(AB110="Impacto",AB111="Probabilidad"),(AK109-(+AK109*AE111)),IF(AB111="Impacto",AK110,""))),"")</f>
        <v/>
      </c>
      <c r="AJ111" s="130" t="str">
        <f t="shared" si="101"/>
        <v/>
      </c>
      <c r="AK111" s="128" t="str">
        <f t="shared" si="158"/>
        <v/>
      </c>
      <c r="AL111" s="130" t="str">
        <f t="shared" si="103"/>
        <v/>
      </c>
      <c r="AM111" s="128" t="str">
        <f t="shared" si="112"/>
        <v/>
      </c>
      <c r="AN111" s="131" t="str">
        <f>IFERROR(IF(OR(AND(AJ111="Muy Baja",AL111="Leve"),AND(AJ111="Muy Baja",AL111="Menor"),AND(AJ111="Baja",AL111="Leve")),"Bajo",IF(OR(AND(AJ111="Muy baja",AL111="Moderado"),AND(AJ111="Baja",AL111="Menor"),AND(AJ111="Baja",AL111="Moderado"),AND(AJ111="Media",AL111="Leve"),AND(AJ111="Media",AL111="Menor"),AND(AJ111="Media",AL111="Moderado"),AND(AJ111="Alta",AL111="Leve"),AND(AJ111="Alta",AL111="Menor")),"Moderado",IF(OR(AND(AJ111="Muy Baja",AL111="Mayor"),AND(AJ111="Baja",AL111="Mayor"),AND(AJ111="Media",AL111="Mayor"),AND(AJ111="Alta",AL111="Moderado"),AND(AJ111="Alta",AL111="Mayor"),AND(AJ111="Muy Alta",AL111="Leve"),AND(AJ111="Muy Alta",AL111="Menor"),AND(AJ111="Muy Alta",AL111="Moderado"),AND(AJ111="Muy Alta",AL111="Mayor")),"Alto",IF(OR(AND(AJ111="Muy Baja",AL111="Catastrófico"),AND(AJ111="Baja",AL111="Catastrófico"),AND(AJ111="Media",AL111="Catastrófico"),AND(AJ111="Alta",AL111="Catastrófico"),AND(AJ111="Muy Alta",AL111="Catastrófico")),"Extremo","")))),"")</f>
        <v/>
      </c>
      <c r="AO111" s="132"/>
      <c r="AP111" s="304"/>
      <c r="AQ111" s="353"/>
      <c r="AR111" s="353"/>
      <c r="AS111" s="347"/>
      <c r="AT111" s="400"/>
      <c r="AU111" s="400"/>
      <c r="AV111" s="400"/>
    </row>
    <row r="112" spans="1:48" x14ac:dyDescent="0.2">
      <c r="A112" s="398"/>
      <c r="B112" s="400"/>
      <c r="C112" s="401"/>
      <c r="D112" s="421"/>
      <c r="E112" s="401"/>
      <c r="F112" s="401"/>
      <c r="G112" s="401"/>
      <c r="H112" s="400"/>
      <c r="I112" s="403"/>
      <c r="J112" s="423"/>
      <c r="K112" s="423"/>
      <c r="L112" s="403"/>
      <c r="M112" s="403"/>
      <c r="N112" s="403"/>
      <c r="O112" s="416"/>
      <c r="P112" s="417"/>
      <c r="Q112" s="405"/>
      <c r="R112" s="406"/>
      <c r="S112" s="405">
        <f>IF(NOT(ISERROR(MATCH(R112,_xlfn.ANCHORARRAY(G123),0))),Q125&amp;"Por favor no seleccionar los criterios de impacto",R112)</f>
        <v>0</v>
      </c>
      <c r="T112" s="417"/>
      <c r="U112" s="405"/>
      <c r="V112" s="418"/>
      <c r="W112" s="149">
        <v>5</v>
      </c>
      <c r="X112" s="149"/>
      <c r="Y112" s="149"/>
      <c r="Z112" s="336"/>
      <c r="AA112" s="304" t="str">
        <f t="shared" si="99"/>
        <v xml:space="preserve">  </v>
      </c>
      <c r="AB112" s="126" t="str">
        <f t="shared" si="162"/>
        <v/>
      </c>
      <c r="AC112" s="127"/>
      <c r="AD112" s="127"/>
      <c r="AE112" s="128" t="str">
        <f t="shared" si="157"/>
        <v/>
      </c>
      <c r="AF112" s="127"/>
      <c r="AG112" s="127"/>
      <c r="AH112" s="127"/>
      <c r="AI112" s="129" t="str">
        <f t="shared" si="163"/>
        <v/>
      </c>
      <c r="AJ112" s="130" t="str">
        <f t="shared" si="101"/>
        <v/>
      </c>
      <c r="AK112" s="128" t="str">
        <f t="shared" si="158"/>
        <v/>
      </c>
      <c r="AL112" s="130" t="str">
        <f t="shared" si="103"/>
        <v/>
      </c>
      <c r="AM112" s="128" t="str">
        <f t="shared" si="112"/>
        <v/>
      </c>
      <c r="AN112" s="131" t="str">
        <f t="shared" ref="AN112:AN113" si="164">IFERROR(IF(OR(AND(AJ112="Muy Baja",AL112="Leve"),AND(AJ112="Muy Baja",AL112="Menor"),AND(AJ112="Baja",AL112="Leve")),"Bajo",IF(OR(AND(AJ112="Muy baja",AL112="Moderado"),AND(AJ112="Baja",AL112="Menor"),AND(AJ112="Baja",AL112="Moderado"),AND(AJ112="Media",AL112="Leve"),AND(AJ112="Media",AL112="Menor"),AND(AJ112="Media",AL112="Moderado"),AND(AJ112="Alta",AL112="Leve"),AND(AJ112="Alta",AL112="Menor")),"Moderado",IF(OR(AND(AJ112="Muy Baja",AL112="Mayor"),AND(AJ112="Baja",AL112="Mayor"),AND(AJ112="Media",AL112="Mayor"),AND(AJ112="Alta",AL112="Moderado"),AND(AJ112="Alta",AL112="Mayor"),AND(AJ112="Muy Alta",AL112="Leve"),AND(AJ112="Muy Alta",AL112="Menor"),AND(AJ112="Muy Alta",AL112="Moderado"),AND(AJ112="Muy Alta",AL112="Mayor")),"Alto",IF(OR(AND(AJ112="Muy Baja",AL112="Catastrófico"),AND(AJ112="Baja",AL112="Catastrófico"),AND(AJ112="Media",AL112="Catastrófico"),AND(AJ112="Alta",AL112="Catastrófico"),AND(AJ112="Muy Alta",AL112="Catastrófico")),"Extremo","")))),"")</f>
        <v/>
      </c>
      <c r="AO112" s="132"/>
      <c r="AP112" s="304"/>
      <c r="AQ112" s="353"/>
      <c r="AR112" s="353"/>
      <c r="AS112" s="347"/>
      <c r="AT112" s="400"/>
      <c r="AU112" s="400"/>
      <c r="AV112" s="400"/>
    </row>
    <row r="113" spans="1:48" x14ac:dyDescent="0.2">
      <c r="A113" s="398"/>
      <c r="B113" s="400"/>
      <c r="C113" s="401"/>
      <c r="D113" s="422"/>
      <c r="E113" s="401"/>
      <c r="F113" s="401"/>
      <c r="G113" s="401"/>
      <c r="H113" s="400"/>
      <c r="I113" s="404"/>
      <c r="J113" s="423"/>
      <c r="K113" s="423"/>
      <c r="L113" s="404"/>
      <c r="M113" s="404"/>
      <c r="N113" s="404"/>
      <c r="O113" s="416"/>
      <c r="P113" s="417"/>
      <c r="Q113" s="405"/>
      <c r="R113" s="406"/>
      <c r="S113" s="405">
        <f>IF(NOT(ISERROR(MATCH(R113,_xlfn.ANCHORARRAY(G124),0))),#REF!&amp;"Por favor no seleccionar los criterios de impacto",R113)</f>
        <v>0</v>
      </c>
      <c r="T113" s="417"/>
      <c r="U113" s="405"/>
      <c r="V113" s="418"/>
      <c r="W113" s="149">
        <v>6</v>
      </c>
      <c r="X113" s="149"/>
      <c r="Y113" s="149"/>
      <c r="Z113" s="336"/>
      <c r="AA113" s="304" t="str">
        <f t="shared" si="99"/>
        <v xml:space="preserve">  </v>
      </c>
      <c r="AB113" s="126" t="str">
        <f t="shared" si="162"/>
        <v/>
      </c>
      <c r="AC113" s="127"/>
      <c r="AD113" s="127"/>
      <c r="AE113" s="128" t="str">
        <f t="shared" si="157"/>
        <v/>
      </c>
      <c r="AF113" s="127"/>
      <c r="AG113" s="127"/>
      <c r="AH113" s="127"/>
      <c r="AI113" s="129" t="str">
        <f t="shared" si="163"/>
        <v/>
      </c>
      <c r="AJ113" s="130" t="str">
        <f t="shared" si="101"/>
        <v/>
      </c>
      <c r="AK113" s="128" t="str">
        <f t="shared" si="158"/>
        <v/>
      </c>
      <c r="AL113" s="130" t="str">
        <f t="shared" si="103"/>
        <v/>
      </c>
      <c r="AM113" s="128" t="str">
        <f t="shared" si="112"/>
        <v/>
      </c>
      <c r="AN113" s="131" t="str">
        <f t="shared" si="164"/>
        <v/>
      </c>
      <c r="AO113" s="132"/>
      <c r="AP113" s="304"/>
      <c r="AQ113" s="353"/>
      <c r="AR113" s="353"/>
      <c r="AS113" s="347"/>
      <c r="AT113" s="400"/>
      <c r="AU113" s="400"/>
      <c r="AV113" s="400"/>
    </row>
    <row r="114" spans="1:48" ht="69.75" customHeight="1" x14ac:dyDescent="0.2">
      <c r="A114" s="398">
        <v>18</v>
      </c>
      <c r="B114" s="400" t="s">
        <v>556</v>
      </c>
      <c r="C114" s="401" t="s">
        <v>40</v>
      </c>
      <c r="D114" s="420" t="s">
        <v>919</v>
      </c>
      <c r="E114" s="401" t="s">
        <v>920</v>
      </c>
      <c r="F114" s="401" t="s">
        <v>921</v>
      </c>
      <c r="G114" s="401" t="str">
        <f t="shared" ref="G114" si="165">+CONCATENATE(C114," ",D114," ",E114)</f>
        <v>Posibilidad de afectación reputacional por emitir actuaciones fuera del término legal Debido a retrasos en la asignación de actividades o retraso por parte del servidor(a) y/o contratista encargado de adelantar las actuaciones correspondientes dentro de los términos procesales judiciales, trámites extrajudiciales y administrativos</v>
      </c>
      <c r="H114" s="400" t="s">
        <v>391</v>
      </c>
      <c r="I114" s="402" t="s">
        <v>62</v>
      </c>
      <c r="J114" s="423" t="s">
        <v>922</v>
      </c>
      <c r="K114" s="423" t="s">
        <v>923</v>
      </c>
      <c r="L114" s="402" t="s">
        <v>924</v>
      </c>
      <c r="M114" s="402" t="s">
        <v>65</v>
      </c>
      <c r="N114" s="402" t="s">
        <v>46</v>
      </c>
      <c r="O114" s="416">
        <v>208</v>
      </c>
      <c r="P114" s="417" t="str">
        <f>IF(O114&lt;=0,"",IF(O114&lt;=2,"Muy Baja",IF(O114&lt;=24,"Baja",IF(O114&lt;=500,"Media",IF(O114&lt;=5000,"Alta","Muy Alta")))))</f>
        <v>Media</v>
      </c>
      <c r="Q114" s="405">
        <f>IF(P114="","",IF(P114="Muy Baja",0.2,IF(P114="Baja",0.4,IF(P114="Media",0.6,IF(P114="Alta",0.8,IF(P114="Muy Alta",1,))))))</f>
        <v>0.6</v>
      </c>
      <c r="R114" s="406" t="s">
        <v>392</v>
      </c>
      <c r="S114" s="405" t="str">
        <f>IF(NOT(ISERROR(MATCH(R114,'[2]Tabla Impacto'!$B$245:$B$247,0))),'[2]Tabla Impacto'!$F$224&amp;"Por favor no seleccionar los criterios de impacto(Afectación Económica o presupuestal y Pérdida Reputacional)",R114)</f>
        <v xml:space="preserve">     El riesgo afecta la imagen de alguna área de la organización</v>
      </c>
      <c r="T114" s="417" t="str">
        <f>IF(OR(S114='[2]Tabla Impacto'!$C$12,S114='[2]Tabla Impacto'!$D$12),"Leve",IF(OR(S114='[2]Tabla Impacto'!$C$13,S114='[2]Tabla Impacto'!$D$13),"Menor",IF(OR(S114='[2]Tabla Impacto'!$C$14,S114='[2]Tabla Impacto'!$D$14),"Moderado",IF(OR(S114='[2]Tabla Impacto'!$C$15,S114='[2]Tabla Impacto'!$D$15),"Mayor",IF(OR(S114='[2]Tabla Impacto'!$C$16,S114='[2]Tabla Impacto'!$D$16),"Catastrófico","")))))</f>
        <v>Leve</v>
      </c>
      <c r="U114" s="405">
        <f>IF(T114="","",IF(T114="Leve",0.2,IF(T114="Menor",0.4,IF(T114="Moderado",0.6,IF(T114="Mayor",0.8,IF(T114="Catastrófico",1,))))))</f>
        <v>0.2</v>
      </c>
      <c r="V114" s="418" t="str">
        <f>IF(OR(AND(P114="Muy Baja",T114="Leve"),AND(P114="Muy Baja",T114="Menor"),AND(P114="Baja",T114="Leve")),"Bajo",IF(OR(AND(P114="Muy baja",T114="Moderado"),AND(P114="Baja",T114="Menor"),AND(P114="Baja",T114="Moderado"),AND(P114="Media",T114="Leve"),AND(P114="Media",T114="Menor"),AND(P114="Media",T114="Moderado"),AND(P114="Alta",T114="Leve"),AND(P114="Alta",T114="Menor")),"Moderado",IF(OR(AND(P114="Muy Baja",T114="Mayor"),AND(P114="Baja",T114="Mayor"),AND(P114="Media",T114="Mayor"),AND(P114="Alta",T114="Moderado"),AND(P114="Alta",T114="Mayor"),AND(P114="Muy Alta",T114="Leve"),AND(P114="Muy Alta",T114="Menor"),AND(P114="Muy Alta",T114="Moderado"),AND(P114="Muy Alta",T114="Mayor")),"Alto",IF(OR(AND(P114="Muy Baja",T114="Catastrófico"),AND(P114="Baja",T114="Catastrófico"),AND(P114="Media",T114="Catastrófico"),AND(P114="Alta",T114="Catastrófico"),AND(P114="Muy Alta",T114="Catastrófico")),"Extremo",""))))</f>
        <v>Moderado</v>
      </c>
      <c r="W114" s="149">
        <v>1</v>
      </c>
      <c r="X114" s="182" t="s">
        <v>925</v>
      </c>
      <c r="Y114" s="149" t="s">
        <v>37</v>
      </c>
      <c r="Z114" s="182" t="s">
        <v>926</v>
      </c>
      <c r="AA114" s="304" t="str">
        <f t="shared" si="99"/>
        <v>El profesional designado por el Jefe (a) de la Oficina Jurídica Verifica Bimensual y en el marco de lo establecido en la Resolución 485 de 2023 y/o normatividad vigentes, que se tenga actualizado el Sistema de Información de Procesos Judiciales - SIPROJ WEB.  En caso de encontrar incumplimiento en el estado de actualización,  informará mediante correo electrónico al profesional designado lider de defensa jurídica,  para que solicite a los apoderados de cada proceso actualizar el proceso antes del vencimiento del periodo trimestral establecido en la Res 485 de 2023 y/o normatividad vigente . Como evidencia se tiene el reporte bimensual  de SIPROJ WEB sobre estado de actualización de píezas procesales.</v>
      </c>
      <c r="AB114" s="126" t="str">
        <f>IF(OR(AC114="Preventivo",AC114="Detectivo"),"Probabilidad",IF(AC114="Correctivo","Impacto",""))</f>
        <v>Probabilidad</v>
      </c>
      <c r="AC114" s="127" t="s">
        <v>398</v>
      </c>
      <c r="AD114" s="127" t="s">
        <v>394</v>
      </c>
      <c r="AE114" s="128" t="str">
        <f>IF(AND(AC114="Preventivo",AD114="Automático"),"50%",IF(AND(AC114="Preventivo",AD114="Manual"),"40%",IF(AND(AC114="Detectivo",AD114="Automático"),"40%",IF(AND(AC114="Detectivo",AD114="Manual"),"30%",IF(AND(AC114="Correctivo",AD114="Automático"),"35%",IF(AND(AC114="Correctivo",AD114="Manual"),"25%",""))))))</f>
        <v>40%</v>
      </c>
      <c r="AF114" s="127" t="s">
        <v>395</v>
      </c>
      <c r="AG114" s="127" t="s">
        <v>396</v>
      </c>
      <c r="AH114" s="127" t="s">
        <v>397</v>
      </c>
      <c r="AI114" s="129">
        <f>IFERROR(IF(AB114="Probabilidad",(Q114-(+Q114*AE114)),IF(AB114="Impacto",Q114,"")),"")</f>
        <v>0.36</v>
      </c>
      <c r="AJ114" s="130" t="str">
        <f>IFERROR(IF(AI114="","",IF(AI114&lt;=0.2,"Muy Baja",IF(AI114&lt;=0.4,"Baja",IF(AI114&lt;=0.6,"Media",IF(AI114&lt;=0.8,"Alta","Muy Alta"))))),"")</f>
        <v>Baja</v>
      </c>
      <c r="AK114" s="128">
        <f>+AI114</f>
        <v>0.36</v>
      </c>
      <c r="AL114" s="130" t="str">
        <f>IFERROR(IF(AM114="","",IF(AM114&lt;=0.2,"Leve",IF(AM114&lt;=0.4,"Menor",IF(AM114&lt;=0.6,"Moderado",IF(AM114&lt;=0.8,"Mayor","Catastrófico"))))),"")</f>
        <v>Leve</v>
      </c>
      <c r="AM114" s="128">
        <f t="shared" ref="AM114" si="166">IFERROR(IF(AB114="Impacto",(U114-(+U114*AE114)),IF(AB114="Probabilidad",U114,"")),"")</f>
        <v>0.2</v>
      </c>
      <c r="AN114" s="131" t="str">
        <f>IFERROR(IF(OR(AND(AJ114="Muy Baja",AL114="Leve"),AND(AJ114="Muy Baja",AL114="Menor"),AND(AJ114="Baja",AL114="Leve")),"Bajo",IF(OR(AND(AJ114="Muy baja",AL114="Moderado"),AND(AJ114="Baja",AL114="Menor"),AND(AJ114="Baja",AL114="Moderado"),AND(AJ114="Media",AL114="Leve"),AND(AJ114="Media",AL114="Menor"),AND(AJ114="Media",AL114="Moderado"),AND(AJ114="Alta",AL114="Leve"),AND(AJ114="Alta",AL114="Menor")),"Moderado",IF(OR(AND(AJ114="Muy Baja",AL114="Mayor"),AND(AJ114="Baja",AL114="Mayor"),AND(AJ114="Media",AL114="Mayor"),AND(AJ114="Alta",AL114="Moderado"),AND(AJ114="Alta",AL114="Mayor"),AND(AJ114="Muy Alta",AL114="Leve"),AND(AJ114="Muy Alta",AL114="Menor"),AND(AJ114="Muy Alta",AL114="Moderado"),AND(AJ114="Muy Alta",AL114="Mayor")),"Alto",IF(OR(AND(AJ114="Muy Baja",AL114="Catastrófico"),AND(AJ114="Baja",AL114="Catastrófico"),AND(AJ114="Media",AL114="Catastrófico"),AND(AJ114="Alta",AL114="Catastrófico"),AND(AJ114="Muy Alta",AL114="Catastrófico")),"Extremo","")))),"")</f>
        <v>Bajo</v>
      </c>
      <c r="AO114" s="132" t="s">
        <v>35</v>
      </c>
      <c r="AP114" s="304"/>
      <c r="AQ114" s="304"/>
      <c r="AR114" s="304"/>
      <c r="AS114" s="304"/>
      <c r="AT114" s="400" t="s">
        <v>927</v>
      </c>
      <c r="AU114" s="400" t="s">
        <v>928</v>
      </c>
      <c r="AV114" s="400" t="s">
        <v>915</v>
      </c>
    </row>
    <row r="115" spans="1:48" x14ac:dyDescent="0.2">
      <c r="A115" s="398"/>
      <c r="B115" s="400"/>
      <c r="C115" s="401"/>
      <c r="D115" s="421"/>
      <c r="E115" s="401"/>
      <c r="F115" s="401"/>
      <c r="G115" s="401"/>
      <c r="H115" s="400"/>
      <c r="I115" s="403"/>
      <c r="J115" s="423"/>
      <c r="K115" s="423"/>
      <c r="L115" s="403"/>
      <c r="M115" s="403"/>
      <c r="N115" s="403"/>
      <c r="O115" s="416"/>
      <c r="P115" s="417"/>
      <c r="Q115" s="405"/>
      <c r="R115" s="406"/>
      <c r="S115" s="405">
        <f>IF(NOT(ISERROR(MATCH(R115,_xlfn.ANCHORARRAY(#REF!),0))),Q127&amp;"Por favor no seleccionar los criterios de impacto",R115)</f>
        <v>0</v>
      </c>
      <c r="T115" s="417"/>
      <c r="U115" s="405"/>
      <c r="V115" s="418"/>
      <c r="W115" s="149">
        <v>2</v>
      </c>
      <c r="X115" s="182"/>
      <c r="Y115" s="182"/>
      <c r="Z115" s="336"/>
      <c r="AA115" s="304" t="str">
        <f t="shared" si="99"/>
        <v xml:space="preserve">  </v>
      </c>
      <c r="AB115" s="126" t="str">
        <f>IF(OR(AC115="Preventivo",AC115="Detectivo"),"Probabilidad",IF(AC115="Correctivo","Impacto",""))</f>
        <v/>
      </c>
      <c r="AC115" s="127"/>
      <c r="AD115" s="127"/>
      <c r="AE115" s="128" t="str">
        <f t="shared" ref="AE115:AE119" si="167">IF(AND(AC115="Preventivo",AD115="Automático"),"50%",IF(AND(AC115="Preventivo",AD115="Manual"),"40%",IF(AND(AC115="Detectivo",AD115="Automático"),"40%",IF(AND(AC115="Detectivo",AD115="Manual"),"30%",IF(AND(AC115="Correctivo",AD115="Automático"),"35%",IF(AND(AC115="Correctivo",AD115="Manual"),"25%",""))))))</f>
        <v/>
      </c>
      <c r="AF115" s="127"/>
      <c r="AG115" s="127"/>
      <c r="AH115" s="127"/>
      <c r="AI115" s="129" t="str">
        <f>IFERROR(IF(AND(AB114="Probabilidad",AB115="Probabilidad"),(AK114-(+AK114*AE115)),IF(AB115="Probabilidad",(Q114-(+Q114*AE115)),IF(AB115="Impacto",AK114,""))),"")</f>
        <v/>
      </c>
      <c r="AJ115" s="130" t="str">
        <f t="shared" si="101"/>
        <v/>
      </c>
      <c r="AK115" s="128" t="str">
        <f t="shared" ref="AK115:AK119" si="168">+AI115</f>
        <v/>
      </c>
      <c r="AL115" s="130" t="str">
        <f t="shared" si="103"/>
        <v/>
      </c>
      <c r="AM115" s="128" t="str">
        <f t="shared" ref="AM115" si="169">IFERROR(IF(AND(AB114="Impacto",AB115="Impacto"),(AM114-(+AM114*AE115)),IF(AB115="Impacto",($U$10-(+$U$10*AE115)),IF(AB115="Probabilidad",AM114,""))),"")</f>
        <v/>
      </c>
      <c r="AN115" s="131" t="str">
        <f t="shared" ref="AN115:AN116" si="170">IFERROR(IF(OR(AND(AJ115="Muy Baja",AL115="Leve"),AND(AJ115="Muy Baja",AL115="Menor"),AND(AJ115="Baja",AL115="Leve")),"Bajo",IF(OR(AND(AJ115="Muy baja",AL115="Moderado"),AND(AJ115="Baja",AL115="Menor"),AND(AJ115="Baja",AL115="Moderado"),AND(AJ115="Media",AL115="Leve"),AND(AJ115="Media",AL115="Menor"),AND(AJ115="Media",AL115="Moderado"),AND(AJ115="Alta",AL115="Leve"),AND(AJ115="Alta",AL115="Menor")),"Moderado",IF(OR(AND(AJ115="Muy Baja",AL115="Mayor"),AND(AJ115="Baja",AL115="Mayor"),AND(AJ115="Media",AL115="Mayor"),AND(AJ115="Alta",AL115="Moderado"),AND(AJ115="Alta",AL115="Mayor"),AND(AJ115="Muy Alta",AL115="Leve"),AND(AJ115="Muy Alta",AL115="Menor"),AND(AJ115="Muy Alta",AL115="Moderado"),AND(AJ115="Muy Alta",AL115="Mayor")),"Alto",IF(OR(AND(AJ115="Muy Baja",AL115="Catastrófico"),AND(AJ115="Baja",AL115="Catastrófico"),AND(AJ115="Media",AL115="Catastrófico"),AND(AJ115="Alta",AL115="Catastrófico"),AND(AJ115="Muy Alta",AL115="Catastrófico")),"Extremo","")))),"")</f>
        <v/>
      </c>
      <c r="AO115" s="132"/>
      <c r="AP115" s="304"/>
      <c r="AQ115" s="304"/>
      <c r="AR115" s="304"/>
      <c r="AS115" s="304"/>
      <c r="AT115" s="400"/>
      <c r="AU115" s="400"/>
      <c r="AV115" s="400"/>
    </row>
    <row r="116" spans="1:48" x14ac:dyDescent="0.2">
      <c r="A116" s="398"/>
      <c r="B116" s="400"/>
      <c r="C116" s="401"/>
      <c r="D116" s="421"/>
      <c r="E116" s="401"/>
      <c r="F116" s="401"/>
      <c r="G116" s="401"/>
      <c r="H116" s="400"/>
      <c r="I116" s="403"/>
      <c r="J116" s="423"/>
      <c r="K116" s="423"/>
      <c r="L116" s="403"/>
      <c r="M116" s="403"/>
      <c r="N116" s="403"/>
      <c r="O116" s="416"/>
      <c r="P116" s="417"/>
      <c r="Q116" s="405"/>
      <c r="R116" s="406"/>
      <c r="S116" s="405">
        <f>IF(NOT(ISERROR(MATCH(R116,_xlfn.ANCHORARRAY(G126),0))),Q128&amp;"Por favor no seleccionar los criterios de impacto",R116)</f>
        <v>0</v>
      </c>
      <c r="T116" s="417"/>
      <c r="U116" s="405"/>
      <c r="V116" s="418"/>
      <c r="W116" s="149">
        <v>3</v>
      </c>
      <c r="X116" s="149"/>
      <c r="Y116" s="149"/>
      <c r="Z116" s="336"/>
      <c r="AA116" s="304" t="str">
        <f t="shared" si="99"/>
        <v xml:space="preserve">  </v>
      </c>
      <c r="AB116" s="126" t="str">
        <f>IF(OR(AC116="Preventivo",AC116="Detectivo"),"Probabilidad",IF(AC116="Correctivo","Impacto",""))</f>
        <v/>
      </c>
      <c r="AC116" s="127"/>
      <c r="AD116" s="127"/>
      <c r="AE116" s="128" t="str">
        <f t="shared" si="167"/>
        <v/>
      </c>
      <c r="AF116" s="127"/>
      <c r="AG116" s="127"/>
      <c r="AH116" s="127"/>
      <c r="AI116" s="129" t="str">
        <f>IFERROR(IF(AND(AB115="Probabilidad",AB116="Probabilidad"),(AK115-(+AK115*AE116)),IF(AND(AB115="Impacto",AB116="Probabilidad"),(AK114-(+AK114*AE116)),IF(AB116="Impacto",AK115,""))),"")</f>
        <v/>
      </c>
      <c r="AJ116" s="130" t="str">
        <f t="shared" si="101"/>
        <v/>
      </c>
      <c r="AK116" s="128" t="str">
        <f t="shared" si="168"/>
        <v/>
      </c>
      <c r="AL116" s="130" t="str">
        <f t="shared" si="103"/>
        <v/>
      </c>
      <c r="AM116" s="128" t="str">
        <f t="shared" ref="AM116" si="171">IFERROR(IF(AND(AB115="Impacto",AB116="Impacto"),(AM115-(+AM115*AE116)),IF(AND(AB115="Probabilidad",AB116="Impacto"),(AM114-(+AM114*AE116)),IF(AB116="Probabilidad",AM115,""))),"")</f>
        <v/>
      </c>
      <c r="AN116" s="131" t="str">
        <f t="shared" si="170"/>
        <v/>
      </c>
      <c r="AO116" s="132"/>
      <c r="AP116" s="304"/>
      <c r="AQ116" s="353"/>
      <c r="AR116" s="353"/>
      <c r="AS116" s="347"/>
      <c r="AT116" s="400"/>
      <c r="AU116" s="400"/>
      <c r="AV116" s="400"/>
    </row>
    <row r="117" spans="1:48" x14ac:dyDescent="0.2">
      <c r="A117" s="398"/>
      <c r="B117" s="400"/>
      <c r="C117" s="401"/>
      <c r="D117" s="421"/>
      <c r="E117" s="401"/>
      <c r="F117" s="401"/>
      <c r="G117" s="401"/>
      <c r="H117" s="400"/>
      <c r="I117" s="403"/>
      <c r="J117" s="423"/>
      <c r="K117" s="423"/>
      <c r="L117" s="403"/>
      <c r="M117" s="403"/>
      <c r="N117" s="403"/>
      <c r="O117" s="416"/>
      <c r="P117" s="417"/>
      <c r="Q117" s="405"/>
      <c r="R117" s="406"/>
      <c r="S117" s="405">
        <f>IF(NOT(ISERROR(MATCH(R117,_xlfn.ANCHORARRAY(G127),0))),Q129&amp;"Por favor no seleccionar los criterios de impacto",R117)</f>
        <v>0</v>
      </c>
      <c r="T117" s="417"/>
      <c r="U117" s="405"/>
      <c r="V117" s="418"/>
      <c r="W117" s="149">
        <v>4</v>
      </c>
      <c r="X117" s="149"/>
      <c r="Y117" s="149"/>
      <c r="Z117" s="336"/>
      <c r="AA117" s="304" t="str">
        <f t="shared" si="99"/>
        <v xml:space="preserve">  </v>
      </c>
      <c r="AB117" s="126" t="str">
        <f t="shared" ref="AB117:AB119" si="172">IF(OR(AC117="Preventivo",AC117="Detectivo"),"Probabilidad",IF(AC117="Correctivo","Impacto",""))</f>
        <v/>
      </c>
      <c r="AC117" s="127"/>
      <c r="AD117" s="127"/>
      <c r="AE117" s="128" t="str">
        <f t="shared" si="167"/>
        <v/>
      </c>
      <c r="AF117" s="127"/>
      <c r="AG117" s="127"/>
      <c r="AH117" s="127"/>
      <c r="AI117" s="129" t="str">
        <f t="shared" ref="AI117:AI119" si="173">IFERROR(IF(AND(AB116="Probabilidad",AB117="Probabilidad"),(AK116-(+AK116*AE117)),IF(AND(AB116="Impacto",AB117="Probabilidad"),(AK115-(+AK115*AE117)),IF(AB117="Impacto",AK116,""))),"")</f>
        <v/>
      </c>
      <c r="AJ117" s="130" t="str">
        <f t="shared" si="101"/>
        <v/>
      </c>
      <c r="AK117" s="128" t="str">
        <f t="shared" si="168"/>
        <v/>
      </c>
      <c r="AL117" s="130" t="str">
        <f t="shared" si="103"/>
        <v/>
      </c>
      <c r="AM117" s="128" t="str">
        <f t="shared" si="112"/>
        <v/>
      </c>
      <c r="AN117" s="131" t="str">
        <f>IFERROR(IF(OR(AND(AJ117="Muy Baja",AL117="Leve"),AND(AJ117="Muy Baja",AL117="Menor"),AND(AJ117="Baja",AL117="Leve")),"Bajo",IF(OR(AND(AJ117="Muy baja",AL117="Moderado"),AND(AJ117="Baja",AL117="Menor"),AND(AJ117="Baja",AL117="Moderado"),AND(AJ117="Media",AL117="Leve"),AND(AJ117="Media",AL117="Menor"),AND(AJ117="Media",AL117="Moderado"),AND(AJ117="Alta",AL117="Leve"),AND(AJ117="Alta",AL117="Menor")),"Moderado",IF(OR(AND(AJ117="Muy Baja",AL117="Mayor"),AND(AJ117="Baja",AL117="Mayor"),AND(AJ117="Media",AL117="Mayor"),AND(AJ117="Alta",AL117="Moderado"),AND(AJ117="Alta",AL117="Mayor"),AND(AJ117="Muy Alta",AL117="Leve"),AND(AJ117="Muy Alta",AL117="Menor"),AND(AJ117="Muy Alta",AL117="Moderado"),AND(AJ117="Muy Alta",AL117="Mayor")),"Alto",IF(OR(AND(AJ117="Muy Baja",AL117="Catastrófico"),AND(AJ117="Baja",AL117="Catastrófico"),AND(AJ117="Media",AL117="Catastrófico"),AND(AJ117="Alta",AL117="Catastrófico"),AND(AJ117="Muy Alta",AL117="Catastrófico")),"Extremo","")))),"")</f>
        <v/>
      </c>
      <c r="AO117" s="132"/>
      <c r="AP117" s="304"/>
      <c r="AQ117" s="353"/>
      <c r="AR117" s="353"/>
      <c r="AS117" s="347"/>
      <c r="AT117" s="400"/>
      <c r="AU117" s="400"/>
      <c r="AV117" s="400"/>
    </row>
    <row r="118" spans="1:48" x14ac:dyDescent="0.2">
      <c r="A118" s="398"/>
      <c r="B118" s="400"/>
      <c r="C118" s="401"/>
      <c r="D118" s="421"/>
      <c r="E118" s="401"/>
      <c r="F118" s="401"/>
      <c r="G118" s="401"/>
      <c r="H118" s="400"/>
      <c r="I118" s="403"/>
      <c r="J118" s="423"/>
      <c r="K118" s="423"/>
      <c r="L118" s="403"/>
      <c r="M118" s="403"/>
      <c r="N118" s="403"/>
      <c r="O118" s="416"/>
      <c r="P118" s="417"/>
      <c r="Q118" s="405"/>
      <c r="R118" s="406"/>
      <c r="S118" s="405">
        <f>IF(NOT(ISERROR(MATCH(R118,_xlfn.ANCHORARRAY(G128),0))),Q130&amp;"Por favor no seleccionar los criterios de impacto",R118)</f>
        <v>0</v>
      </c>
      <c r="T118" s="417"/>
      <c r="U118" s="405"/>
      <c r="V118" s="418"/>
      <c r="W118" s="149">
        <v>5</v>
      </c>
      <c r="X118" s="149"/>
      <c r="Y118" s="149"/>
      <c r="Z118" s="336"/>
      <c r="AA118" s="304" t="str">
        <f t="shared" si="99"/>
        <v xml:space="preserve">  </v>
      </c>
      <c r="AB118" s="126" t="str">
        <f t="shared" si="172"/>
        <v/>
      </c>
      <c r="AC118" s="127"/>
      <c r="AD118" s="127"/>
      <c r="AE118" s="128" t="str">
        <f t="shared" si="167"/>
        <v/>
      </c>
      <c r="AF118" s="127"/>
      <c r="AG118" s="127"/>
      <c r="AH118" s="127"/>
      <c r="AI118" s="129" t="str">
        <f t="shared" si="173"/>
        <v/>
      </c>
      <c r="AJ118" s="130" t="str">
        <f t="shared" si="101"/>
        <v/>
      </c>
      <c r="AK118" s="128" t="str">
        <f t="shared" si="168"/>
        <v/>
      </c>
      <c r="AL118" s="130" t="str">
        <f t="shared" si="103"/>
        <v/>
      </c>
      <c r="AM118" s="128" t="str">
        <f t="shared" si="112"/>
        <v/>
      </c>
      <c r="AN118" s="131" t="str">
        <f t="shared" ref="AN118:AN119" si="174">IFERROR(IF(OR(AND(AJ118="Muy Baja",AL118="Leve"),AND(AJ118="Muy Baja",AL118="Menor"),AND(AJ118="Baja",AL118="Leve")),"Bajo",IF(OR(AND(AJ118="Muy baja",AL118="Moderado"),AND(AJ118="Baja",AL118="Menor"),AND(AJ118="Baja",AL118="Moderado"),AND(AJ118="Media",AL118="Leve"),AND(AJ118="Media",AL118="Menor"),AND(AJ118="Media",AL118="Moderado"),AND(AJ118="Alta",AL118="Leve"),AND(AJ118="Alta",AL118="Menor")),"Moderado",IF(OR(AND(AJ118="Muy Baja",AL118="Mayor"),AND(AJ118="Baja",AL118="Mayor"),AND(AJ118="Media",AL118="Mayor"),AND(AJ118="Alta",AL118="Moderado"),AND(AJ118="Alta",AL118="Mayor"),AND(AJ118="Muy Alta",AL118="Leve"),AND(AJ118="Muy Alta",AL118="Menor"),AND(AJ118="Muy Alta",AL118="Moderado"),AND(AJ118="Muy Alta",AL118="Mayor")),"Alto",IF(OR(AND(AJ118="Muy Baja",AL118="Catastrófico"),AND(AJ118="Baja",AL118="Catastrófico"),AND(AJ118="Media",AL118="Catastrófico"),AND(AJ118="Alta",AL118="Catastrófico"),AND(AJ118="Muy Alta",AL118="Catastrófico")),"Extremo","")))),"")</f>
        <v/>
      </c>
      <c r="AO118" s="132"/>
      <c r="AP118" s="304"/>
      <c r="AQ118" s="353"/>
      <c r="AR118" s="353"/>
      <c r="AS118" s="347"/>
      <c r="AT118" s="400"/>
      <c r="AU118" s="400"/>
      <c r="AV118" s="400"/>
    </row>
    <row r="119" spans="1:48" x14ac:dyDescent="0.2">
      <c r="A119" s="398"/>
      <c r="B119" s="400"/>
      <c r="C119" s="401"/>
      <c r="D119" s="422"/>
      <c r="E119" s="401"/>
      <c r="F119" s="401"/>
      <c r="G119" s="401"/>
      <c r="H119" s="400"/>
      <c r="I119" s="404"/>
      <c r="J119" s="423"/>
      <c r="K119" s="423"/>
      <c r="L119" s="404"/>
      <c r="M119" s="404"/>
      <c r="N119" s="404"/>
      <c r="O119" s="416"/>
      <c r="P119" s="417"/>
      <c r="Q119" s="405"/>
      <c r="R119" s="406"/>
      <c r="S119" s="405">
        <f>IF(NOT(ISERROR(MATCH(R119,_xlfn.ANCHORARRAY(G129),0))),R131&amp;"Por favor no seleccionar los criterios de impacto",R119)</f>
        <v>0</v>
      </c>
      <c r="T119" s="417"/>
      <c r="U119" s="405"/>
      <c r="V119" s="418"/>
      <c r="W119" s="149">
        <v>6</v>
      </c>
      <c r="X119" s="149"/>
      <c r="Y119" s="149"/>
      <c r="Z119" s="149"/>
      <c r="AA119" s="304" t="str">
        <f t="shared" si="99"/>
        <v xml:space="preserve">  </v>
      </c>
      <c r="AB119" s="126" t="str">
        <f t="shared" si="172"/>
        <v/>
      </c>
      <c r="AC119" s="127"/>
      <c r="AD119" s="127"/>
      <c r="AE119" s="128" t="str">
        <f t="shared" si="167"/>
        <v/>
      </c>
      <c r="AF119" s="127"/>
      <c r="AG119" s="127"/>
      <c r="AH119" s="127"/>
      <c r="AI119" s="129" t="str">
        <f t="shared" si="173"/>
        <v/>
      </c>
      <c r="AJ119" s="130" t="str">
        <f t="shared" si="101"/>
        <v/>
      </c>
      <c r="AK119" s="128" t="str">
        <f t="shared" si="168"/>
        <v/>
      </c>
      <c r="AL119" s="130" t="str">
        <f t="shared" si="103"/>
        <v/>
      </c>
      <c r="AM119" s="128" t="str">
        <f t="shared" si="112"/>
        <v/>
      </c>
      <c r="AN119" s="131" t="str">
        <f t="shared" si="174"/>
        <v/>
      </c>
      <c r="AO119" s="132"/>
      <c r="AP119" s="304"/>
      <c r="AQ119" s="353"/>
      <c r="AR119" s="353"/>
      <c r="AS119" s="347"/>
      <c r="AT119" s="400"/>
      <c r="AU119" s="400"/>
      <c r="AV119" s="400"/>
    </row>
    <row r="120" spans="1:48" ht="69.75" customHeight="1" x14ac:dyDescent="0.2">
      <c r="A120" s="398">
        <v>19</v>
      </c>
      <c r="B120" s="400" t="s">
        <v>556</v>
      </c>
      <c r="C120" s="401" t="s">
        <v>36</v>
      </c>
      <c r="D120" s="420" t="s">
        <v>929</v>
      </c>
      <c r="E120" s="401" t="s">
        <v>930</v>
      </c>
      <c r="F120" s="401" t="s">
        <v>931</v>
      </c>
      <c r="G120" s="401" t="str">
        <f>+CONCATENATE(C120," ",D120," ",E120)</f>
        <v>Posibilidad de afectación económica por sanciones generadas a la entidad debido a que no se cuenta
con los soportes necesarios que permitan iniciar los trámites correspondientes para el cumplimiento de las decisiones judiciales.</v>
      </c>
      <c r="H120" s="400" t="s">
        <v>391</v>
      </c>
      <c r="I120" s="402" t="s">
        <v>62</v>
      </c>
      <c r="J120" s="420" t="s">
        <v>932</v>
      </c>
      <c r="K120" s="420" t="s">
        <v>933</v>
      </c>
      <c r="L120" s="402" t="s">
        <v>934</v>
      </c>
      <c r="M120" s="402" t="s">
        <v>65</v>
      </c>
      <c r="N120" s="402" t="s">
        <v>46</v>
      </c>
      <c r="O120" s="416">
        <v>10</v>
      </c>
      <c r="P120" s="417" t="str">
        <f>IF(O120&lt;=0,"",IF(O120&lt;=2,"Muy Baja",IF(O120&lt;=24,"Baja",IF(O120&lt;=500,"Media",IF(O120&lt;=5000,"Alta","Muy Alta")))))</f>
        <v>Baja</v>
      </c>
      <c r="Q120" s="405">
        <f>IF(P120="","",IF(P120="Muy Baja",0.2,IF(P120="Baja",0.4,IF(P120="Media",0.6,IF(P120="Alta",0.8,IF(P120="Muy Alta",1,))))))</f>
        <v>0.4</v>
      </c>
      <c r="R120" s="406" t="s">
        <v>392</v>
      </c>
      <c r="S120" s="405" t="str">
        <f>IF(NOT(ISERROR(MATCH(R120,'[2]Tabla Impacto'!$B$245:$B$247,0))),'[2]Tabla Impacto'!$F$224&amp;"Por favor no seleccionar los criterios de impacto(Afectación Económica o presupuestal y Pérdida Reputacional)",R120)</f>
        <v xml:space="preserve">     El riesgo afecta la imagen de alguna área de la organización</v>
      </c>
      <c r="T120" s="417" t="str">
        <f>IF(OR(S120='[2]Tabla Impacto'!$C$12,S120='[2]Tabla Impacto'!$D$12),"Leve",IF(OR(S120='[2]Tabla Impacto'!$C$13,S120='[2]Tabla Impacto'!$D$13),"Menor",IF(OR(S120='[2]Tabla Impacto'!$C$14,S120='[2]Tabla Impacto'!$D$14),"Moderado",IF(OR(S120='[2]Tabla Impacto'!$C$15,S120='[2]Tabla Impacto'!$D$15),"Mayor",IF(OR(S120='[2]Tabla Impacto'!$C$16,S120='[2]Tabla Impacto'!$D$16),"Catastrófico","")))))</f>
        <v>Leve</v>
      </c>
      <c r="U120" s="405">
        <f>IF(T120="","",IF(T120="Leve",0.2,IF(T120="Menor",0.4,IF(T120="Moderado",0.6,IF(T120="Mayor",0.8,IF(T120="Catastrófico",1,))))))</f>
        <v>0.2</v>
      </c>
      <c r="V120" s="418" t="str">
        <f>IF(OR(AND(P120="Muy Baja",T120="Leve"),AND(P120="Muy Baja",T120="Menor"),AND(P120="Baja",T120="Leve")),"Bajo",IF(OR(AND(P120="Muy baja",T120="Moderado"),AND(P120="Baja",T120="Menor"),AND(P120="Baja",T120="Moderado"),AND(P120="Media",T120="Leve"),AND(P120="Media",T120="Menor"),AND(P120="Media",T120="Moderado"),AND(P120="Alta",T120="Leve"),AND(P120="Alta",T120="Menor")),"Moderado",IF(OR(AND(P120="Muy Baja",T120="Mayor"),AND(P120="Baja",T120="Mayor"),AND(P120="Media",T120="Mayor"),AND(P120="Alta",T120="Moderado"),AND(P120="Alta",T120="Mayor"),AND(P120="Muy Alta",T120="Leve"),AND(P120="Muy Alta",T120="Menor"),AND(P120="Muy Alta",T120="Moderado"),AND(P120="Muy Alta",T120="Mayor")),"Alto",IF(OR(AND(P120="Muy Baja",T120="Catastrófico"),AND(P120="Baja",T120="Catastrófico"),AND(P120="Media",T120="Catastrófico"),AND(P120="Alta",T120="Catastrófico"),AND(P120="Muy Alta",T120="Catastrófico")),"Extremo",""))))</f>
        <v>Bajo</v>
      </c>
      <c r="W120" s="149">
        <v>1</v>
      </c>
      <c r="X120" s="182" t="s">
        <v>937</v>
      </c>
      <c r="Y120" s="149" t="s">
        <v>52</v>
      </c>
      <c r="Z120" s="182" t="s">
        <v>938</v>
      </c>
      <c r="AA120" s="304" t="str">
        <f t="shared" si="99"/>
        <v>El jefe de la OJ o la persona que este designe Revisa  Dos (2) veces al mes, siempre y cuando exista sentencia judicial ejecutoriada en el periodo (en firme , no es susceptible de mofificaciones en su parte resolutiva), en reunión  se verificará, si estas generan obligación de pago de dinero. Seguidamente, requerirá al apoderado encargado para que realice la solicitud de pago ante la secretaria general de la UMV dentro del término legal (si hay lugar a ello). En seguimiento a la solicitud realizada,  en caso de encontrar incumplimiento en el pago, se requerirá al abogado  para que realice los tramites mencionados para el pago. Como evidencia se tiene la resolucion de pago con sus soportes.
Como evidencia se tiene el acta de reunión en la que se da cuenta sobre la revisión de las sentencias judiciales emitidas en el periodo.</v>
      </c>
      <c r="AB120" s="126" t="str">
        <f>IF(OR(AC120="Preventivo",AC120="Detectivo"),"Probabilidad",IF(AC120="Correctivo","Impacto",""))</f>
        <v>Probabilidad</v>
      </c>
      <c r="AC120" s="127" t="s">
        <v>398</v>
      </c>
      <c r="AD120" s="127" t="s">
        <v>394</v>
      </c>
      <c r="AE120" s="128" t="str">
        <f>IF(AND(AC120="Preventivo",AD120="Automático"),"50%",IF(AND(AC120="Preventivo",AD120="Manual"),"40%",IF(AND(AC120="Detectivo",AD120="Automático"),"40%",IF(AND(AC120="Detectivo",AD120="Manual"),"30%",IF(AND(AC120="Correctivo",AD120="Automático"),"35%",IF(AND(AC120="Correctivo",AD120="Manual"),"25%",""))))))</f>
        <v>40%</v>
      </c>
      <c r="AF120" s="127" t="s">
        <v>395</v>
      </c>
      <c r="AG120" s="127" t="s">
        <v>396</v>
      </c>
      <c r="AH120" s="127" t="s">
        <v>397</v>
      </c>
      <c r="AI120" s="129">
        <f>IFERROR(IF(AB120="Probabilidad",(Q120-(+Q120*AE120)),IF(AB120="Impacto",Q120,"")),"")</f>
        <v>0.24</v>
      </c>
      <c r="AJ120" s="130" t="str">
        <f>IFERROR(IF(AI120="","",IF(AI120&lt;=0.2,"Muy Baja",IF(AI120&lt;=0.4,"Baja",IF(AI120&lt;=0.6,"Media",IF(AI120&lt;=0.8,"Alta","Muy Alta"))))),"")</f>
        <v>Baja</v>
      </c>
      <c r="AK120" s="128">
        <f>+AI120</f>
        <v>0.24</v>
      </c>
      <c r="AL120" s="130" t="str">
        <f>IFERROR(IF(AM120="","",IF(AM120&lt;=0.2,"Leve",IF(AM120&lt;=0.4,"Menor",IF(AM120&lt;=0.6,"Moderado",IF(AM120&lt;=0.8,"Mayor","Catastrófico"))))),"")</f>
        <v>Leve</v>
      </c>
      <c r="AM120" s="128">
        <f t="shared" ref="AM120" si="175">IFERROR(IF(AB120="Impacto",(U120-(+U120*AE120)),IF(AB120="Probabilidad",U120,"")),"")</f>
        <v>0.2</v>
      </c>
      <c r="AN120" s="131" t="str">
        <f>IFERROR(IF(OR(AND(AJ120="Muy Baja",AL120="Leve"),AND(AJ120="Muy Baja",AL120="Menor"),AND(AJ120="Baja",AL120="Leve")),"Bajo",IF(OR(AND(AJ120="Muy baja",AL120="Moderado"),AND(AJ120="Baja",AL120="Menor"),AND(AJ120="Baja",AL120="Moderado"),AND(AJ120="Media",AL120="Leve"),AND(AJ120="Media",AL120="Menor"),AND(AJ120="Media",AL120="Moderado"),AND(AJ120="Alta",AL120="Leve"),AND(AJ120="Alta",AL120="Menor")),"Moderado",IF(OR(AND(AJ120="Muy Baja",AL120="Mayor"),AND(AJ120="Baja",AL120="Mayor"),AND(AJ120="Media",AL120="Mayor"),AND(AJ120="Alta",AL120="Moderado"),AND(AJ120="Alta",AL120="Mayor"),AND(AJ120="Muy Alta",AL120="Leve"),AND(AJ120="Muy Alta",AL120="Menor"),AND(AJ120="Muy Alta",AL120="Moderado"),AND(AJ120="Muy Alta",AL120="Mayor")),"Alto",IF(OR(AND(AJ120="Muy Baja",AL120="Catastrófico"),AND(AJ120="Baja",AL120="Catastrófico"),AND(AJ120="Media",AL120="Catastrófico"),AND(AJ120="Alta",AL120="Catastrófico"),AND(AJ120="Muy Alta",AL120="Catastrófico")),"Extremo","")))),"")</f>
        <v>Bajo</v>
      </c>
      <c r="AO120" s="132" t="s">
        <v>35</v>
      </c>
      <c r="AP120" s="304"/>
      <c r="AQ120" s="353"/>
      <c r="AR120" s="353"/>
      <c r="AS120" s="347"/>
      <c r="AT120" s="400" t="s">
        <v>935</v>
      </c>
      <c r="AU120" s="400" t="s">
        <v>936</v>
      </c>
      <c r="AV120" s="400" t="s">
        <v>915</v>
      </c>
    </row>
    <row r="121" spans="1:48" x14ac:dyDescent="0.2">
      <c r="A121" s="398"/>
      <c r="B121" s="400"/>
      <c r="C121" s="401"/>
      <c r="D121" s="421"/>
      <c r="E121" s="401"/>
      <c r="F121" s="401"/>
      <c r="G121" s="401"/>
      <c r="H121" s="400"/>
      <c r="I121" s="403"/>
      <c r="J121" s="421"/>
      <c r="K121" s="421"/>
      <c r="L121" s="403"/>
      <c r="M121" s="403"/>
      <c r="N121" s="403"/>
      <c r="O121" s="416"/>
      <c r="P121" s="417"/>
      <c r="Q121" s="405"/>
      <c r="R121" s="406"/>
      <c r="S121" s="405">
        <f>IF(NOT(ISERROR(MATCH(R121,_xlfn.ANCHORARRAY(H131),0))),R133&amp;"Por favor no seleccionar los criterios de impacto",R121)</f>
        <v>0</v>
      </c>
      <c r="T121" s="417"/>
      <c r="U121" s="405"/>
      <c r="V121" s="418"/>
      <c r="W121" s="149">
        <v>2</v>
      </c>
      <c r="X121" s="182"/>
      <c r="Y121" s="149"/>
      <c r="Z121" s="336"/>
      <c r="AA121" s="304" t="str">
        <f t="shared" si="99"/>
        <v xml:space="preserve">  </v>
      </c>
      <c r="AB121" s="126" t="str">
        <f>IF(OR(AC121="Preventivo",AC121="Detectivo"),"Probabilidad",IF(AC121="Correctivo","Impacto",""))</f>
        <v/>
      </c>
      <c r="AC121" s="127"/>
      <c r="AD121" s="127"/>
      <c r="AE121" s="128" t="str">
        <f t="shared" ref="AE121:AE125" si="176">IF(AND(AC121="Preventivo",AD121="Automático"),"50%",IF(AND(AC121="Preventivo",AD121="Manual"),"40%",IF(AND(AC121="Detectivo",AD121="Automático"),"40%",IF(AND(AC121="Detectivo",AD121="Manual"),"30%",IF(AND(AC121="Correctivo",AD121="Automático"),"35%",IF(AND(AC121="Correctivo",AD121="Manual"),"25%",""))))))</f>
        <v/>
      </c>
      <c r="AF121" s="127"/>
      <c r="AG121" s="127"/>
      <c r="AH121" s="127"/>
      <c r="AI121" s="129" t="str">
        <f>IFERROR(IF(AND(AB120="Probabilidad",AB121="Probabilidad"),(AK120-(+AK120*AE121)),IF(AB121="Probabilidad",(Q120-(+Q120*AE121)),IF(AB121="Impacto",AK120,""))),"")</f>
        <v/>
      </c>
      <c r="AJ121" s="130" t="str">
        <f t="shared" si="101"/>
        <v/>
      </c>
      <c r="AK121" s="128" t="str">
        <f t="shared" ref="AK121:AK125" si="177">+AI121</f>
        <v/>
      </c>
      <c r="AL121" s="130" t="str">
        <f t="shared" si="103"/>
        <v/>
      </c>
      <c r="AM121" s="128" t="str">
        <f t="shared" ref="AM121" si="178">IFERROR(IF(AND(AB120="Impacto",AB121="Impacto"),(AM120-(+AM120*AE121)),IF(AB121="Impacto",($U$10-(+$U$10*AE121)),IF(AB121="Probabilidad",AM120,""))),"")</f>
        <v/>
      </c>
      <c r="AN121" s="131" t="str">
        <f t="shared" ref="AN121:AN122" si="179">IFERROR(IF(OR(AND(AJ121="Muy Baja",AL121="Leve"),AND(AJ121="Muy Baja",AL121="Menor"),AND(AJ121="Baja",AL121="Leve")),"Bajo",IF(OR(AND(AJ121="Muy baja",AL121="Moderado"),AND(AJ121="Baja",AL121="Menor"),AND(AJ121="Baja",AL121="Moderado"),AND(AJ121="Media",AL121="Leve"),AND(AJ121="Media",AL121="Menor"),AND(AJ121="Media",AL121="Moderado"),AND(AJ121="Alta",AL121="Leve"),AND(AJ121="Alta",AL121="Menor")),"Moderado",IF(OR(AND(AJ121="Muy Baja",AL121="Mayor"),AND(AJ121="Baja",AL121="Mayor"),AND(AJ121="Media",AL121="Mayor"),AND(AJ121="Alta",AL121="Moderado"),AND(AJ121="Alta",AL121="Mayor"),AND(AJ121="Muy Alta",AL121="Leve"),AND(AJ121="Muy Alta",AL121="Menor"),AND(AJ121="Muy Alta",AL121="Moderado"),AND(AJ121="Muy Alta",AL121="Mayor")),"Alto",IF(OR(AND(AJ121="Muy Baja",AL121="Catastrófico"),AND(AJ121="Baja",AL121="Catastrófico"),AND(AJ121="Media",AL121="Catastrófico"),AND(AJ121="Alta",AL121="Catastrófico"),AND(AJ121="Muy Alta",AL121="Catastrófico")),"Extremo","")))),"")</f>
        <v/>
      </c>
      <c r="AO121" s="132"/>
      <c r="AP121" s="304"/>
      <c r="AQ121" s="353"/>
      <c r="AR121" s="353"/>
      <c r="AS121" s="347"/>
      <c r="AT121" s="400"/>
      <c r="AU121" s="400"/>
      <c r="AV121" s="400"/>
    </row>
    <row r="122" spans="1:48" x14ac:dyDescent="0.2">
      <c r="A122" s="398"/>
      <c r="B122" s="400"/>
      <c r="C122" s="401"/>
      <c r="D122" s="421"/>
      <c r="E122" s="401"/>
      <c r="F122" s="401"/>
      <c r="G122" s="401"/>
      <c r="H122" s="400"/>
      <c r="I122" s="403"/>
      <c r="J122" s="421"/>
      <c r="K122" s="421"/>
      <c r="L122" s="403"/>
      <c r="M122" s="403"/>
      <c r="N122" s="403"/>
      <c r="O122" s="416"/>
      <c r="P122" s="417"/>
      <c r="Q122" s="405"/>
      <c r="R122" s="406"/>
      <c r="S122" s="405">
        <f>IF(NOT(ISERROR(MATCH(R122,_xlfn.ANCHORARRAY(H132),0))),R134&amp;"Por favor no seleccionar los criterios de impacto",R122)</f>
        <v>0</v>
      </c>
      <c r="T122" s="417"/>
      <c r="U122" s="405"/>
      <c r="V122" s="418"/>
      <c r="W122" s="149">
        <v>3</v>
      </c>
      <c r="X122" s="182"/>
      <c r="Y122" s="149"/>
      <c r="Z122" s="336"/>
      <c r="AA122" s="304" t="str">
        <f t="shared" si="99"/>
        <v xml:space="preserve">  </v>
      </c>
      <c r="AB122" s="126" t="str">
        <f>IF(OR(AC122="Preventivo",AC122="Detectivo"),"Probabilidad",IF(AC122="Correctivo","Impacto",""))</f>
        <v/>
      </c>
      <c r="AC122" s="127"/>
      <c r="AD122" s="127"/>
      <c r="AE122" s="128" t="str">
        <f t="shared" si="176"/>
        <v/>
      </c>
      <c r="AF122" s="127"/>
      <c r="AG122" s="127"/>
      <c r="AH122" s="127"/>
      <c r="AI122" s="129" t="str">
        <f>IFERROR(IF(AND(AB121="Probabilidad",AB122="Probabilidad"),(AK121-(+AK121*AE122)),IF(AND(AB121="Impacto",AB122="Probabilidad"),(AK120-(+AK120*AE122)),IF(AB122="Impacto",AK121,""))),"")</f>
        <v/>
      </c>
      <c r="AJ122" s="130" t="str">
        <f t="shared" si="101"/>
        <v/>
      </c>
      <c r="AK122" s="128" t="str">
        <f t="shared" si="177"/>
        <v/>
      </c>
      <c r="AL122" s="130" t="str">
        <f t="shared" si="103"/>
        <v/>
      </c>
      <c r="AM122" s="128" t="str">
        <f t="shared" ref="AM122" si="180">IFERROR(IF(AND(AB121="Impacto",AB122="Impacto"),(AM121-(+AM121*AE122)),IF(AND(AB121="Probabilidad",AB122="Impacto"),(AM120-(+AM120*AE122)),IF(AB122="Probabilidad",AM121,""))),"")</f>
        <v/>
      </c>
      <c r="AN122" s="131" t="str">
        <f t="shared" si="179"/>
        <v/>
      </c>
      <c r="AO122" s="132"/>
      <c r="AP122" s="304"/>
      <c r="AQ122" s="353"/>
      <c r="AR122" s="353"/>
      <c r="AS122" s="347"/>
      <c r="AT122" s="400"/>
      <c r="AU122" s="400"/>
      <c r="AV122" s="400"/>
    </row>
    <row r="123" spans="1:48" x14ac:dyDescent="0.2">
      <c r="A123" s="398"/>
      <c r="B123" s="400"/>
      <c r="C123" s="401"/>
      <c r="D123" s="421"/>
      <c r="E123" s="401"/>
      <c r="F123" s="401"/>
      <c r="G123" s="401"/>
      <c r="H123" s="400"/>
      <c r="I123" s="403"/>
      <c r="J123" s="421"/>
      <c r="K123" s="421"/>
      <c r="L123" s="403"/>
      <c r="M123" s="403"/>
      <c r="N123" s="403"/>
      <c r="O123" s="416"/>
      <c r="P123" s="417"/>
      <c r="Q123" s="405"/>
      <c r="R123" s="406"/>
      <c r="S123" s="405">
        <f>IF(NOT(ISERROR(MATCH(R123,_xlfn.ANCHORARRAY(H133),0))),R135&amp;"Por favor no seleccionar los criterios de impacto",R123)</f>
        <v>0</v>
      </c>
      <c r="T123" s="417"/>
      <c r="U123" s="405"/>
      <c r="V123" s="418"/>
      <c r="W123" s="149">
        <v>4</v>
      </c>
      <c r="X123" s="182"/>
      <c r="Y123" s="149"/>
      <c r="Z123" s="336"/>
      <c r="AA123" s="304" t="str">
        <f t="shared" si="99"/>
        <v xml:space="preserve">  </v>
      </c>
      <c r="AB123" s="126" t="str">
        <f t="shared" ref="AB123:AB125" si="181">IF(OR(AC123="Preventivo",AC123="Detectivo"),"Probabilidad",IF(AC123="Correctivo","Impacto",""))</f>
        <v/>
      </c>
      <c r="AC123" s="127"/>
      <c r="AD123" s="127"/>
      <c r="AE123" s="128" t="str">
        <f t="shared" si="176"/>
        <v/>
      </c>
      <c r="AF123" s="127"/>
      <c r="AG123" s="127"/>
      <c r="AH123" s="127"/>
      <c r="AI123" s="129" t="str">
        <f t="shared" ref="AI123:AI124" si="182">IFERROR(IF(AND(AB122="Probabilidad",AB123="Probabilidad"),(AK122-(+AK122*AE123)),IF(AND(AB122="Impacto",AB123="Probabilidad"),(AK121-(+AK121*AE123)),IF(AB123="Impacto",AK122,""))),"")</f>
        <v/>
      </c>
      <c r="AJ123" s="130" t="str">
        <f t="shared" si="101"/>
        <v/>
      </c>
      <c r="AK123" s="128" t="str">
        <f t="shared" si="177"/>
        <v/>
      </c>
      <c r="AL123" s="130" t="str">
        <f t="shared" si="103"/>
        <v/>
      </c>
      <c r="AM123" s="128" t="str">
        <f t="shared" si="112"/>
        <v/>
      </c>
      <c r="AN123" s="131" t="str">
        <f>IFERROR(IF(OR(AND(AJ123="Muy Baja",AL123="Leve"),AND(AJ123="Muy Baja",AL123="Menor"),AND(AJ123="Baja",AL123="Leve")),"Bajo",IF(OR(AND(AJ123="Muy baja",AL123="Moderado"),AND(AJ123="Baja",AL123="Menor"),AND(AJ123="Baja",AL123="Moderado"),AND(AJ123="Media",AL123="Leve"),AND(AJ123="Media",AL123="Menor"),AND(AJ123="Media",AL123="Moderado"),AND(AJ123="Alta",AL123="Leve"),AND(AJ123="Alta",AL123="Menor")),"Moderado",IF(OR(AND(AJ123="Muy Baja",AL123="Mayor"),AND(AJ123="Baja",AL123="Mayor"),AND(AJ123="Media",AL123="Mayor"),AND(AJ123="Alta",AL123="Moderado"),AND(AJ123="Alta",AL123="Mayor"),AND(AJ123="Muy Alta",AL123="Leve"),AND(AJ123="Muy Alta",AL123="Menor"),AND(AJ123="Muy Alta",AL123="Moderado"),AND(AJ123="Muy Alta",AL123="Mayor")),"Alto",IF(OR(AND(AJ123="Muy Baja",AL123="Catastrófico"),AND(AJ123="Baja",AL123="Catastrófico"),AND(AJ123="Media",AL123="Catastrófico"),AND(AJ123="Alta",AL123="Catastrófico"),AND(AJ123="Muy Alta",AL123="Catastrófico")),"Extremo","")))),"")</f>
        <v/>
      </c>
      <c r="AO123" s="132"/>
      <c r="AP123" s="304"/>
      <c r="AQ123" s="353"/>
      <c r="AR123" s="353"/>
      <c r="AS123" s="347"/>
      <c r="AT123" s="400"/>
      <c r="AU123" s="400"/>
      <c r="AV123" s="400"/>
    </row>
    <row r="124" spans="1:48" x14ac:dyDescent="0.2">
      <c r="A124" s="398"/>
      <c r="B124" s="400"/>
      <c r="C124" s="401"/>
      <c r="D124" s="421"/>
      <c r="E124" s="401"/>
      <c r="F124" s="401"/>
      <c r="G124" s="401"/>
      <c r="H124" s="400"/>
      <c r="I124" s="403"/>
      <c r="J124" s="421"/>
      <c r="K124" s="421"/>
      <c r="L124" s="403"/>
      <c r="M124" s="403"/>
      <c r="N124" s="403"/>
      <c r="O124" s="416"/>
      <c r="P124" s="417"/>
      <c r="Q124" s="405"/>
      <c r="R124" s="406"/>
      <c r="S124" s="405">
        <f>IF(NOT(ISERROR(MATCH(R124,_xlfn.ANCHORARRAY(H134),0))),R136&amp;"Por favor no seleccionar los criterios de impacto",R124)</f>
        <v>0</v>
      </c>
      <c r="T124" s="417"/>
      <c r="U124" s="405"/>
      <c r="V124" s="418"/>
      <c r="W124" s="149">
        <v>5</v>
      </c>
      <c r="X124" s="182"/>
      <c r="Y124" s="149"/>
      <c r="Z124" s="336"/>
      <c r="AA124" s="304" t="str">
        <f t="shared" si="99"/>
        <v xml:space="preserve">  </v>
      </c>
      <c r="AB124" s="126" t="str">
        <f t="shared" si="181"/>
        <v/>
      </c>
      <c r="AC124" s="127"/>
      <c r="AD124" s="127"/>
      <c r="AE124" s="128" t="str">
        <f t="shared" si="176"/>
        <v/>
      </c>
      <c r="AF124" s="127"/>
      <c r="AG124" s="127"/>
      <c r="AH124" s="127"/>
      <c r="AI124" s="129" t="str">
        <f t="shared" si="182"/>
        <v/>
      </c>
      <c r="AJ124" s="130" t="str">
        <f t="shared" si="101"/>
        <v/>
      </c>
      <c r="AK124" s="128" t="str">
        <f t="shared" si="177"/>
        <v/>
      </c>
      <c r="AL124" s="130" t="str">
        <f t="shared" si="103"/>
        <v/>
      </c>
      <c r="AM124" s="128" t="str">
        <f t="shared" si="112"/>
        <v/>
      </c>
      <c r="AN124" s="131" t="str">
        <f t="shared" ref="AN124:AN125" si="183">IFERROR(IF(OR(AND(AJ124="Muy Baja",AL124="Leve"),AND(AJ124="Muy Baja",AL124="Menor"),AND(AJ124="Baja",AL124="Leve")),"Bajo",IF(OR(AND(AJ124="Muy baja",AL124="Moderado"),AND(AJ124="Baja",AL124="Menor"),AND(AJ124="Baja",AL124="Moderado"),AND(AJ124="Media",AL124="Leve"),AND(AJ124="Media",AL124="Menor"),AND(AJ124="Media",AL124="Moderado"),AND(AJ124="Alta",AL124="Leve"),AND(AJ124="Alta",AL124="Menor")),"Moderado",IF(OR(AND(AJ124="Muy Baja",AL124="Mayor"),AND(AJ124="Baja",AL124="Mayor"),AND(AJ124="Media",AL124="Mayor"),AND(AJ124="Alta",AL124="Moderado"),AND(AJ124="Alta",AL124="Mayor"),AND(AJ124="Muy Alta",AL124="Leve"),AND(AJ124="Muy Alta",AL124="Menor"),AND(AJ124="Muy Alta",AL124="Moderado"),AND(AJ124="Muy Alta",AL124="Mayor")),"Alto",IF(OR(AND(AJ124="Muy Baja",AL124="Catastrófico"),AND(AJ124="Baja",AL124="Catastrófico"),AND(AJ124="Media",AL124="Catastrófico"),AND(AJ124="Alta",AL124="Catastrófico"),AND(AJ124="Muy Alta",AL124="Catastrófico")),"Extremo","")))),"")</f>
        <v/>
      </c>
      <c r="AO124" s="132"/>
      <c r="AP124" s="304"/>
      <c r="AQ124" s="353"/>
      <c r="AR124" s="353"/>
      <c r="AS124" s="347"/>
      <c r="AT124" s="400"/>
      <c r="AU124" s="400"/>
      <c r="AV124" s="400"/>
    </row>
    <row r="125" spans="1:48" x14ac:dyDescent="0.2">
      <c r="A125" s="398"/>
      <c r="B125" s="400"/>
      <c r="C125" s="401"/>
      <c r="D125" s="422"/>
      <c r="E125" s="401"/>
      <c r="F125" s="401"/>
      <c r="G125" s="401"/>
      <c r="H125" s="400"/>
      <c r="I125" s="404"/>
      <c r="J125" s="422"/>
      <c r="K125" s="422"/>
      <c r="L125" s="404"/>
      <c r="M125" s="404"/>
      <c r="N125" s="404"/>
      <c r="O125" s="416"/>
      <c r="P125" s="417"/>
      <c r="Q125" s="405"/>
      <c r="R125" s="406"/>
      <c r="S125" s="405">
        <f>IF(NOT(ISERROR(MATCH(R125,_xlfn.ANCHORARRAY(H135),0))),R137&amp;"Por favor no seleccionar los criterios de impacto",R125)</f>
        <v>0</v>
      </c>
      <c r="T125" s="417"/>
      <c r="U125" s="405"/>
      <c r="V125" s="418"/>
      <c r="W125" s="149">
        <v>6</v>
      </c>
      <c r="X125" s="182"/>
      <c r="Y125" s="149"/>
      <c r="Z125" s="336"/>
      <c r="AA125" s="304" t="str">
        <f t="shared" si="99"/>
        <v xml:space="preserve">  </v>
      </c>
      <c r="AB125" s="126" t="str">
        <f t="shared" si="181"/>
        <v/>
      </c>
      <c r="AC125" s="127"/>
      <c r="AD125" s="127"/>
      <c r="AE125" s="128" t="str">
        <f t="shared" si="176"/>
        <v/>
      </c>
      <c r="AF125" s="127"/>
      <c r="AG125" s="127"/>
      <c r="AH125" s="127"/>
      <c r="AI125" s="129" t="str">
        <f>IFERROR(IF(AND(AB124="Probabilidad",AB125="Probabilidad"),(AK124-(+AK124*AE125)),IF(AND(AB124="Impacto",AB125="Probabilidad"),(AK123-(+AK123*AE125)),IF(AB125="Impacto",AK124,""))),"")</f>
        <v/>
      </c>
      <c r="AJ125" s="130" t="str">
        <f t="shared" si="101"/>
        <v/>
      </c>
      <c r="AK125" s="128" t="str">
        <f t="shared" si="177"/>
        <v/>
      </c>
      <c r="AL125" s="130" t="str">
        <f t="shared" si="103"/>
        <v/>
      </c>
      <c r="AM125" s="128" t="str">
        <f>IFERROR(IF(AND(AB124="Impacto",AB125="Impacto"),(AM124-(+AM124*AE125)),IF(AND(AB124="Probabilidad",AB125="Impacto"),(AM123-(+AM123*AE125)),IF(AB125="Probabilidad",AM124,""))),"")</f>
        <v/>
      </c>
      <c r="AN125" s="131" t="str">
        <f t="shared" si="183"/>
        <v/>
      </c>
      <c r="AO125" s="132"/>
      <c r="AP125" s="304"/>
      <c r="AQ125" s="353"/>
      <c r="AR125" s="353"/>
      <c r="AS125" s="347"/>
      <c r="AT125" s="400"/>
      <c r="AU125" s="400"/>
      <c r="AV125" s="400"/>
    </row>
    <row r="126" spans="1:48" s="150" customFormat="1" ht="39.75" customHeight="1" x14ac:dyDescent="0.25">
      <c r="A126" s="398">
        <v>20</v>
      </c>
      <c r="B126" s="399" t="s">
        <v>557</v>
      </c>
      <c r="C126" s="400" t="s">
        <v>40</v>
      </c>
      <c r="D126" s="400" t="s">
        <v>777</v>
      </c>
      <c r="E126" s="400" t="s">
        <v>778</v>
      </c>
      <c r="F126" s="400" t="s">
        <v>779</v>
      </c>
      <c r="G126" s="401" t="str">
        <f>+CONCATENATE(C126," ",D126," ",E126)</f>
        <v>Posibilidad de afectación reputacional Por retrasos en la atención de las solicitudes de pago Debido a desactualización normativa en la aplicación de los criterios de decisión del liquidador en la generación de la Orden de pago, por manualidad en la operación del sistema de información financiera</v>
      </c>
      <c r="H126" s="400" t="s">
        <v>391</v>
      </c>
      <c r="I126" s="402" t="s">
        <v>62</v>
      </c>
      <c r="J126" s="402" t="s">
        <v>780</v>
      </c>
      <c r="K126" s="402" t="s">
        <v>781</v>
      </c>
      <c r="L126" s="402" t="s">
        <v>782</v>
      </c>
      <c r="M126" s="402" t="s">
        <v>77</v>
      </c>
      <c r="N126" s="402" t="s">
        <v>46</v>
      </c>
      <c r="O126" s="416">
        <v>5000</v>
      </c>
      <c r="P126" s="417" t="str">
        <f>IF(O126&lt;=0,"",IF(O126&lt;=2,"Muy Baja",IF(O126&lt;=24,"Baja",IF(O126&lt;=500,"Media",IF(O126&lt;=5000,"Alta","Muy Alta")))))</f>
        <v>Alta</v>
      </c>
      <c r="Q126" s="405">
        <f>IF(P126="","",IF(P126="Muy Baja",0.2,IF(P126="Baja",0.4,IF(P126="Media",0.6,IF(P126="Alta",0.8,IF(P126="Muy Alta",1,))))))</f>
        <v>0.8</v>
      </c>
      <c r="R126" s="406" t="s">
        <v>392</v>
      </c>
      <c r="S126" s="405" t="str">
        <f>IF(NOT(ISERROR(MATCH(R126,'[3]Tabla Impacto'!$B$245:$B$247,0))),'[3]Tabla Impacto'!$F$224&amp;"Por favor no seleccionar los criterios de impacto(Afectación Económica o presupuestal y Pérdida Reputacional)",R126)</f>
        <v xml:space="preserve">     El riesgo afecta la imagen de alguna área de la organización</v>
      </c>
      <c r="T126" s="417" t="str">
        <f>IF(OR(S126='[3]Tabla Impacto'!$C$12,S126='[3]Tabla Impacto'!$D$12),"Leve",IF(OR(S126='[3]Tabla Impacto'!$C$13,S126='[3]Tabla Impacto'!$D$13),"Menor",IF(OR(S126='[3]Tabla Impacto'!$C$14,S126='[3]Tabla Impacto'!$D$14),"Moderado",IF(OR(S126='[3]Tabla Impacto'!$C$15,S126='[3]Tabla Impacto'!$D$15),"Mayor",IF(OR(S126='[3]Tabla Impacto'!$C$16,S126='[3]Tabla Impacto'!$D$16),"Catastrófico","")))))</f>
        <v>Leve</v>
      </c>
      <c r="U126" s="405">
        <f>IF(T126="","",IF(T126="Leve",0.2,IF(T126="Menor",0.4,IF(T126="Moderado",0.6,IF(T126="Mayor",0.8,IF(T126="Catastrófico",1,))))))</f>
        <v>0.2</v>
      </c>
      <c r="V126" s="418" t="str">
        <f>IF(OR(AND(P126="Muy Baja",T126="Leve"),AND(P126="Muy Baja",T126="Menor"),AND(P126="Baja",T126="Leve")),"Bajo",IF(OR(AND(P126="Muy baja",T126="Moderado"),AND(P126="Baja",T126="Menor"),AND(P126="Baja",T126="Moderado"),AND(P126="Media",T126="Leve"),AND(P126="Media",T126="Menor"),AND(P126="Media",T126="Moderado"),AND(P126="Alta",T126="Leve"),AND(P126="Alta",T126="Menor")),"Moderado",IF(OR(AND(P126="Muy Baja",T126="Mayor"),AND(P126="Baja",T126="Mayor"),AND(P126="Media",T126="Mayor"),AND(P126="Alta",T126="Moderado"),AND(P126="Alta",T126="Mayor"),AND(P126="Muy Alta",T126="Leve"),AND(P126="Muy Alta",T126="Menor"),AND(P126="Muy Alta",T126="Moderado"),AND(P126="Muy Alta",T126="Mayor")),"Alto",IF(OR(AND(P126="Muy Baja",T126="Catastrófico"),AND(P126="Baja",T126="Catastrófico"),AND(P126="Media",T126="Catastrófico"),AND(P126="Alta",T126="Catastrófico"),AND(P126="Muy Alta",T126="Catastrófico")),"Extremo",""))))</f>
        <v>Moderado</v>
      </c>
      <c r="W126" s="149">
        <v>1</v>
      </c>
      <c r="X126" s="182" t="s">
        <v>783</v>
      </c>
      <c r="Y126" s="182" t="s">
        <v>37</v>
      </c>
      <c r="Z126" s="346" t="s">
        <v>784</v>
      </c>
      <c r="AA126" s="304" t="str">
        <f>+CONCATENATE(X126," ",Y126," ",Z126)</f>
        <v>El Funcionario o Colaborador designado Verifica Mensualmente, si se ha expedido nueva normatividad que afecte las actividades del proceso, en el portal informativo  de normatividad o en los correos informativos recibidos relacionados con nueva reglamentación, revisando la fecha de aplicación y sus implicaciones para evitar su no aplicación, remitiendo un correo informativo relacionando la nueva norma y las recomendaciones de aplicación para el conocimiento del grupo de colaboradores del proceso. En caso de evidenciar que en un período no se expidió normatividad, se debe remitir correo informativo referenciando esta novedad. Al detectar la no aplicación de una norma previamente expedida, se realiza una reunión con los responsables de los subprocesos y en caso de aplicar, se efectuarán los reprocesos o el ajuste de los documentos del proceso correspondientes. Los correos informativos, las normas analizadas, las actas o las notas de la reunión si aplican, las actualizaciones de los documentos relacionados o soporte de la aplicación de las normas, en caso de proceder, se conservarán como evidencia de la aplicación del control.</v>
      </c>
      <c r="AB126" s="126" t="str">
        <f t="shared" ref="AB126:AB131" si="184">IF(OR(AC126="Preventivo",AC126="Detectivo"),"Probabilidad",IF(AC126="Correctivo","Impacto",""))</f>
        <v>Probabilidad</v>
      </c>
      <c r="AC126" s="127" t="s">
        <v>398</v>
      </c>
      <c r="AD126" s="127" t="s">
        <v>394</v>
      </c>
      <c r="AE126" s="128" t="str">
        <f>IF(AND(AC126="Preventivo",AD126="Automático"),"50%",IF(AND(AC126="Preventivo",AD126="Manual"),"40%",IF(AND(AC126="Detectivo",AD126="Automático"),"40%",IF(AND(AC126="Detectivo",AD126="Manual"),"30%",IF(AND(AC126="Correctivo",AD126="Automático"),"35%",IF(AND(AC126="Correctivo",AD126="Manual"),"25%",""))))))</f>
        <v>40%</v>
      </c>
      <c r="AF126" s="127" t="s">
        <v>395</v>
      </c>
      <c r="AG126" s="127" t="s">
        <v>396</v>
      </c>
      <c r="AH126" s="127" t="s">
        <v>397</v>
      </c>
      <c r="AI126" s="129">
        <f>IFERROR(IF(AB126="Probabilidad",(Q126-(+Q126*AE126)),IF(AB126="Impacto",Q126,"")),"")</f>
        <v>0.48</v>
      </c>
      <c r="AJ126" s="130" t="str">
        <f>IFERROR(IF(AI126="","",IF(AI126&lt;=0.2,"Muy Baja",IF(AI126&lt;=0.4,"Baja",IF(AI126&lt;=0.6,"Media",IF(AI126&lt;=0.8,"Alta","Muy Alta"))))),"")</f>
        <v>Media</v>
      </c>
      <c r="AK126" s="128">
        <f>+AI126</f>
        <v>0.48</v>
      </c>
      <c r="AL126" s="130" t="str">
        <f>IFERROR(IF(AM126="","",IF(AM126&lt;=0.2,"Leve",IF(AM126&lt;=0.4,"Menor",IF(AM126&lt;=0.6,"Moderado",IF(AM126&lt;=0.8,"Mayor","Catastrófico"))))),"")</f>
        <v>Leve</v>
      </c>
      <c r="AM126" s="128">
        <f>IFERROR(IF(AB126="Impacto",(U126-(+U126*AE126)),IF(AB126="Probabilidad",U126,"")),"")</f>
        <v>0.2</v>
      </c>
      <c r="AN126" s="131" t="str">
        <f>IFERROR(IF(OR(AND(AJ126="Muy Baja",AL126="Leve"),AND(AJ126="Muy Baja",AL126="Menor"),AND(AJ126="Baja",AL126="Leve")),"Bajo",IF(OR(AND(AJ126="Muy baja",AL126="Moderado"),AND(AJ126="Baja",AL126="Menor"),AND(AJ126="Baja",AL126="Moderado"),AND(AJ126="Media",AL126="Leve"),AND(AJ126="Media",AL126="Menor"),AND(AJ126="Media",AL126="Moderado"),AND(AJ126="Alta",AL126="Leve"),AND(AJ126="Alta",AL126="Menor")),"Moderado",IF(OR(AND(AJ126="Muy Baja",AL126="Mayor"),AND(AJ126="Baja",AL126="Mayor"),AND(AJ126="Media",AL126="Mayor"),AND(AJ126="Alta",AL126="Moderado"),AND(AJ126="Alta",AL126="Mayor"),AND(AJ126="Muy Alta",AL126="Leve"),AND(AJ126="Muy Alta",AL126="Menor"),AND(AJ126="Muy Alta",AL126="Moderado"),AND(AJ126="Muy Alta",AL126="Mayor")),"Alto",IF(OR(AND(AJ126="Muy Baja",AL126="Catastrófico"),AND(AJ126="Baja",AL126="Catastrófico"),AND(AJ126="Media",AL126="Catastrófico"),AND(AJ126="Alta",AL126="Catastrófico"),AND(AJ126="Muy Alta",AL126="Catastrófico")),"Extremo","")))),"")</f>
        <v>Moderado</v>
      </c>
      <c r="AO126" s="132"/>
      <c r="AP126" s="125" t="s">
        <v>785</v>
      </c>
      <c r="AQ126" s="125" t="s">
        <v>786</v>
      </c>
      <c r="AR126" s="125" t="s">
        <v>787</v>
      </c>
      <c r="AS126" s="335" t="s">
        <v>788</v>
      </c>
      <c r="AT126" s="400" t="s">
        <v>789</v>
      </c>
      <c r="AU126" s="400" t="s">
        <v>790</v>
      </c>
      <c r="AV126" s="400" t="s">
        <v>791</v>
      </c>
    </row>
    <row r="127" spans="1:48" ht="39.75" customHeight="1" x14ac:dyDescent="0.2">
      <c r="A127" s="398"/>
      <c r="B127" s="399"/>
      <c r="C127" s="400"/>
      <c r="D127" s="400"/>
      <c r="E127" s="400"/>
      <c r="F127" s="400"/>
      <c r="G127" s="401"/>
      <c r="H127" s="400"/>
      <c r="I127" s="403"/>
      <c r="J127" s="403"/>
      <c r="K127" s="403"/>
      <c r="L127" s="403"/>
      <c r="M127" s="403"/>
      <c r="N127" s="403"/>
      <c r="O127" s="416"/>
      <c r="P127" s="417"/>
      <c r="Q127" s="405"/>
      <c r="R127" s="406"/>
      <c r="S127" s="405">
        <f>IF(NOT(ISERROR(MATCH(R127,_xlfn.ANCHORARRAY(G138),0))),Q140&amp;"Por favor no seleccionar los criterios de impacto",R127)</f>
        <v>0</v>
      </c>
      <c r="T127" s="417"/>
      <c r="U127" s="405"/>
      <c r="V127" s="418"/>
      <c r="W127" s="149">
        <v>2</v>
      </c>
      <c r="X127" s="182" t="s">
        <v>792</v>
      </c>
      <c r="Y127" s="149" t="s">
        <v>37</v>
      </c>
      <c r="Z127" s="346" t="s">
        <v>793</v>
      </c>
      <c r="AA127" s="304" t="str">
        <f t="shared" ref="AA127:AA137" si="185">+CONCATENATE(X127," ",Y127," ",Z127)</f>
        <v xml:space="preserve">El Técnico Operativo o Colaborador designado Verifica cada vez que Contabilidad recibe una orden de pago para su causación, su completitud  para efectuar su registro contable en el sistema financiero. En caso de encontrar inconsistencias en la orden de pago, se deshabilita en el sistema y se devuelve al liquidador para efectuar los ajustes requeridos para continuar con su contabilización. La evidencia del registro contable se observa en el registro de la contabilización en el sistema de información financiero y en el listado Consolidado Ordenes de pago en las columnas ID LIMAY CAUSACION y USUARIO CONTABILIZO. </v>
      </c>
      <c r="AB127" s="126" t="str">
        <f t="shared" si="184"/>
        <v>Probabilidad</v>
      </c>
      <c r="AC127" s="127" t="s">
        <v>398</v>
      </c>
      <c r="AD127" s="127" t="s">
        <v>394</v>
      </c>
      <c r="AE127" s="128" t="str">
        <f t="shared" ref="AE127:AE131" si="186">IF(AND(AC127="Preventivo",AD127="Automático"),"50%",IF(AND(AC127="Preventivo",AD127="Manual"),"40%",IF(AND(AC127="Detectivo",AD127="Automático"),"40%",IF(AND(AC127="Detectivo",AD127="Manual"),"30%",IF(AND(AC127="Correctivo",AD127="Automático"),"35%",IF(AND(AC127="Correctivo",AD127="Manual"),"25%",""))))))</f>
        <v>40%</v>
      </c>
      <c r="AF127" s="127" t="s">
        <v>395</v>
      </c>
      <c r="AG127" s="127" t="s">
        <v>396</v>
      </c>
      <c r="AH127" s="127" t="s">
        <v>397</v>
      </c>
      <c r="AI127" s="129">
        <f>IFERROR(IF(AND(AB126="Probabilidad",AB127="Probabilidad"),(AK126-(+AK126*AE127)),IF(AB127="Probabilidad",(Q126-(+Q126*AE127)),IF(AB127="Impacto",AK126,""))),"")</f>
        <v>0.28799999999999998</v>
      </c>
      <c r="AJ127" s="130" t="str">
        <f t="shared" ref="AJ127:AJ137" si="187">IFERROR(IF(AI127="","",IF(AI127&lt;=0.2,"Muy Baja",IF(AI127&lt;=0.4,"Baja",IF(AI127&lt;=0.6,"Media",IF(AI127&lt;=0.8,"Alta","Muy Alta"))))),"")</f>
        <v>Baja</v>
      </c>
      <c r="AK127" s="128">
        <f t="shared" ref="AK127:AK131" si="188">+AI127</f>
        <v>0.28799999999999998</v>
      </c>
      <c r="AL127" s="130" t="str">
        <f t="shared" ref="AL127:AL137" si="189">IFERROR(IF(AM127="","",IF(AM127&lt;=0.2,"Leve",IF(AM127&lt;=0.4,"Menor",IF(AM127&lt;=0.6,"Moderado",IF(AM127&lt;=0.8,"Mayor","Catastrófico"))))),"")</f>
        <v>Leve</v>
      </c>
      <c r="AM127" s="128">
        <f>IFERROR(IF(AND(AB126="Impacto",AB127="Impacto"),(AM126-(+AM126*AE127)),IF(AB127="Impacto",($U$10-(+$U$10*AE127)),IF(AB127="Probabilidad",AM126,""))),"")</f>
        <v>0.2</v>
      </c>
      <c r="AN127" s="131" t="str">
        <f t="shared" ref="AN127:AN131" si="190">IFERROR(IF(OR(AND(AJ127="Muy Baja",AL127="Leve"),AND(AJ127="Muy Baja",AL127="Menor"),AND(AJ127="Baja",AL127="Leve")),"Bajo",IF(OR(AND(AJ127="Muy baja",AL127="Moderado"),AND(AJ127="Baja",AL127="Menor"),AND(AJ127="Baja",AL127="Moderado"),AND(AJ127="Media",AL127="Leve"),AND(AJ127="Media",AL127="Menor"),AND(AJ127="Media",AL127="Moderado"),AND(AJ127="Alta",AL127="Leve"),AND(AJ127="Alta",AL127="Menor")),"Moderado",IF(OR(AND(AJ127="Muy Baja",AL127="Mayor"),AND(AJ127="Baja",AL127="Mayor"),AND(AJ127="Media",AL127="Mayor"),AND(AJ127="Alta",AL127="Moderado"),AND(AJ127="Alta",AL127="Mayor"),AND(AJ127="Muy Alta",AL127="Leve"),AND(AJ127="Muy Alta",AL127="Menor"),AND(AJ127="Muy Alta",AL127="Moderado"),AND(AJ127="Muy Alta",AL127="Mayor")),"Alto",IF(OR(AND(AJ127="Muy Baja",AL127="Catastrófico"),AND(AJ127="Baja",AL127="Catastrófico"),AND(AJ127="Media",AL127="Catastrófico"),AND(AJ127="Alta",AL127="Catastrófico"),AND(AJ127="Muy Alta",AL127="Catastrófico")),"Extremo","")))),"")</f>
        <v>Bajo</v>
      </c>
      <c r="AO127" s="132" t="s">
        <v>35</v>
      </c>
      <c r="AP127" s="304"/>
      <c r="AQ127" s="304"/>
      <c r="AR127" s="304"/>
      <c r="AS127" s="347"/>
      <c r="AT127" s="400"/>
      <c r="AU127" s="400"/>
      <c r="AV127" s="400"/>
    </row>
    <row r="128" spans="1:48" ht="18.75" customHeight="1" x14ac:dyDescent="0.2">
      <c r="A128" s="398"/>
      <c r="B128" s="399"/>
      <c r="C128" s="400"/>
      <c r="D128" s="400"/>
      <c r="E128" s="400"/>
      <c r="F128" s="400"/>
      <c r="G128" s="401"/>
      <c r="H128" s="400"/>
      <c r="I128" s="403"/>
      <c r="J128" s="403"/>
      <c r="K128" s="403"/>
      <c r="L128" s="403"/>
      <c r="M128" s="403"/>
      <c r="N128" s="403"/>
      <c r="O128" s="416"/>
      <c r="P128" s="417"/>
      <c r="Q128" s="405"/>
      <c r="R128" s="406"/>
      <c r="S128" s="405">
        <f>IF(NOT(ISERROR(MATCH(R128,_xlfn.ANCHORARRAY(G139),0))),Q141&amp;"Por favor no seleccionar los criterios de impacto",R128)</f>
        <v>0</v>
      </c>
      <c r="T128" s="417"/>
      <c r="U128" s="405"/>
      <c r="V128" s="418"/>
      <c r="W128" s="149">
        <v>3</v>
      </c>
      <c r="X128" s="149"/>
      <c r="Y128" s="149"/>
      <c r="Z128" s="336"/>
      <c r="AA128" s="304" t="str">
        <f t="shared" si="185"/>
        <v xml:space="preserve">  </v>
      </c>
      <c r="AB128" s="126" t="str">
        <f t="shared" si="184"/>
        <v/>
      </c>
      <c r="AC128" s="127"/>
      <c r="AD128" s="127"/>
      <c r="AE128" s="128" t="str">
        <f t="shared" si="186"/>
        <v/>
      </c>
      <c r="AF128" s="127"/>
      <c r="AG128" s="127"/>
      <c r="AH128" s="127"/>
      <c r="AI128" s="129" t="str">
        <f>IFERROR(IF(AND(AB127="Probabilidad",AB128="Probabilidad"),(AK127-(+AK127*AE128)),IF(AND(AB127="Impacto",AB128="Probabilidad"),(AK126-(+AK126*AE128)),IF(AB128="Impacto",AK127,""))),"")</f>
        <v/>
      </c>
      <c r="AJ128" s="130" t="str">
        <f t="shared" si="187"/>
        <v/>
      </c>
      <c r="AK128" s="128" t="str">
        <f t="shared" si="188"/>
        <v/>
      </c>
      <c r="AL128" s="130" t="str">
        <f t="shared" si="189"/>
        <v/>
      </c>
      <c r="AM128" s="128" t="str">
        <f>IFERROR(IF(AND(AB127="Impacto",AB128="Impacto"),(AM127-(+AM127*AE128)),IF(AND(AB127="Probabilidad",AB128="Impacto"),(AM126-(+AM126*AE128)),IF(AB128="Probabilidad",AM127,""))),"")</f>
        <v/>
      </c>
      <c r="AN128" s="131" t="str">
        <f t="shared" si="190"/>
        <v/>
      </c>
      <c r="AO128" s="132"/>
      <c r="AP128" s="304"/>
      <c r="AQ128" s="304"/>
      <c r="AR128" s="304"/>
      <c r="AS128" s="304"/>
      <c r="AT128" s="400"/>
      <c r="AU128" s="400"/>
      <c r="AV128" s="400"/>
    </row>
    <row r="129" spans="1:48" ht="18.75" customHeight="1" x14ac:dyDescent="0.2">
      <c r="A129" s="398"/>
      <c r="B129" s="399"/>
      <c r="C129" s="400"/>
      <c r="D129" s="400"/>
      <c r="E129" s="400"/>
      <c r="F129" s="400"/>
      <c r="G129" s="401"/>
      <c r="H129" s="400"/>
      <c r="I129" s="403"/>
      <c r="J129" s="403"/>
      <c r="K129" s="403"/>
      <c r="L129" s="403"/>
      <c r="M129" s="403"/>
      <c r="N129" s="403"/>
      <c r="O129" s="416"/>
      <c r="P129" s="417"/>
      <c r="Q129" s="405"/>
      <c r="R129" s="406"/>
      <c r="S129" s="405">
        <f>IF(NOT(ISERROR(MATCH(R129,_xlfn.ANCHORARRAY(G140),0))),Q142&amp;"Por favor no seleccionar los criterios de impacto",R129)</f>
        <v>0</v>
      </c>
      <c r="T129" s="417"/>
      <c r="U129" s="405"/>
      <c r="V129" s="418"/>
      <c r="W129" s="149">
        <v>4</v>
      </c>
      <c r="X129" s="149"/>
      <c r="Y129" s="149"/>
      <c r="Z129" s="336"/>
      <c r="AA129" s="304" t="str">
        <f t="shared" si="185"/>
        <v xml:space="preserve">  </v>
      </c>
      <c r="AB129" s="126" t="str">
        <f t="shared" si="184"/>
        <v/>
      </c>
      <c r="AC129" s="127"/>
      <c r="AD129" s="127"/>
      <c r="AE129" s="128" t="str">
        <f t="shared" si="186"/>
        <v/>
      </c>
      <c r="AF129" s="127"/>
      <c r="AG129" s="127"/>
      <c r="AH129" s="127"/>
      <c r="AI129" s="129" t="str">
        <f t="shared" ref="AI129:AI131" si="191">IFERROR(IF(AND(AB128="Probabilidad",AB129="Probabilidad"),(AK128-(+AK128*AE129)),IF(AND(AB128="Impacto",AB129="Probabilidad"),(AK127-(+AK127*AE129)),IF(AB129="Impacto",AK128,""))),"")</f>
        <v/>
      </c>
      <c r="AJ129" s="130" t="str">
        <f t="shared" si="187"/>
        <v/>
      </c>
      <c r="AK129" s="128" t="str">
        <f t="shared" si="188"/>
        <v/>
      </c>
      <c r="AL129" s="130" t="str">
        <f t="shared" si="189"/>
        <v/>
      </c>
      <c r="AM129" s="128" t="str">
        <f t="shared" ref="AM129:AM131" si="192">IFERROR(IF(AND(AB128="Impacto",AB129="Impacto"),(AM128-(+AM128*AE129)),IF(AND(AB128="Probabilidad",AB129="Impacto"),(AM127-(+AM127*AE129)),IF(AB129="Probabilidad",AM128,""))),"")</f>
        <v/>
      </c>
      <c r="AN129" s="131" t="str">
        <f>IFERROR(IF(OR(AND(AJ129="Muy Baja",AL129="Leve"),AND(AJ129="Muy Baja",AL129="Menor"),AND(AJ129="Baja",AL129="Leve")),"Bajo",IF(OR(AND(AJ129="Muy baja",AL129="Moderado"),AND(AJ129="Baja",AL129="Menor"),AND(AJ129="Baja",AL129="Moderado"),AND(AJ129="Media",AL129="Leve"),AND(AJ129="Media",AL129="Menor"),AND(AJ129="Media",AL129="Moderado"),AND(AJ129="Alta",AL129="Leve"),AND(AJ129="Alta",AL129="Menor")),"Moderado",IF(OR(AND(AJ129="Muy Baja",AL129="Mayor"),AND(AJ129="Baja",AL129="Mayor"),AND(AJ129="Media",AL129="Mayor"),AND(AJ129="Alta",AL129="Moderado"),AND(AJ129="Alta",AL129="Mayor"),AND(AJ129="Muy Alta",AL129="Leve"),AND(AJ129="Muy Alta",AL129="Menor"),AND(AJ129="Muy Alta",AL129="Moderado"),AND(AJ129="Muy Alta",AL129="Mayor")),"Alto",IF(OR(AND(AJ129="Muy Baja",AL129="Catastrófico"),AND(AJ129="Baja",AL129="Catastrófico"),AND(AJ129="Media",AL129="Catastrófico"),AND(AJ129="Alta",AL129="Catastrófico"),AND(AJ129="Muy Alta",AL129="Catastrófico")),"Extremo","")))),"")</f>
        <v/>
      </c>
      <c r="AO129" s="132"/>
      <c r="AP129" s="304"/>
      <c r="AQ129" s="304"/>
      <c r="AR129" s="304"/>
      <c r="AS129" s="304"/>
      <c r="AT129" s="400"/>
      <c r="AU129" s="400"/>
      <c r="AV129" s="400"/>
    </row>
    <row r="130" spans="1:48" ht="18.75" customHeight="1" x14ac:dyDescent="0.2">
      <c r="A130" s="398"/>
      <c r="B130" s="399"/>
      <c r="C130" s="400"/>
      <c r="D130" s="400"/>
      <c r="E130" s="400"/>
      <c r="F130" s="400"/>
      <c r="G130" s="401"/>
      <c r="H130" s="400"/>
      <c r="I130" s="403"/>
      <c r="J130" s="403"/>
      <c r="K130" s="403"/>
      <c r="L130" s="403"/>
      <c r="M130" s="403"/>
      <c r="N130" s="403"/>
      <c r="O130" s="416"/>
      <c r="P130" s="417"/>
      <c r="Q130" s="405"/>
      <c r="R130" s="406"/>
      <c r="S130" s="405">
        <f>IF(NOT(ISERROR(MATCH(R130,_xlfn.ANCHORARRAY(G141),0))),Q143&amp;"Por favor no seleccionar los criterios de impacto",R130)</f>
        <v>0</v>
      </c>
      <c r="T130" s="417"/>
      <c r="U130" s="405"/>
      <c r="V130" s="418"/>
      <c r="W130" s="149">
        <v>5</v>
      </c>
      <c r="X130" s="149"/>
      <c r="Y130" s="149"/>
      <c r="Z130" s="336"/>
      <c r="AA130" s="304" t="str">
        <f t="shared" si="185"/>
        <v xml:space="preserve">  </v>
      </c>
      <c r="AB130" s="126" t="str">
        <f t="shared" si="184"/>
        <v/>
      </c>
      <c r="AC130" s="127"/>
      <c r="AD130" s="127"/>
      <c r="AE130" s="128" t="str">
        <f t="shared" si="186"/>
        <v/>
      </c>
      <c r="AF130" s="127"/>
      <c r="AG130" s="127"/>
      <c r="AH130" s="127"/>
      <c r="AI130" s="129" t="str">
        <f t="shared" si="191"/>
        <v/>
      </c>
      <c r="AJ130" s="130" t="str">
        <f t="shared" si="187"/>
        <v/>
      </c>
      <c r="AK130" s="128" t="str">
        <f t="shared" si="188"/>
        <v/>
      </c>
      <c r="AL130" s="130" t="str">
        <f t="shared" si="189"/>
        <v/>
      </c>
      <c r="AM130" s="128" t="str">
        <f t="shared" si="192"/>
        <v/>
      </c>
      <c r="AN130" s="131" t="str">
        <f t="shared" si="190"/>
        <v/>
      </c>
      <c r="AO130" s="132"/>
      <c r="AP130" s="304"/>
      <c r="AQ130" s="304"/>
      <c r="AR130" s="304"/>
      <c r="AS130" s="304"/>
      <c r="AT130" s="400"/>
      <c r="AU130" s="400"/>
      <c r="AV130" s="400"/>
    </row>
    <row r="131" spans="1:48" ht="18.75" customHeight="1" x14ac:dyDescent="0.2">
      <c r="A131" s="398"/>
      <c r="B131" s="399"/>
      <c r="C131" s="400"/>
      <c r="D131" s="400"/>
      <c r="E131" s="400"/>
      <c r="F131" s="400"/>
      <c r="G131" s="401"/>
      <c r="H131" s="400"/>
      <c r="I131" s="404"/>
      <c r="J131" s="404"/>
      <c r="K131" s="404"/>
      <c r="L131" s="404"/>
      <c r="M131" s="404"/>
      <c r="N131" s="404"/>
      <c r="O131" s="416"/>
      <c r="P131" s="417"/>
      <c r="Q131" s="405"/>
      <c r="R131" s="406"/>
      <c r="S131" s="405">
        <f>IF(NOT(ISERROR(MATCH(R131,_xlfn.ANCHORARRAY(G142),0))),Q144&amp;"Por favor no seleccionar los criterios de impacto",R131)</f>
        <v>0</v>
      </c>
      <c r="T131" s="417"/>
      <c r="U131" s="405"/>
      <c r="V131" s="418"/>
      <c r="W131" s="149">
        <v>6</v>
      </c>
      <c r="X131" s="149"/>
      <c r="Y131" s="149"/>
      <c r="Z131" s="336"/>
      <c r="AA131" s="304" t="str">
        <f t="shared" si="185"/>
        <v xml:space="preserve">  </v>
      </c>
      <c r="AB131" s="126" t="str">
        <f t="shared" si="184"/>
        <v/>
      </c>
      <c r="AC131" s="127"/>
      <c r="AD131" s="127"/>
      <c r="AE131" s="128" t="str">
        <f t="shared" si="186"/>
        <v/>
      </c>
      <c r="AF131" s="127"/>
      <c r="AG131" s="127"/>
      <c r="AH131" s="127"/>
      <c r="AI131" s="129" t="str">
        <f t="shared" si="191"/>
        <v/>
      </c>
      <c r="AJ131" s="130" t="str">
        <f t="shared" si="187"/>
        <v/>
      </c>
      <c r="AK131" s="128" t="str">
        <f t="shared" si="188"/>
        <v/>
      </c>
      <c r="AL131" s="130" t="str">
        <f t="shared" si="189"/>
        <v/>
      </c>
      <c r="AM131" s="128" t="str">
        <f t="shared" si="192"/>
        <v/>
      </c>
      <c r="AN131" s="131" t="str">
        <f t="shared" si="190"/>
        <v/>
      </c>
      <c r="AO131" s="132"/>
      <c r="AP131" s="304"/>
      <c r="AQ131" s="304"/>
      <c r="AR131" s="304"/>
      <c r="AS131" s="304"/>
      <c r="AT131" s="400"/>
      <c r="AU131" s="400"/>
      <c r="AV131" s="400"/>
    </row>
    <row r="132" spans="1:48" ht="48.75" customHeight="1" x14ac:dyDescent="0.2">
      <c r="A132" s="398">
        <v>21</v>
      </c>
      <c r="B132" s="399" t="s">
        <v>557</v>
      </c>
      <c r="C132" s="400" t="s">
        <v>44</v>
      </c>
      <c r="D132" s="400" t="s">
        <v>794</v>
      </c>
      <c r="E132" s="400" t="s">
        <v>795</v>
      </c>
      <c r="F132" s="400" t="s">
        <v>796</v>
      </c>
      <c r="G132" s="401" t="str">
        <f>+CONCATENATE(C132," ",D132," ",E132)</f>
        <v>Posibilidad de afectación Económica y Reputacional Por aplicación de sanciones y llamados de atención (hallazgos) de entes de control y entidades guía del tema contable por presentación de información no confiable y  no oportuna Debido a Inoportunidad y/o imprecisión en la entrega de la información por parte de las áreas que intervienen en el proceso contable</v>
      </c>
      <c r="H132" s="400" t="s">
        <v>391</v>
      </c>
      <c r="I132" s="402" t="s">
        <v>62</v>
      </c>
      <c r="J132" s="402" t="s">
        <v>797</v>
      </c>
      <c r="K132" s="402" t="s">
        <v>798</v>
      </c>
      <c r="L132" s="402" t="s">
        <v>799</v>
      </c>
      <c r="M132" s="402" t="s">
        <v>77</v>
      </c>
      <c r="N132" s="402" t="s">
        <v>46</v>
      </c>
      <c r="O132" s="416">
        <v>50</v>
      </c>
      <c r="P132" s="417" t="str">
        <f>IF(O132&lt;=0,"",IF(O132&lt;=2,"Muy Baja",IF(O132&lt;=24,"Baja",IF(O132&lt;=500,"Media",IF(O132&lt;=5000,"Alta","Muy Alta")))))</f>
        <v>Media</v>
      </c>
      <c r="Q132" s="405">
        <f>IF(P132="","",IF(P132="Muy Baja",0.2,IF(P132="Baja",0.4,IF(P132="Media",0.6,IF(P132="Alta",0.8,IF(P132="Muy Alta",1,))))))</f>
        <v>0.6</v>
      </c>
      <c r="R132" s="406" t="s">
        <v>800</v>
      </c>
      <c r="S132" s="405" t="str">
        <f>IF(NOT(ISERROR(MATCH(R132,'[3]Tabla Impacto'!$B$245:$B$247,0))),'[3]Tabla Impacto'!$F$224&amp;"Por favor no seleccionar los criterios de impacto(Afectación Económica o presupuestal y Pérdida Reputacional)",R132)</f>
        <v xml:space="preserve">     Entre 130 y 650 SMLMV</v>
      </c>
      <c r="T132" s="407" t="s">
        <v>406</v>
      </c>
      <c r="U132" s="410">
        <f>IF(T132="","",IF(T132="Leve",0.2,IF(T132="Menor",0.4,IF(T132="Moderado",0.6,IF(T132="Mayor",0.8,IF(T132="Catastrófico",1,))))))</f>
        <v>0.6</v>
      </c>
      <c r="V132" s="413" t="str">
        <f>IF(OR(AND(P132="Muy Baja",T132="Leve"),AND(P132="Muy Baja",T132="Menor"),AND(P132="Baja",T132="Leve")),"Bajo",IF(OR(AND(P132="Muy baja",T132="Moderado"),AND(P132="Baja",T132="Menor"),AND(P132="Baja",T132="Moderado"),AND(P132="Media",T132="Leve"),AND(P132="Media",T132="Menor"),AND(P132="Media",T132="Moderado"),AND(P132="Alta",T132="Leve"),AND(P132="Alta",T132="Menor")),"Moderado",IF(OR(AND(P132="Muy Baja",T132="Mayor"),AND(P132="Baja",T132="Mayor"),AND(P132="Media",T132="Mayor"),AND(P132="Alta",T132="Moderado"),AND(P132="Alta",T132="Mayor"),AND(P132="Muy Alta",T132="Leve"),AND(P132="Muy Alta",T132="Menor"),AND(P132="Muy Alta",T132="Moderado"),AND(P132="Muy Alta",T132="Mayor")),"Alto",IF(OR(AND(P132="Muy Baja",T132="Catastrófico"),AND(P132="Baja",T132="Catastrófico"),AND(P132="Media",T132="Catastrófico"),AND(P132="Alta",T132="Catastrófico"),AND(P132="Muy Alta",T132="Catastrófico")),"Extremo",""))))</f>
        <v>Moderado</v>
      </c>
      <c r="W132" s="149">
        <v>1</v>
      </c>
      <c r="X132" s="182" t="s">
        <v>801</v>
      </c>
      <c r="Y132" s="149" t="s">
        <v>37</v>
      </c>
      <c r="Z132" s="346" t="s">
        <v>802</v>
      </c>
      <c r="AA132" s="304" t="str">
        <f t="shared" si="185"/>
        <v>El Colaborador designado previamente por el líder del área contable Verifica mensualmente, las cuentas contables y conceptos utilizados en cada uno de los documentos remitidos para su contabilización, de la información reportada por las dependencias, de acuerdo con lo establecido en la circular "Procedimiento para la presentación de la información contable", con el propósito de evidenciar posibles inconsistencias. En caso de presentarse estas, se informa a la dependencia para que realicen los ajustes o correcciones pertinentes. La evidencia de la verificación se observa en el seguimiento de la entrega de la información y en los correos y/o radicados de correspondencia con que se recibe o se solicita el ajuste de la información.</v>
      </c>
      <c r="AB132" s="126" t="str">
        <f>IF(OR(AC132="Preventivo",AC132="Detectivo"),"Probabilidad",IF(AC132="Correctivo","Impacto",""))</f>
        <v>Probabilidad</v>
      </c>
      <c r="AC132" s="127" t="s">
        <v>398</v>
      </c>
      <c r="AD132" s="127" t="s">
        <v>394</v>
      </c>
      <c r="AE132" s="128" t="str">
        <f>IF(AND(AC132="Preventivo",AD132="Automático"),"50%",IF(AND(AC132="Preventivo",AD132="Manual"),"40%",IF(AND(AC132="Detectivo",AD132="Automático"),"40%",IF(AND(AC132="Detectivo",AD132="Manual"),"30%",IF(AND(AC132="Correctivo",AD132="Automático"),"35%",IF(AND(AC132="Correctivo",AD132="Manual"),"25%",""))))))</f>
        <v>40%</v>
      </c>
      <c r="AF132" s="127" t="s">
        <v>395</v>
      </c>
      <c r="AG132" s="127" t="s">
        <v>396</v>
      </c>
      <c r="AH132" s="127" t="s">
        <v>397</v>
      </c>
      <c r="AI132" s="129">
        <f>IFERROR(IF(AB132="Probabilidad",(Q132-(+Q132*AE132)),IF(AB132="Impacto",Q132,"")),"")</f>
        <v>0.36</v>
      </c>
      <c r="AJ132" s="130" t="str">
        <f>IFERROR(IF(AI132="","",IF(AI132&lt;=0.2,"Muy Baja",IF(AI132&lt;=0.4,"Baja",IF(AI132&lt;=0.6,"Media",IF(AI132&lt;=0.8,"Alta","Muy Alta"))))),"")</f>
        <v>Baja</v>
      </c>
      <c r="AK132" s="128">
        <f>+AI132</f>
        <v>0.36</v>
      </c>
      <c r="AL132" s="130" t="str">
        <f>IFERROR(IF(AM132="","",IF(AM132&lt;=0.2,"Leve",IF(AM132&lt;=0.4,"Menor",IF(AM132&lt;=0.6,"Moderado",IF(AM132&lt;=0.8,"Mayor","Catastrófico"))))),"")</f>
        <v>Moderado</v>
      </c>
      <c r="AM132" s="128">
        <f t="shared" ref="AM132" si="193">IFERROR(IF(AB132="Impacto",(U132-(+U132*AE132)),IF(AB132="Probabilidad",U132,"")),"")</f>
        <v>0.6</v>
      </c>
      <c r="AN132" s="131" t="str">
        <f>IFERROR(IF(OR(AND(AJ132="Muy Baja",AL132="Leve"),AND(AJ132="Muy Baja",AL132="Menor"),AND(AJ132="Baja",AL132="Leve")),"Bajo",IF(OR(AND(AJ132="Muy baja",AL132="Moderado"),AND(AJ132="Baja",AL132="Menor"),AND(AJ132="Baja",AL132="Moderado"),AND(AJ132="Media",AL132="Leve"),AND(AJ132="Media",AL132="Menor"),AND(AJ132="Media",AL132="Moderado"),AND(AJ132="Alta",AL132="Leve"),AND(AJ132="Alta",AL132="Menor")),"Moderado",IF(OR(AND(AJ132="Muy Baja",AL132="Mayor"),AND(AJ132="Baja",AL132="Mayor"),AND(AJ132="Media",AL132="Mayor"),AND(AJ132="Alta",AL132="Moderado"),AND(AJ132="Alta",AL132="Mayor"),AND(AJ132="Muy Alta",AL132="Leve"),AND(AJ132="Muy Alta",AL132="Menor"),AND(AJ132="Muy Alta",AL132="Moderado"),AND(AJ132="Muy Alta",AL132="Mayor")),"Alto",IF(OR(AND(AJ132="Muy Baja",AL132="Catastrófico"),AND(AJ132="Baja",AL132="Catastrófico"),AND(AJ132="Media",AL132="Catastrófico"),AND(AJ132="Alta",AL132="Catastrófico"),AND(AJ132="Muy Alta",AL132="Catastrófico")),"Extremo","")))),"")</f>
        <v>Moderado</v>
      </c>
      <c r="AO132" s="132"/>
      <c r="AP132" s="304" t="s">
        <v>803</v>
      </c>
      <c r="AQ132" s="304" t="s">
        <v>804</v>
      </c>
      <c r="AR132" s="304" t="s">
        <v>805</v>
      </c>
      <c r="AS132" s="347" t="s">
        <v>806</v>
      </c>
      <c r="AT132" s="400" t="s">
        <v>807</v>
      </c>
      <c r="AU132" s="400" t="s">
        <v>808</v>
      </c>
      <c r="AV132" s="400" t="s">
        <v>791</v>
      </c>
    </row>
    <row r="133" spans="1:48" ht="48.75" customHeight="1" x14ac:dyDescent="0.2">
      <c r="A133" s="398"/>
      <c r="B133" s="399"/>
      <c r="C133" s="400"/>
      <c r="D133" s="400"/>
      <c r="E133" s="400"/>
      <c r="F133" s="400"/>
      <c r="G133" s="401"/>
      <c r="H133" s="400"/>
      <c r="I133" s="403"/>
      <c r="J133" s="403"/>
      <c r="K133" s="403"/>
      <c r="L133" s="403"/>
      <c r="M133" s="403"/>
      <c r="N133" s="403"/>
      <c r="O133" s="416"/>
      <c r="P133" s="417"/>
      <c r="Q133" s="405"/>
      <c r="R133" s="406"/>
      <c r="S133" s="405">
        <f>IF(NOT(ISERROR(MATCH(R133,_xlfn.ANCHORARRAY(G144),0))),Q146&amp;"Por favor no seleccionar los criterios de impacto",R133)</f>
        <v>0</v>
      </c>
      <c r="T133" s="408"/>
      <c r="U133" s="411"/>
      <c r="V133" s="414"/>
      <c r="W133" s="149">
        <v>2</v>
      </c>
      <c r="X133" s="182" t="s">
        <v>809</v>
      </c>
      <c r="Y133" s="149" t="s">
        <v>37</v>
      </c>
      <c r="Z133" s="346" t="s">
        <v>810</v>
      </c>
      <c r="AA133" s="304" t="str">
        <f t="shared" si="185"/>
        <v xml:space="preserve">El Profesional Especializado o Colaborador designado Verifica trimestralmente, la entrega de la información por las dependencias, según lo establecido en la circular "Procedimiento para la presentación de la información contable". En caso de no haber recibido la información en la fecha establecida, por medio de correo electrónico se reitera el cumplimiento de las fechas de reporte establecidas en la circular para la presentación de la información contable. La información presentada tardíamente se registrará en el siguiente mes. Como evidencia se conservan los correos y la circular anual de presentación de la información contable. </v>
      </c>
      <c r="AB133" s="126" t="str">
        <f>IF(OR(AC133="Preventivo",AC133="Detectivo"),"Probabilidad",IF(AC133="Correctivo","Impacto",""))</f>
        <v>Impacto</v>
      </c>
      <c r="AC133" s="127" t="s">
        <v>419</v>
      </c>
      <c r="AD133" s="127" t="s">
        <v>394</v>
      </c>
      <c r="AE133" s="128" t="str">
        <f t="shared" ref="AE133:AE137" si="194">IF(AND(AC133="Preventivo",AD133="Automático"),"50%",IF(AND(AC133="Preventivo",AD133="Manual"),"40%",IF(AND(AC133="Detectivo",AD133="Automático"),"40%",IF(AND(AC133="Detectivo",AD133="Manual"),"30%",IF(AND(AC133="Correctivo",AD133="Automático"),"35%",IF(AND(AC133="Correctivo",AD133="Manual"),"25%",""))))))</f>
        <v>25%</v>
      </c>
      <c r="AF133" s="127" t="s">
        <v>395</v>
      </c>
      <c r="AG133" s="127" t="s">
        <v>396</v>
      </c>
      <c r="AH133" s="127" t="s">
        <v>397</v>
      </c>
      <c r="AI133" s="129">
        <f>IFERROR(IF(AND(AB132="Probabilidad",AB133="Probabilidad"),(AK132-(+AK132*AE133)),IF(AB133="Probabilidad",(Q132-(+Q132*AE133)),IF(AB133="Impacto",AK132,""))),"")</f>
        <v>0.36</v>
      </c>
      <c r="AJ133" s="130" t="str">
        <f t="shared" si="187"/>
        <v>Baja</v>
      </c>
      <c r="AK133" s="128">
        <f t="shared" ref="AK133:AK137" si="195">+AI133</f>
        <v>0.36</v>
      </c>
      <c r="AL133" s="130" t="str">
        <f t="shared" si="189"/>
        <v>Moderado</v>
      </c>
      <c r="AM133" s="128">
        <f t="shared" ref="AM133" si="196">IFERROR(IF(AND(AB132="Impacto",AB133="Impacto"),(AM132-(+AM132*AE133)),IF(AB133="Impacto",($U$10-(+$U$10*AE133)),IF(AB133="Probabilidad",AM132,""))),"")</f>
        <v>0.44999999999999996</v>
      </c>
      <c r="AN133" s="131" t="str">
        <f t="shared" ref="AN133:AN134" si="197">IFERROR(IF(OR(AND(AJ133="Muy Baja",AL133="Leve"),AND(AJ133="Muy Baja",AL133="Menor"),AND(AJ133="Baja",AL133="Leve")),"Bajo",IF(OR(AND(AJ133="Muy baja",AL133="Moderado"),AND(AJ133="Baja",AL133="Menor"),AND(AJ133="Baja",AL133="Moderado"),AND(AJ133="Media",AL133="Leve"),AND(AJ133="Media",AL133="Menor"),AND(AJ133="Media",AL133="Moderado"),AND(AJ133="Alta",AL133="Leve"),AND(AJ133="Alta",AL133="Menor")),"Moderado",IF(OR(AND(AJ133="Muy Baja",AL133="Mayor"),AND(AJ133="Baja",AL133="Mayor"),AND(AJ133="Media",AL133="Mayor"),AND(AJ133="Alta",AL133="Moderado"),AND(AJ133="Alta",AL133="Mayor"),AND(AJ133="Muy Alta",AL133="Leve"),AND(AJ133="Muy Alta",AL133="Menor"),AND(AJ133="Muy Alta",AL133="Moderado"),AND(AJ133="Muy Alta",AL133="Mayor")),"Alto",IF(OR(AND(AJ133="Muy Baja",AL133="Catastrófico"),AND(AJ133="Baja",AL133="Catastrófico"),AND(AJ133="Media",AL133="Catastrófico"),AND(AJ133="Alta",AL133="Catastrófico"),AND(AJ133="Muy Alta",AL133="Catastrófico")),"Extremo","")))),"")</f>
        <v>Moderado</v>
      </c>
      <c r="AO133" s="132" t="s">
        <v>43</v>
      </c>
      <c r="AP133" s="304"/>
      <c r="AQ133" s="304"/>
      <c r="AR133" s="304"/>
      <c r="AS133" s="347"/>
      <c r="AT133" s="400"/>
      <c r="AU133" s="400"/>
      <c r="AV133" s="400"/>
    </row>
    <row r="134" spans="1:48" ht="14.25" customHeight="1" x14ac:dyDescent="0.2">
      <c r="A134" s="398"/>
      <c r="B134" s="399"/>
      <c r="C134" s="400"/>
      <c r="D134" s="400"/>
      <c r="E134" s="400"/>
      <c r="F134" s="400"/>
      <c r="G134" s="401"/>
      <c r="H134" s="400"/>
      <c r="I134" s="403"/>
      <c r="J134" s="403"/>
      <c r="K134" s="403"/>
      <c r="L134" s="403"/>
      <c r="M134" s="403"/>
      <c r="N134" s="403"/>
      <c r="O134" s="416"/>
      <c r="P134" s="417"/>
      <c r="Q134" s="405"/>
      <c r="R134" s="406"/>
      <c r="S134" s="405">
        <f>IF(NOT(ISERROR(MATCH(R134,_xlfn.ANCHORARRAY(G145),0))),Q147&amp;"Por favor no seleccionar los criterios de impacto",R134)</f>
        <v>0</v>
      </c>
      <c r="T134" s="408"/>
      <c r="U134" s="411"/>
      <c r="V134" s="414"/>
      <c r="W134" s="149">
        <v>3</v>
      </c>
      <c r="X134" s="182"/>
      <c r="Y134" s="149"/>
      <c r="Z134" s="149"/>
      <c r="AA134" s="304" t="str">
        <f t="shared" si="185"/>
        <v xml:space="preserve">  </v>
      </c>
      <c r="AB134" s="126" t="str">
        <f>IF(OR(AC134="Preventivo",AC134="Detectivo"),"Probabilidad",IF(AC134="Correctivo","Impacto",""))</f>
        <v/>
      </c>
      <c r="AC134" s="127"/>
      <c r="AD134" s="127"/>
      <c r="AE134" s="128" t="str">
        <f t="shared" si="194"/>
        <v/>
      </c>
      <c r="AF134" s="127"/>
      <c r="AG134" s="127"/>
      <c r="AH134" s="127"/>
      <c r="AI134" s="129" t="str">
        <f>IFERROR(IF(AND(AB133="Probabilidad",AB134="Probabilidad"),(AK133-(+AK133*AE134)),IF(AND(AB133="Impacto",AB134="Probabilidad"),(AK132-(+AK132*AE134)),IF(AB134="Impacto",AK133,""))),"")</f>
        <v/>
      </c>
      <c r="AJ134" s="130" t="str">
        <f t="shared" si="187"/>
        <v/>
      </c>
      <c r="AK134" s="128" t="str">
        <f t="shared" si="195"/>
        <v/>
      </c>
      <c r="AL134" s="130" t="str">
        <f t="shared" si="189"/>
        <v/>
      </c>
      <c r="AM134" s="128" t="str">
        <f t="shared" ref="AM134:AM137" si="198">IFERROR(IF(AND(AB133="Impacto",AB134="Impacto"),(AM133-(+AM133*AE134)),IF(AND(AB133="Probabilidad",AB134="Impacto"),(AM132-(+AM132*AE134)),IF(AB134="Probabilidad",AM133,""))),"")</f>
        <v/>
      </c>
      <c r="AN134" s="131" t="str">
        <f t="shared" si="197"/>
        <v/>
      </c>
      <c r="AO134" s="132"/>
      <c r="AP134" s="304"/>
      <c r="AQ134" s="304"/>
      <c r="AR134" s="304"/>
      <c r="AS134" s="304"/>
      <c r="AT134" s="400"/>
      <c r="AU134" s="400"/>
      <c r="AV134" s="400"/>
    </row>
    <row r="135" spans="1:48" ht="14.25" customHeight="1" x14ac:dyDescent="0.2">
      <c r="A135" s="398"/>
      <c r="B135" s="399"/>
      <c r="C135" s="400"/>
      <c r="D135" s="400"/>
      <c r="E135" s="400"/>
      <c r="F135" s="400"/>
      <c r="G135" s="401"/>
      <c r="H135" s="400"/>
      <c r="I135" s="403"/>
      <c r="J135" s="403"/>
      <c r="K135" s="403"/>
      <c r="L135" s="403"/>
      <c r="M135" s="403"/>
      <c r="N135" s="403"/>
      <c r="O135" s="416"/>
      <c r="P135" s="417"/>
      <c r="Q135" s="405"/>
      <c r="R135" s="406"/>
      <c r="S135" s="405">
        <f>IF(NOT(ISERROR(MATCH(R135,_xlfn.ANCHORARRAY(G146),0))),Q148&amp;"Por favor no seleccionar los criterios de impacto",R135)</f>
        <v>0</v>
      </c>
      <c r="T135" s="408"/>
      <c r="U135" s="411"/>
      <c r="V135" s="414"/>
      <c r="W135" s="149">
        <v>4</v>
      </c>
      <c r="X135" s="182"/>
      <c r="Y135" s="149"/>
      <c r="Z135" s="149"/>
      <c r="AA135" s="304" t="str">
        <f t="shared" si="185"/>
        <v xml:space="preserve">  </v>
      </c>
      <c r="AB135" s="126" t="str">
        <f t="shared" ref="AB135:AB143" si="199">IF(OR(AC135="Preventivo",AC135="Detectivo"),"Probabilidad",IF(AC135="Correctivo","Impacto",""))</f>
        <v/>
      </c>
      <c r="AC135" s="127"/>
      <c r="AD135" s="127"/>
      <c r="AE135" s="128" t="str">
        <f t="shared" si="194"/>
        <v/>
      </c>
      <c r="AF135" s="127"/>
      <c r="AG135" s="127"/>
      <c r="AH135" s="127"/>
      <c r="AI135" s="129" t="str">
        <f t="shared" ref="AI135:AI137" si="200">IFERROR(IF(AND(AB134="Probabilidad",AB135="Probabilidad"),(AK134-(+AK134*AE135)),IF(AND(AB134="Impacto",AB135="Probabilidad"),(AK133-(+AK133*AE135)),IF(AB135="Impacto",AK134,""))),"")</f>
        <v/>
      </c>
      <c r="AJ135" s="130" t="str">
        <f t="shared" si="187"/>
        <v/>
      </c>
      <c r="AK135" s="128" t="str">
        <f t="shared" si="195"/>
        <v/>
      </c>
      <c r="AL135" s="130" t="str">
        <f t="shared" si="189"/>
        <v/>
      </c>
      <c r="AM135" s="128" t="str">
        <f t="shared" si="198"/>
        <v/>
      </c>
      <c r="AN135" s="131" t="str">
        <f>IFERROR(IF(OR(AND(AJ135="Muy Baja",AL135="Leve"),AND(AJ135="Muy Baja",AL135="Menor"),AND(AJ135="Baja",AL135="Leve")),"Bajo",IF(OR(AND(AJ135="Muy baja",AL135="Moderado"),AND(AJ135="Baja",AL135="Menor"),AND(AJ135="Baja",AL135="Moderado"),AND(AJ135="Media",AL135="Leve"),AND(AJ135="Media",AL135="Menor"),AND(AJ135="Media",AL135="Moderado"),AND(AJ135="Alta",AL135="Leve"),AND(AJ135="Alta",AL135="Menor")),"Moderado",IF(OR(AND(AJ135="Muy Baja",AL135="Mayor"),AND(AJ135="Baja",AL135="Mayor"),AND(AJ135="Media",AL135="Mayor"),AND(AJ135="Alta",AL135="Moderado"),AND(AJ135="Alta",AL135="Mayor"),AND(AJ135="Muy Alta",AL135="Leve"),AND(AJ135="Muy Alta",AL135="Menor"),AND(AJ135="Muy Alta",AL135="Moderado"),AND(AJ135="Muy Alta",AL135="Mayor")),"Alto",IF(OR(AND(AJ135="Muy Baja",AL135="Catastrófico"),AND(AJ135="Baja",AL135="Catastrófico"),AND(AJ135="Media",AL135="Catastrófico"),AND(AJ135="Alta",AL135="Catastrófico"),AND(AJ135="Muy Alta",AL135="Catastrófico")),"Extremo","")))),"")</f>
        <v/>
      </c>
      <c r="AO135" s="132"/>
      <c r="AP135" s="304"/>
      <c r="AQ135" s="304"/>
      <c r="AR135" s="304"/>
      <c r="AS135" s="304"/>
      <c r="AT135" s="400"/>
      <c r="AU135" s="400"/>
      <c r="AV135" s="400"/>
    </row>
    <row r="136" spans="1:48" ht="14.25" customHeight="1" x14ac:dyDescent="0.2">
      <c r="A136" s="398"/>
      <c r="B136" s="399"/>
      <c r="C136" s="400"/>
      <c r="D136" s="400"/>
      <c r="E136" s="400"/>
      <c r="F136" s="400"/>
      <c r="G136" s="401"/>
      <c r="H136" s="400"/>
      <c r="I136" s="403"/>
      <c r="J136" s="403"/>
      <c r="K136" s="403"/>
      <c r="L136" s="403"/>
      <c r="M136" s="403"/>
      <c r="N136" s="403"/>
      <c r="O136" s="416"/>
      <c r="P136" s="417"/>
      <c r="Q136" s="405"/>
      <c r="R136" s="406"/>
      <c r="S136" s="405">
        <f>IF(NOT(ISERROR(MATCH(R136,_xlfn.ANCHORARRAY(G147),0))),Q149&amp;"Por favor no seleccionar los criterios de impacto",R136)</f>
        <v>0</v>
      </c>
      <c r="T136" s="408"/>
      <c r="U136" s="411"/>
      <c r="V136" s="414"/>
      <c r="W136" s="149">
        <v>5</v>
      </c>
      <c r="X136" s="182"/>
      <c r="Y136" s="149"/>
      <c r="Z136" s="149"/>
      <c r="AA136" s="304" t="str">
        <f t="shared" si="185"/>
        <v xml:space="preserve">  </v>
      </c>
      <c r="AB136" s="126" t="str">
        <f t="shared" si="199"/>
        <v/>
      </c>
      <c r="AC136" s="127"/>
      <c r="AD136" s="127"/>
      <c r="AE136" s="128" t="str">
        <f t="shared" si="194"/>
        <v/>
      </c>
      <c r="AF136" s="127"/>
      <c r="AG136" s="127"/>
      <c r="AH136" s="127"/>
      <c r="AI136" s="129" t="str">
        <f t="shared" si="200"/>
        <v/>
      </c>
      <c r="AJ136" s="130" t="str">
        <f t="shared" si="187"/>
        <v/>
      </c>
      <c r="AK136" s="128" t="str">
        <f t="shared" si="195"/>
        <v/>
      </c>
      <c r="AL136" s="130" t="str">
        <f t="shared" si="189"/>
        <v/>
      </c>
      <c r="AM136" s="128" t="str">
        <f t="shared" si="198"/>
        <v/>
      </c>
      <c r="AN136" s="131" t="str">
        <f t="shared" ref="AN136:AN137" si="201">IFERROR(IF(OR(AND(AJ136="Muy Baja",AL136="Leve"),AND(AJ136="Muy Baja",AL136="Menor"),AND(AJ136="Baja",AL136="Leve")),"Bajo",IF(OR(AND(AJ136="Muy baja",AL136="Moderado"),AND(AJ136="Baja",AL136="Menor"),AND(AJ136="Baja",AL136="Moderado"),AND(AJ136="Media",AL136="Leve"),AND(AJ136="Media",AL136="Menor"),AND(AJ136="Media",AL136="Moderado"),AND(AJ136="Alta",AL136="Leve"),AND(AJ136="Alta",AL136="Menor")),"Moderado",IF(OR(AND(AJ136="Muy Baja",AL136="Mayor"),AND(AJ136="Baja",AL136="Mayor"),AND(AJ136="Media",AL136="Mayor"),AND(AJ136="Alta",AL136="Moderado"),AND(AJ136="Alta",AL136="Mayor"),AND(AJ136="Muy Alta",AL136="Leve"),AND(AJ136="Muy Alta",AL136="Menor"),AND(AJ136="Muy Alta",AL136="Moderado"),AND(AJ136="Muy Alta",AL136="Mayor")),"Alto",IF(OR(AND(AJ136="Muy Baja",AL136="Catastrófico"),AND(AJ136="Baja",AL136="Catastrófico"),AND(AJ136="Media",AL136="Catastrófico"),AND(AJ136="Alta",AL136="Catastrófico"),AND(AJ136="Muy Alta",AL136="Catastrófico")),"Extremo","")))),"")</f>
        <v/>
      </c>
      <c r="AO136" s="132"/>
      <c r="AP136" s="304"/>
      <c r="AQ136" s="304"/>
      <c r="AR136" s="304"/>
      <c r="AS136" s="304"/>
      <c r="AT136" s="400"/>
      <c r="AU136" s="400"/>
      <c r="AV136" s="400"/>
    </row>
    <row r="137" spans="1:48" ht="14.25" customHeight="1" x14ac:dyDescent="0.2">
      <c r="A137" s="398"/>
      <c r="B137" s="399"/>
      <c r="C137" s="400"/>
      <c r="D137" s="400"/>
      <c r="E137" s="400"/>
      <c r="F137" s="400"/>
      <c r="G137" s="401"/>
      <c r="H137" s="400"/>
      <c r="I137" s="404"/>
      <c r="J137" s="404"/>
      <c r="K137" s="404"/>
      <c r="L137" s="404"/>
      <c r="M137" s="404"/>
      <c r="N137" s="404"/>
      <c r="O137" s="416"/>
      <c r="P137" s="417"/>
      <c r="Q137" s="405"/>
      <c r="R137" s="406"/>
      <c r="S137" s="405">
        <f>IF(NOT(ISERROR(MATCH(R137,_xlfn.ANCHORARRAY(G148),0))),Q150&amp;"Por favor no seleccionar los criterios de impacto",R137)</f>
        <v>0</v>
      </c>
      <c r="T137" s="409"/>
      <c r="U137" s="412"/>
      <c r="V137" s="415"/>
      <c r="W137" s="149">
        <v>6</v>
      </c>
      <c r="X137" s="149"/>
      <c r="Y137" s="149"/>
      <c r="Z137" s="149"/>
      <c r="AA137" s="304" t="str">
        <f t="shared" si="185"/>
        <v xml:space="preserve">  </v>
      </c>
      <c r="AB137" s="126" t="str">
        <f t="shared" si="199"/>
        <v/>
      </c>
      <c r="AC137" s="127"/>
      <c r="AD137" s="127"/>
      <c r="AE137" s="128" t="str">
        <f t="shared" si="194"/>
        <v/>
      </c>
      <c r="AF137" s="127"/>
      <c r="AG137" s="127"/>
      <c r="AH137" s="127"/>
      <c r="AI137" s="129" t="str">
        <f t="shared" si="200"/>
        <v/>
      </c>
      <c r="AJ137" s="130" t="str">
        <f t="shared" si="187"/>
        <v/>
      </c>
      <c r="AK137" s="128" t="str">
        <f t="shared" si="195"/>
        <v/>
      </c>
      <c r="AL137" s="130" t="str">
        <f t="shared" si="189"/>
        <v/>
      </c>
      <c r="AM137" s="128" t="str">
        <f t="shared" si="198"/>
        <v/>
      </c>
      <c r="AN137" s="131" t="str">
        <f t="shared" si="201"/>
        <v/>
      </c>
      <c r="AO137" s="132"/>
      <c r="AP137" s="304"/>
      <c r="AQ137" s="304"/>
      <c r="AR137" s="304"/>
      <c r="AS137" s="304"/>
      <c r="AT137" s="400"/>
      <c r="AU137" s="400"/>
      <c r="AV137" s="400"/>
    </row>
    <row r="138" spans="1:48" ht="52.5" customHeight="1" x14ac:dyDescent="0.2">
      <c r="A138" s="398">
        <v>22</v>
      </c>
      <c r="B138" s="399" t="s">
        <v>558</v>
      </c>
      <c r="C138" s="400" t="s">
        <v>36</v>
      </c>
      <c r="D138" s="400" t="s">
        <v>1089</v>
      </c>
      <c r="E138" s="400" t="s">
        <v>1090</v>
      </c>
      <c r="F138" s="400" t="s">
        <v>1091</v>
      </c>
      <c r="G138" s="401" t="str">
        <f>+CONCATENATE(C138," ",D138," ",E138)</f>
        <v xml:space="preserve">Posibilidad de afectación económica 
por deterioro en la infraestructura fisica de la entidad debido a la falta de seguimiento a los mantenimientos y adecuaciones en la sede propia de la entidad  </v>
      </c>
      <c r="H138" s="400" t="s">
        <v>1092</v>
      </c>
      <c r="I138" s="402" t="s">
        <v>59</v>
      </c>
      <c r="J138" s="402" t="s">
        <v>1093</v>
      </c>
      <c r="K138" s="402" t="s">
        <v>1094</v>
      </c>
      <c r="L138" s="402" t="s">
        <v>1095</v>
      </c>
      <c r="M138" s="402" t="s">
        <v>55</v>
      </c>
      <c r="N138" s="402" t="s">
        <v>46</v>
      </c>
      <c r="O138" s="416">
        <v>12</v>
      </c>
      <c r="P138" s="417" t="str">
        <f>IF(O138&lt;=0,"",IF(O138&lt;=2,"Muy Baja",IF(O138&lt;=24,"Baja",IF(O138&lt;=500,"Media",IF(O138&lt;=5000,"Alta","Muy Alta")))))</f>
        <v>Baja</v>
      </c>
      <c r="Q138" s="405">
        <f>IF(P138="","",IF(P138="Muy Baja",0.2,IF(P138="Baja",0.4,IF(P138="Media",0.6,IF(P138="Alta",0.8,IF(P138="Muy Alta",1,))))))</f>
        <v>0.4</v>
      </c>
      <c r="R138" s="406" t="s">
        <v>392</v>
      </c>
      <c r="S138" s="405" t="str">
        <f>IF(NOT(ISERROR(MATCH(R138,'[4]Tabla Impacto'!$B$245:$B$247,0))),'[4]Tabla Impacto'!$F$224&amp;"Por favor no seleccionar los criterios de impacto(Afectación Económica o presupuestal y Pérdida Reputacional)",R138)</f>
        <v xml:space="preserve">     El riesgo afecta la imagen de alguna área de la organización</v>
      </c>
      <c r="T138" s="417" t="str">
        <f>IF(OR(S138='[4]Tabla Impacto'!$C$12,S138='[4]Tabla Impacto'!$D$12),"Leve",IF(OR(S138='[4]Tabla Impacto'!$C$13,S138='[4]Tabla Impacto'!$D$13),"Menor",IF(OR(S138='[4]Tabla Impacto'!$C$14,S138='[4]Tabla Impacto'!$D$14),"Moderado",IF(OR(S138='[4]Tabla Impacto'!$C$15,S138='[4]Tabla Impacto'!$D$15),"Mayor",IF(OR(S138='[4]Tabla Impacto'!$C$16,S138='[4]Tabla Impacto'!$D$16),"Catastrófico","")))))</f>
        <v>Leve</v>
      </c>
      <c r="U138" s="405">
        <f>IF(T138="","",IF(T138="Leve",0.2,IF(T138="Menor",0.4,IF(T138="Moderado",0.6,IF(T138="Mayor",0.8,IF(T138="Catastrófico",1,))))))</f>
        <v>0.2</v>
      </c>
      <c r="V138" s="418" t="str">
        <f>IF(OR(AND(P138="Muy Baja",T138="Leve"),AND(P138="Muy Baja",T138="Menor"),AND(P138="Baja",T138="Leve")),"Bajo",IF(OR(AND(P138="Muy baja",T138="Moderado"),AND(P138="Baja",T138="Menor"),AND(P138="Baja",T138="Moderado"),AND(P138="Media",T138="Leve"),AND(P138="Media",T138="Menor"),AND(P138="Media",T138="Moderado"),AND(P138="Alta",T138="Leve"),AND(P138="Alta",T138="Menor")),"Moderado",IF(OR(AND(P138="Muy Baja",T138="Mayor"),AND(P138="Baja",T138="Mayor"),AND(P138="Media",T138="Mayor"),AND(P138="Alta",T138="Moderado"),AND(P138="Alta",T138="Mayor"),AND(P138="Muy Alta",T138="Leve"),AND(P138="Muy Alta",T138="Menor"),AND(P138="Muy Alta",T138="Moderado"),AND(P138="Muy Alta",T138="Mayor")),"Alto",IF(OR(AND(P138="Muy Baja",T138="Catastrófico"),AND(P138="Baja",T138="Catastrófico"),AND(P138="Media",T138="Catastrófico"),AND(P138="Alta",T138="Catastrófico"),AND(P138="Muy Alta",T138="Catastrófico")),"Extremo",""))))</f>
        <v>Bajo</v>
      </c>
      <c r="W138" s="149">
        <v>1</v>
      </c>
      <c r="X138" s="182" t="s">
        <v>1096</v>
      </c>
      <c r="Y138" s="182" t="s">
        <v>41</v>
      </c>
      <c r="Z138" s="182" t="s">
        <v>1190</v>
      </c>
      <c r="AA138" s="174" t="str">
        <f>+CONCATENATE(X138," ",Y138," ",Z138)</f>
        <v xml:space="preserve">
El Servidor Público o contratista designado  Valida 
de manera mensual, el estado de la infraestructura física de las sedes propias de la entidad a través del formato de inspección de sedes.
dejando como soporte informe.
En caso de que se evidencie alguna afectación, se revisa la pertinencia de incluir la mejora, dentro de las actividades de mantenimiento programadas.</v>
      </c>
      <c r="AB138" s="126" t="str">
        <f t="shared" si="199"/>
        <v>Probabilidad</v>
      </c>
      <c r="AC138" s="127" t="s">
        <v>398</v>
      </c>
      <c r="AD138" s="127" t="s">
        <v>394</v>
      </c>
      <c r="AE138" s="128" t="str">
        <f>IF(AND(AC138="Preventivo",AD138="Automático"),"50%",IF(AND(AC138="Preventivo",AD138="Manual"),"40%",IF(AND(AC138="Detectivo",AD138="Automático"),"40%",IF(AND(AC138="Detectivo",AD138="Manual"),"30%",IF(AND(AC138="Correctivo",AD138="Automático"),"35%",IF(AND(AC138="Correctivo",AD138="Manual"),"25%",""))))))</f>
        <v>40%</v>
      </c>
      <c r="AF138" s="127" t="s">
        <v>395</v>
      </c>
      <c r="AG138" s="127" t="s">
        <v>396</v>
      </c>
      <c r="AH138" s="127" t="s">
        <v>397</v>
      </c>
      <c r="AI138" s="129">
        <f>IFERROR(IF(AB138="Probabilidad",(Q138-(+Q138*AE138)),IF(AB138="Impacto",Q138,"")),"")</f>
        <v>0.24</v>
      </c>
      <c r="AJ138" s="130" t="str">
        <f>IFERROR(IF(AI138="","",IF(AI138&lt;=0.2,"Muy Baja",IF(AI138&lt;=0.4,"Baja",IF(AI138&lt;=0.6,"Media",IF(AI138&lt;=0.8,"Alta","Muy Alta"))))),"")</f>
        <v>Baja</v>
      </c>
      <c r="AK138" s="128">
        <f>+AI138</f>
        <v>0.24</v>
      </c>
      <c r="AL138" s="130" t="str">
        <f>IFERROR(IF(AM138="","",IF(AM138&lt;=0.2,"Leve",IF(AM138&lt;=0.4,"Menor",IF(AM138&lt;=0.6,"Moderado",IF(AM138&lt;=0.8,"Mayor","Catastrófico"))))),"")</f>
        <v>Leve</v>
      </c>
      <c r="AM138" s="128">
        <f>IFERROR(IF(AB138="Impacto",(U138-(+U138*AE138)),IF(AB138="Probabilidad",U138,"")),"")</f>
        <v>0.2</v>
      </c>
      <c r="AN138" s="131" t="str">
        <f>IFERROR(IF(OR(AND(AJ138="Muy Baja",AL138="Leve"),AND(AJ138="Muy Baja",AL138="Menor"),AND(AJ138="Baja",AL138="Leve")),"Bajo",IF(OR(AND(AJ138="Muy baja",AL138="Moderado"),AND(AJ138="Baja",AL138="Menor"),AND(AJ138="Baja",AL138="Moderado"),AND(AJ138="Media",AL138="Leve"),AND(AJ138="Media",AL138="Menor"),AND(AJ138="Media",AL138="Moderado"),AND(AJ138="Alta",AL138="Leve"),AND(AJ138="Alta",AL138="Menor")),"Moderado",IF(OR(AND(AJ138="Muy Baja",AL138="Mayor"),AND(AJ138="Baja",AL138="Mayor"),AND(AJ138="Media",AL138="Mayor"),AND(AJ138="Alta",AL138="Moderado"),AND(AJ138="Alta",AL138="Mayor"),AND(AJ138="Muy Alta",AL138="Leve"),AND(AJ138="Muy Alta",AL138="Menor"),AND(AJ138="Muy Alta",AL138="Moderado"),AND(AJ138="Muy Alta",AL138="Mayor")),"Alto",IF(OR(AND(AJ138="Muy Baja",AL138="Catastrófico"),AND(AJ138="Baja",AL138="Catastrófico"),AND(AJ138="Media",AL138="Catastrófico"),AND(AJ138="Alta",AL138="Catastrófico"),AND(AJ138="Muy Alta",AL138="Catastrófico")),"Extremo","")))),"")</f>
        <v>Bajo</v>
      </c>
      <c r="AO138" s="132" t="s">
        <v>43</v>
      </c>
      <c r="AP138" s="363" t="s">
        <v>1097</v>
      </c>
      <c r="AQ138" s="363" t="s">
        <v>1098</v>
      </c>
      <c r="AR138" s="363" t="s">
        <v>1099</v>
      </c>
      <c r="AS138" s="369" t="s">
        <v>599</v>
      </c>
      <c r="AT138" s="402" t="s">
        <v>1191</v>
      </c>
      <c r="AU138" s="402" t="s">
        <v>1192</v>
      </c>
      <c r="AV138" s="402" t="s">
        <v>1098</v>
      </c>
    </row>
    <row r="139" spans="1:48" ht="52.5" customHeight="1" x14ac:dyDescent="0.2">
      <c r="A139" s="398"/>
      <c r="B139" s="399"/>
      <c r="C139" s="400"/>
      <c r="D139" s="400"/>
      <c r="E139" s="400"/>
      <c r="F139" s="400"/>
      <c r="G139" s="401"/>
      <c r="H139" s="400"/>
      <c r="I139" s="403"/>
      <c r="J139" s="403"/>
      <c r="K139" s="403"/>
      <c r="L139" s="403"/>
      <c r="M139" s="403"/>
      <c r="N139" s="403"/>
      <c r="O139" s="416"/>
      <c r="P139" s="417"/>
      <c r="Q139" s="405"/>
      <c r="R139" s="406"/>
      <c r="S139" s="405">
        <f>IF(NOT(ISERROR(MATCH(R139,_xlfn.ANCHORARRAY(G150),0))),Q152&amp;"Por favor no seleccionar los criterios de impacto",R139)</f>
        <v>0</v>
      </c>
      <c r="T139" s="417"/>
      <c r="U139" s="405"/>
      <c r="V139" s="418"/>
      <c r="W139" s="149">
        <v>2</v>
      </c>
      <c r="X139" s="182" t="s">
        <v>1096</v>
      </c>
      <c r="Y139" s="149" t="s">
        <v>41</v>
      </c>
      <c r="Z139" s="182" t="s">
        <v>1193</v>
      </c>
      <c r="AA139" s="174" t="str">
        <f t="shared" ref="AA139:AA161" si="202">+CONCATENATE(X139," ",Y139," ",Z139)</f>
        <v xml:space="preserve">
El Servidor Público o contratista designado  Valida mensulamente se generar mesas de trabajo  cuyo objetivo apunte a la revisión de las necesidades de mantenimiento de
las sedes con las que cuenta la Entidad. Dejando como soporte acta de reunión.
En caso de identificar necesidades urgentes se genera el compromiso de atender el evencto identificado 
</v>
      </c>
      <c r="AB139" s="126" t="str">
        <f t="shared" si="199"/>
        <v>Probabilidad</v>
      </c>
      <c r="AC139" s="127" t="s">
        <v>393</v>
      </c>
      <c r="AD139" s="127" t="s">
        <v>394</v>
      </c>
      <c r="AE139" s="128" t="str">
        <f t="shared" ref="AE139:AE143" si="203">IF(AND(AC139="Preventivo",AD139="Automático"),"50%",IF(AND(AC139="Preventivo",AD139="Manual"),"40%",IF(AND(AC139="Detectivo",AD139="Automático"),"40%",IF(AND(AC139="Detectivo",AD139="Manual"),"30%",IF(AND(AC139="Correctivo",AD139="Automático"),"35%",IF(AND(AC139="Correctivo",AD139="Manual"),"25%",""))))))</f>
        <v>30%</v>
      </c>
      <c r="AF139" s="127" t="s">
        <v>395</v>
      </c>
      <c r="AG139" s="127" t="s">
        <v>396</v>
      </c>
      <c r="AH139" s="127" t="s">
        <v>397</v>
      </c>
      <c r="AI139" s="129">
        <f>IFERROR(IF(AND(AB138="Probabilidad",AB139="Probabilidad"),(AK138-(+AK138*AE139)),IF(AB139="Probabilidad",(Q138-(+Q138*AE139)),IF(AB139="Impacto",AK138,""))),"")</f>
        <v>0.16799999999999998</v>
      </c>
      <c r="AJ139" s="130" t="str">
        <f t="shared" ref="AJ139:AJ161" si="204">IFERROR(IF(AI139="","",IF(AI139&lt;=0.2,"Muy Baja",IF(AI139&lt;=0.4,"Baja",IF(AI139&lt;=0.6,"Media",IF(AI139&lt;=0.8,"Alta","Muy Alta"))))),"")</f>
        <v>Muy Baja</v>
      </c>
      <c r="AK139" s="128">
        <f t="shared" ref="AK139:AK143" si="205">+AI139</f>
        <v>0.16799999999999998</v>
      </c>
      <c r="AL139" s="130" t="str">
        <f t="shared" ref="AL139:AL161" si="206">IFERROR(IF(AM139="","",IF(AM139&lt;=0.2,"Leve",IF(AM139&lt;=0.4,"Menor",IF(AM139&lt;=0.6,"Moderado",IF(AM139&lt;=0.8,"Mayor","Catastrófico"))))),"")</f>
        <v>Leve</v>
      </c>
      <c r="AM139" s="128">
        <f>IFERROR(IF(AND(AB138="Impacto",AB139="Impacto"),(AM138-(+AM138*AE139)),IF(AB139="Impacto",($T$13-(+$T$13*AE139)),IF(AB139="Probabilidad",AM138,""))),"")</f>
        <v>0.2</v>
      </c>
      <c r="AN139" s="131" t="str">
        <f t="shared" ref="AN139:AN143" si="207">IFERROR(IF(OR(AND(AJ139="Muy Baja",AL139="Leve"),AND(AJ139="Muy Baja",AL139="Menor"),AND(AJ139="Baja",AL139="Leve")),"Bajo",IF(OR(AND(AJ139="Muy baja",AL139="Moderado"),AND(AJ139="Baja",AL139="Menor"),AND(AJ139="Baja",AL139="Moderado"),AND(AJ139="Media",AL139="Leve"),AND(AJ139="Media",AL139="Menor"),AND(AJ139="Media",AL139="Moderado"),AND(AJ139="Alta",AL139="Leve"),AND(AJ139="Alta",AL139="Menor")),"Moderado",IF(OR(AND(AJ139="Muy Baja",AL139="Mayor"),AND(AJ139="Baja",AL139="Mayor"),AND(AJ139="Media",AL139="Mayor"),AND(AJ139="Alta",AL139="Moderado"),AND(AJ139="Alta",AL139="Mayor"),AND(AJ139="Muy Alta",AL139="Leve"),AND(AJ139="Muy Alta",AL139="Menor"),AND(AJ139="Muy Alta",AL139="Moderado"),AND(AJ139="Muy Alta",AL139="Mayor")),"Alto",IF(OR(AND(AJ139="Muy Baja",AL139="Catastrófico"),AND(AJ139="Baja",AL139="Catastrófico"),AND(AJ139="Media",AL139="Catastrófico"),AND(AJ139="Alta",AL139="Catastrófico"),AND(AJ139="Muy Alta",AL139="Catastrófico")),"Extremo","")))),"")</f>
        <v>Bajo</v>
      </c>
      <c r="AO139" s="132" t="s">
        <v>43</v>
      </c>
      <c r="AP139" s="370"/>
      <c r="AQ139" s="370"/>
      <c r="AR139" s="370"/>
      <c r="AS139" s="371"/>
      <c r="AT139" s="404"/>
      <c r="AU139" s="404"/>
      <c r="AV139" s="404"/>
    </row>
    <row r="140" spans="1:48" ht="15" customHeight="1" x14ac:dyDescent="0.2">
      <c r="A140" s="398"/>
      <c r="B140" s="399"/>
      <c r="C140" s="400"/>
      <c r="D140" s="400"/>
      <c r="E140" s="400"/>
      <c r="F140" s="400"/>
      <c r="G140" s="401"/>
      <c r="H140" s="400"/>
      <c r="I140" s="403"/>
      <c r="J140" s="403"/>
      <c r="K140" s="403"/>
      <c r="L140" s="403"/>
      <c r="M140" s="403"/>
      <c r="N140" s="403"/>
      <c r="O140" s="416"/>
      <c r="P140" s="417"/>
      <c r="Q140" s="405"/>
      <c r="R140" s="406"/>
      <c r="S140" s="405">
        <f>IF(NOT(ISERROR(MATCH(R140,_xlfn.ANCHORARRAY(G151),0))),Q153&amp;"Por favor no seleccionar los criterios de impacto",R140)</f>
        <v>0</v>
      </c>
      <c r="T140" s="417"/>
      <c r="U140" s="405"/>
      <c r="V140" s="418"/>
      <c r="W140" s="149">
        <v>3</v>
      </c>
      <c r="X140" s="182"/>
      <c r="Y140" s="149"/>
      <c r="Z140" s="149"/>
      <c r="AA140" s="174" t="str">
        <f t="shared" si="202"/>
        <v xml:space="preserve">  </v>
      </c>
      <c r="AB140" s="126" t="str">
        <f t="shared" si="199"/>
        <v/>
      </c>
      <c r="AC140" s="127"/>
      <c r="AD140" s="127"/>
      <c r="AE140" s="128" t="str">
        <f t="shared" si="203"/>
        <v/>
      </c>
      <c r="AF140" s="127"/>
      <c r="AG140" s="127"/>
      <c r="AH140" s="127"/>
      <c r="AI140" s="129" t="str">
        <f>IFERROR(IF(AND(AB139="Probabilidad",AB140="Probabilidad"),(AK139-(+AK139*AE140)),IF(AND(AB139="Impacto",AB140="Probabilidad"),(AK138-(+AK138*AE140)),IF(AB140="Impacto",AK139,""))),"")</f>
        <v/>
      </c>
      <c r="AJ140" s="130" t="str">
        <f t="shared" si="204"/>
        <v/>
      </c>
      <c r="AK140" s="128" t="str">
        <f t="shared" si="205"/>
        <v/>
      </c>
      <c r="AL140" s="130" t="str">
        <f t="shared" si="206"/>
        <v/>
      </c>
      <c r="AM140" s="128" t="str">
        <f>IFERROR(IF(AND(AB139="Impacto",AB140="Impacto"),(AM139-(+AM139*AE140)),IF(AND(AB139="Probabilidad",AB140="Impacto"),(AM138-(+AM138*AE140)),IF(AB140="Probabilidad",AM139,""))),"")</f>
        <v/>
      </c>
      <c r="AN140" s="131" t="str">
        <f t="shared" si="207"/>
        <v/>
      </c>
      <c r="AO140" s="132"/>
      <c r="AP140" s="125"/>
      <c r="AQ140" s="133"/>
      <c r="AR140" s="133"/>
      <c r="AS140" s="134"/>
      <c r="AT140" s="372"/>
      <c r="AU140" s="372"/>
      <c r="AV140" s="372"/>
    </row>
    <row r="141" spans="1:48" ht="15" customHeight="1" x14ac:dyDescent="0.2">
      <c r="A141" s="398"/>
      <c r="B141" s="399"/>
      <c r="C141" s="400"/>
      <c r="D141" s="400"/>
      <c r="E141" s="400"/>
      <c r="F141" s="400"/>
      <c r="G141" s="401"/>
      <c r="H141" s="400"/>
      <c r="I141" s="403"/>
      <c r="J141" s="403"/>
      <c r="K141" s="403"/>
      <c r="L141" s="403"/>
      <c r="M141" s="403"/>
      <c r="N141" s="403"/>
      <c r="O141" s="416"/>
      <c r="P141" s="417"/>
      <c r="Q141" s="405"/>
      <c r="R141" s="406"/>
      <c r="S141" s="405">
        <f>IF(NOT(ISERROR(MATCH(R141,_xlfn.ANCHORARRAY(G152),0))),Q154&amp;"Por favor no seleccionar los criterios de impacto",R141)</f>
        <v>0</v>
      </c>
      <c r="T141" s="417"/>
      <c r="U141" s="405"/>
      <c r="V141" s="418"/>
      <c r="W141" s="149">
        <v>4</v>
      </c>
      <c r="X141" s="182"/>
      <c r="Y141" s="149"/>
      <c r="Z141" s="149"/>
      <c r="AA141" s="174" t="str">
        <f t="shared" si="202"/>
        <v xml:space="preserve">  </v>
      </c>
      <c r="AB141" s="126" t="str">
        <f t="shared" si="199"/>
        <v/>
      </c>
      <c r="AC141" s="127"/>
      <c r="AD141" s="127"/>
      <c r="AE141" s="128" t="str">
        <f t="shared" si="203"/>
        <v/>
      </c>
      <c r="AF141" s="127"/>
      <c r="AG141" s="127"/>
      <c r="AH141" s="127"/>
      <c r="AI141" s="129" t="str">
        <f t="shared" ref="AI141:AI143" si="208">IFERROR(IF(AND(AB140="Probabilidad",AB141="Probabilidad"),(AK140-(+AK140*AE141)),IF(AND(AB140="Impacto",AB141="Probabilidad"),(AK139-(+AK139*AE141)),IF(AB141="Impacto",AK140,""))),"")</f>
        <v/>
      </c>
      <c r="AJ141" s="130" t="str">
        <f t="shared" si="204"/>
        <v/>
      </c>
      <c r="AK141" s="128" t="str">
        <f t="shared" si="205"/>
        <v/>
      </c>
      <c r="AL141" s="130" t="str">
        <f t="shared" si="206"/>
        <v/>
      </c>
      <c r="AM141" s="128" t="str">
        <f t="shared" ref="AM141:AM143" si="209">IFERROR(IF(AND(AB140="Impacto",AB141="Impacto"),(AM140-(+AM140*AE141)),IF(AND(AB140="Probabilidad",AB141="Impacto"),(AM139-(+AM139*AE141)),IF(AB141="Probabilidad",AM140,""))),"")</f>
        <v/>
      </c>
      <c r="AN141" s="131" t="str">
        <f>IFERROR(IF(OR(AND(AJ141="Muy Baja",AL141="Leve"),AND(AJ141="Muy Baja",AL141="Menor"),AND(AJ141="Baja",AL141="Leve")),"Bajo",IF(OR(AND(AJ141="Muy baja",AL141="Moderado"),AND(AJ141="Baja",AL141="Menor"),AND(AJ141="Baja",AL141="Moderado"),AND(AJ141="Media",AL141="Leve"),AND(AJ141="Media",AL141="Menor"),AND(AJ141="Media",AL141="Moderado"),AND(AJ141="Alta",AL141="Leve"),AND(AJ141="Alta",AL141="Menor")),"Moderado",IF(OR(AND(AJ141="Muy Baja",AL141="Mayor"),AND(AJ141="Baja",AL141="Mayor"),AND(AJ141="Media",AL141="Mayor"),AND(AJ141="Alta",AL141="Moderado"),AND(AJ141="Alta",AL141="Mayor"),AND(AJ141="Muy Alta",AL141="Leve"),AND(AJ141="Muy Alta",AL141="Menor"),AND(AJ141="Muy Alta",AL141="Moderado"),AND(AJ141="Muy Alta",AL141="Mayor")),"Alto",IF(OR(AND(AJ141="Muy Baja",AL141="Catastrófico"),AND(AJ141="Baja",AL141="Catastrófico"),AND(AJ141="Media",AL141="Catastrófico"),AND(AJ141="Alta",AL141="Catastrófico"),AND(AJ141="Muy Alta",AL141="Catastrófico")),"Extremo","")))),"")</f>
        <v/>
      </c>
      <c r="AO141" s="132"/>
      <c r="AP141" s="125"/>
      <c r="AQ141" s="133"/>
      <c r="AR141" s="133"/>
      <c r="AS141" s="134"/>
      <c r="AT141" s="372"/>
      <c r="AU141" s="372"/>
      <c r="AV141" s="372"/>
    </row>
    <row r="142" spans="1:48" ht="15" customHeight="1" x14ac:dyDescent="0.2">
      <c r="A142" s="398"/>
      <c r="B142" s="399"/>
      <c r="C142" s="400"/>
      <c r="D142" s="400"/>
      <c r="E142" s="400"/>
      <c r="F142" s="400"/>
      <c r="G142" s="401"/>
      <c r="H142" s="400"/>
      <c r="I142" s="403"/>
      <c r="J142" s="403"/>
      <c r="K142" s="403"/>
      <c r="L142" s="403"/>
      <c r="M142" s="403"/>
      <c r="N142" s="403"/>
      <c r="O142" s="416"/>
      <c r="P142" s="417"/>
      <c r="Q142" s="405"/>
      <c r="R142" s="406"/>
      <c r="S142" s="405">
        <f>IF(NOT(ISERROR(MATCH(R142,_xlfn.ANCHORARRAY(G153),0))),Q155&amp;"Por favor no seleccionar los criterios de impacto",R142)</f>
        <v>0</v>
      </c>
      <c r="T142" s="417"/>
      <c r="U142" s="405"/>
      <c r="V142" s="418"/>
      <c r="W142" s="149">
        <v>5</v>
      </c>
      <c r="X142" s="182"/>
      <c r="Y142" s="149"/>
      <c r="Z142" s="149"/>
      <c r="AA142" s="174" t="str">
        <f t="shared" si="202"/>
        <v xml:space="preserve">  </v>
      </c>
      <c r="AB142" s="126" t="str">
        <f t="shared" si="199"/>
        <v/>
      </c>
      <c r="AC142" s="127"/>
      <c r="AD142" s="127"/>
      <c r="AE142" s="128" t="str">
        <f t="shared" si="203"/>
        <v/>
      </c>
      <c r="AF142" s="127"/>
      <c r="AG142" s="127"/>
      <c r="AH142" s="127"/>
      <c r="AI142" s="129" t="str">
        <f t="shared" si="208"/>
        <v/>
      </c>
      <c r="AJ142" s="130" t="str">
        <f t="shared" si="204"/>
        <v/>
      </c>
      <c r="AK142" s="128" t="str">
        <f t="shared" si="205"/>
        <v/>
      </c>
      <c r="AL142" s="130" t="str">
        <f t="shared" si="206"/>
        <v/>
      </c>
      <c r="AM142" s="128" t="str">
        <f t="shared" si="209"/>
        <v/>
      </c>
      <c r="AN142" s="131" t="str">
        <f t="shared" si="207"/>
        <v/>
      </c>
      <c r="AO142" s="132"/>
      <c r="AP142" s="125"/>
      <c r="AQ142" s="133"/>
      <c r="AR142" s="133"/>
      <c r="AS142" s="134"/>
      <c r="AT142" s="372"/>
      <c r="AU142" s="372"/>
      <c r="AV142" s="372"/>
    </row>
    <row r="143" spans="1:48" ht="15" customHeight="1" x14ac:dyDescent="0.2">
      <c r="A143" s="398"/>
      <c r="B143" s="399"/>
      <c r="C143" s="400"/>
      <c r="D143" s="400"/>
      <c r="E143" s="400"/>
      <c r="F143" s="400"/>
      <c r="G143" s="401"/>
      <c r="H143" s="400"/>
      <c r="I143" s="404"/>
      <c r="J143" s="404"/>
      <c r="K143" s="404"/>
      <c r="L143" s="404"/>
      <c r="M143" s="404"/>
      <c r="N143" s="404"/>
      <c r="O143" s="416"/>
      <c r="P143" s="417"/>
      <c r="Q143" s="405"/>
      <c r="R143" s="406"/>
      <c r="S143" s="405">
        <f>IF(NOT(ISERROR(MATCH(R143,_xlfn.ANCHORARRAY(G154),0))),Q156&amp;"Por favor no seleccionar los criterios de impacto",R143)</f>
        <v>0</v>
      </c>
      <c r="T143" s="417"/>
      <c r="U143" s="405"/>
      <c r="V143" s="418"/>
      <c r="W143" s="149">
        <v>6</v>
      </c>
      <c r="X143" s="182"/>
      <c r="Y143" s="149"/>
      <c r="Z143" s="149"/>
      <c r="AA143" s="174" t="str">
        <f t="shared" si="202"/>
        <v xml:space="preserve">  </v>
      </c>
      <c r="AB143" s="126" t="str">
        <f t="shared" si="199"/>
        <v/>
      </c>
      <c r="AC143" s="127"/>
      <c r="AD143" s="127"/>
      <c r="AE143" s="128" t="str">
        <f t="shared" si="203"/>
        <v/>
      </c>
      <c r="AF143" s="127"/>
      <c r="AG143" s="127"/>
      <c r="AH143" s="127"/>
      <c r="AI143" s="129" t="str">
        <f t="shared" si="208"/>
        <v/>
      </c>
      <c r="AJ143" s="130" t="str">
        <f t="shared" si="204"/>
        <v/>
      </c>
      <c r="AK143" s="128" t="str">
        <f t="shared" si="205"/>
        <v/>
      </c>
      <c r="AL143" s="130" t="str">
        <f t="shared" si="206"/>
        <v/>
      </c>
      <c r="AM143" s="128" t="str">
        <f t="shared" si="209"/>
        <v/>
      </c>
      <c r="AN143" s="131" t="str">
        <f t="shared" si="207"/>
        <v/>
      </c>
      <c r="AO143" s="132"/>
      <c r="AP143" s="125"/>
      <c r="AQ143" s="133"/>
      <c r="AR143" s="133"/>
      <c r="AS143" s="134"/>
      <c r="AT143" s="372"/>
      <c r="AU143" s="372"/>
      <c r="AV143" s="372"/>
    </row>
    <row r="144" spans="1:48" ht="65.25" customHeight="1" x14ac:dyDescent="0.2">
      <c r="A144" s="398">
        <v>23</v>
      </c>
      <c r="B144" s="399" t="s">
        <v>558</v>
      </c>
      <c r="C144" s="400" t="s">
        <v>40</v>
      </c>
      <c r="D144" s="400" t="s">
        <v>1194</v>
      </c>
      <c r="E144" s="400" t="s">
        <v>1195</v>
      </c>
      <c r="F144" s="400" t="s">
        <v>1101</v>
      </c>
      <c r="G144" s="401" t="str">
        <f t="shared" ref="G144" si="210">+CONCATENATE(C144," ",D144," ",E144)</f>
        <v>Posibilidad de afectación reputacional por fallas en el registro de la información debido al desconocimiento  del procedimiento para el  registro de datos requeridos como insumo para la generación de reportes de movimientos de almacen</v>
      </c>
      <c r="H144" s="400" t="s">
        <v>1102</v>
      </c>
      <c r="I144" s="402" t="s">
        <v>59</v>
      </c>
      <c r="J144" s="402" t="s">
        <v>1103</v>
      </c>
      <c r="K144" s="402" t="s">
        <v>1104</v>
      </c>
      <c r="L144" s="402" t="s">
        <v>1105</v>
      </c>
      <c r="M144" s="402" t="s">
        <v>55</v>
      </c>
      <c r="N144" s="402" t="s">
        <v>46</v>
      </c>
      <c r="O144" s="416">
        <v>365</v>
      </c>
      <c r="P144" s="417" t="str">
        <f>IF(O144&lt;=0,"",IF(O144&lt;=2,"Muy Baja",IF(O144&lt;=24,"Baja",IF(O144&lt;=500,"Media",IF(O144&lt;=5000,"Alta","Muy Alta")))))</f>
        <v>Media</v>
      </c>
      <c r="Q144" s="405">
        <f>IF(P144="","",IF(P144="Muy Baja",0.2,IF(P144="Baja",0.4,IF(P144="Media",0.6,IF(P144="Alta",0.8,IF(P144="Muy Alta",1,))))))</f>
        <v>0.6</v>
      </c>
      <c r="R144" s="406" t="s">
        <v>392</v>
      </c>
      <c r="S144" s="405" t="str">
        <f>IF(NOT(ISERROR(MATCH(R144,'[4]Tabla Impacto'!$B$245:$B$247,0))),'[4]Tabla Impacto'!$F$224&amp;"Por favor no seleccionar los criterios de impacto(Afectación Económica o presupuestal y Pérdida Reputacional)",R144)</f>
        <v xml:space="preserve">     El riesgo afecta la imagen de alguna área de la organización</v>
      </c>
      <c r="T144" s="417" t="str">
        <f>IF(OR(S144='[4]Tabla Impacto'!$C$12,S144='[4]Tabla Impacto'!$D$12),"Leve",IF(OR(S144='[4]Tabla Impacto'!$C$13,S144='[4]Tabla Impacto'!$D$13),"Menor",IF(OR(S144='[4]Tabla Impacto'!$C$14,S144='[4]Tabla Impacto'!$D$14),"Moderado",IF(OR(S144='[4]Tabla Impacto'!$C$15,S144='[4]Tabla Impacto'!$D$15),"Mayor",IF(OR(S144='[4]Tabla Impacto'!$C$16,S144='[4]Tabla Impacto'!$D$16),"Catastrófico","")))))</f>
        <v>Leve</v>
      </c>
      <c r="U144" s="405">
        <f>IF(T144="","",IF(T144="Leve",0.2,IF(T144="Menor",0.4,IF(T144="Moderado",0.6,IF(T144="Mayor",0.8,IF(T144="Catastrófico",1,))))))</f>
        <v>0.2</v>
      </c>
      <c r="V144" s="418" t="str">
        <f>IF(OR(AND(P144="Muy Baja",T144="Leve"),AND(P144="Muy Baja",T144="Menor"),AND(P144="Baja",T144="Leve")),"Bajo",IF(OR(AND(P144="Muy baja",T144="Moderado"),AND(P144="Baja",T144="Menor"),AND(P144="Baja",T144="Moderado"),AND(P144="Media",T144="Leve"),AND(P144="Media",T144="Menor"),AND(P144="Media",T144="Moderado"),AND(P144="Alta",T144="Leve"),AND(P144="Alta",T144="Menor")),"Moderado",IF(OR(AND(P144="Muy Baja",T144="Mayor"),AND(P144="Baja",T144="Mayor"),AND(P144="Media",T144="Mayor"),AND(P144="Alta",T144="Moderado"),AND(P144="Alta",T144="Mayor"),AND(P144="Muy Alta",T144="Leve"),AND(P144="Muy Alta",T144="Menor"),AND(P144="Muy Alta",T144="Moderado"),AND(P144="Muy Alta",T144="Mayor")),"Alto",IF(OR(AND(P144="Muy Baja",T144="Catastrófico"),AND(P144="Baja",T144="Catastrófico"),AND(P144="Media",T144="Catastrófico"),AND(P144="Alta",T144="Catastrófico"),AND(P144="Muy Alta",T144="Catastrófico")),"Extremo",""))))</f>
        <v>Moderado</v>
      </c>
      <c r="W144" s="149">
        <v>1</v>
      </c>
      <c r="X144" s="182" t="s">
        <v>1096</v>
      </c>
      <c r="Y144" s="149" t="s">
        <v>41</v>
      </c>
      <c r="Z144" s="182" t="s">
        <v>1196</v>
      </c>
      <c r="AA144" s="174" t="str">
        <f t="shared" si="202"/>
        <v xml:space="preserve">
El Servidor Público o contratista designado  Valida trimestralmente realizar la mesa de trabajo con el personal encargado del grupo GREF para retroalimentar la información pertienente a la elaboración de  registros contables, con énfasis
en el manejo adecuado del sistema o aplicativo utilizado.soporte acta de reunión .
en caso de identitifcar que no se cumplio a los acuerdos y compromisos se solicitara  informe a trevez de correo electronico
</v>
      </c>
      <c r="AB144" s="126" t="str">
        <f>IF(OR(AC144="Preventivo",AC144="Detectivo"),"Probabilidad",IF(AC144="Correctivo","Impacto",""))</f>
        <v>Probabilidad</v>
      </c>
      <c r="AC144" s="127" t="s">
        <v>398</v>
      </c>
      <c r="AD144" s="127" t="s">
        <v>394</v>
      </c>
      <c r="AE144" s="128" t="str">
        <f>IF(AND(AC144="Preventivo",AD144="Automático"),"50%",IF(AND(AC144="Preventivo",AD144="Manual"),"40%",IF(AND(AC144="Detectivo",AD144="Automático"),"40%",IF(AND(AC144="Detectivo",AD144="Manual"),"30%",IF(AND(AC144="Correctivo",AD144="Automático"),"35%",IF(AND(AC144="Correctivo",AD144="Manual"),"25%",""))))))</f>
        <v>40%</v>
      </c>
      <c r="AF144" s="127" t="s">
        <v>395</v>
      </c>
      <c r="AG144" s="127" t="s">
        <v>396</v>
      </c>
      <c r="AH144" s="127" t="s">
        <v>397</v>
      </c>
      <c r="AI144" s="129">
        <f>IFERROR(IF(AB144="Probabilidad",(Q144-(+Q144*AE144)),IF(AB144="Impacto",Q144,"")),"")</f>
        <v>0.36</v>
      </c>
      <c r="AJ144" s="130" t="str">
        <f>IFERROR(IF(AI144="","",IF(AI144&lt;=0.2,"Muy Baja",IF(AI144&lt;=0.4,"Baja",IF(AI144&lt;=0.6,"Media",IF(AI144&lt;=0.8,"Alta","Muy Alta"))))),"")</f>
        <v>Baja</v>
      </c>
      <c r="AK144" s="128">
        <f>+AI144</f>
        <v>0.36</v>
      </c>
      <c r="AL144" s="130" t="str">
        <f>IFERROR(IF(AM144="","",IF(AM144&lt;=0.2,"Leve",IF(AM144&lt;=0.4,"Menor",IF(AM144&lt;=0.6,"Moderado",IF(AM144&lt;=0.8,"Mayor","Catastrófico"))))),"")</f>
        <v>Leve</v>
      </c>
      <c r="AM144" s="128">
        <f t="shared" ref="AM144" si="211">IFERROR(IF(AB144="Impacto",(U144-(+U144*AE144)),IF(AB144="Probabilidad",U144,"")),"")</f>
        <v>0.2</v>
      </c>
      <c r="AN144" s="131" t="str">
        <f>IFERROR(IF(OR(AND(AJ144="Muy Baja",AL144="Leve"),AND(AJ144="Muy Baja",AL144="Menor"),AND(AJ144="Baja",AL144="Leve")),"Bajo",IF(OR(AND(AJ144="Muy baja",AL144="Moderado"),AND(AJ144="Baja",AL144="Menor"),AND(AJ144="Baja",AL144="Moderado"),AND(AJ144="Media",AL144="Leve"),AND(AJ144="Media",AL144="Menor"),AND(AJ144="Media",AL144="Moderado"),AND(AJ144="Alta",AL144="Leve"),AND(AJ144="Alta",AL144="Menor")),"Moderado",IF(OR(AND(AJ144="Muy Baja",AL144="Mayor"),AND(AJ144="Baja",AL144="Mayor"),AND(AJ144="Media",AL144="Mayor"),AND(AJ144="Alta",AL144="Moderado"),AND(AJ144="Alta",AL144="Mayor"),AND(AJ144="Muy Alta",AL144="Leve"),AND(AJ144="Muy Alta",AL144="Menor"),AND(AJ144="Muy Alta",AL144="Moderado"),AND(AJ144="Muy Alta",AL144="Mayor")),"Alto",IF(OR(AND(AJ144="Muy Baja",AL144="Catastrófico"),AND(AJ144="Baja",AL144="Catastrófico"),AND(AJ144="Media",AL144="Catastrófico"),AND(AJ144="Alta",AL144="Catastrófico"),AND(AJ144="Muy Alta",AL144="Catastrófico")),"Extremo","")))),"")</f>
        <v>Bajo</v>
      </c>
      <c r="AO144" s="132" t="s">
        <v>43</v>
      </c>
      <c r="AP144" s="125" t="s">
        <v>1106</v>
      </c>
      <c r="AQ144" s="125" t="s">
        <v>1098</v>
      </c>
      <c r="AR144" s="125" t="s">
        <v>1107</v>
      </c>
      <c r="AS144" s="134" t="s">
        <v>1088</v>
      </c>
      <c r="AT144" s="402" t="s">
        <v>1100</v>
      </c>
      <c r="AU144" s="402" t="s">
        <v>1197</v>
      </c>
      <c r="AV144" s="402" t="s">
        <v>1080</v>
      </c>
    </row>
    <row r="145" spans="1:48" ht="65.25" customHeight="1" x14ac:dyDescent="0.2">
      <c r="A145" s="398"/>
      <c r="B145" s="399"/>
      <c r="C145" s="400"/>
      <c r="D145" s="400"/>
      <c r="E145" s="400"/>
      <c r="F145" s="400"/>
      <c r="G145" s="401"/>
      <c r="H145" s="400"/>
      <c r="I145" s="403"/>
      <c r="J145" s="403"/>
      <c r="K145" s="403"/>
      <c r="L145" s="403"/>
      <c r="M145" s="403"/>
      <c r="N145" s="403"/>
      <c r="O145" s="416"/>
      <c r="P145" s="417"/>
      <c r="Q145" s="405"/>
      <c r="R145" s="406"/>
      <c r="S145" s="405">
        <f>IF(NOT(ISERROR(MATCH(R145,_xlfn.ANCHORARRAY(G156),0))),Q158&amp;"Por favor no seleccionar los criterios de impacto",R145)</f>
        <v>0</v>
      </c>
      <c r="T145" s="417"/>
      <c r="U145" s="405"/>
      <c r="V145" s="418"/>
      <c r="W145" s="149">
        <v>2</v>
      </c>
      <c r="X145" s="182" t="s">
        <v>1096</v>
      </c>
      <c r="Y145" s="149" t="s">
        <v>37</v>
      </c>
      <c r="Z145" s="182" t="s">
        <v>1198</v>
      </c>
      <c r="AA145" s="174" t="str">
        <f t="shared" si="202"/>
        <v xml:space="preserve">
El Servidor Público o contratista designado  Verifica 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v>
      </c>
      <c r="AB145" s="126" t="str">
        <f>IF(OR(AC145="Preventivo",AC145="Detectivo"),"Probabilidad",IF(AC145="Correctivo","Impacto",""))</f>
        <v>Probabilidad</v>
      </c>
      <c r="AC145" s="127" t="s">
        <v>398</v>
      </c>
      <c r="AD145" s="127" t="s">
        <v>394</v>
      </c>
      <c r="AE145" s="128" t="str">
        <f>IF(AND(AC145="Preventivo",AD145="Automático"),"50%",IF(AND(AC145="Preventivo",AD145="Manual"),"40%",IF(AND(AC145="Detectivo",AD145="Automático"),"40%",IF(AND(AC145="Detectivo",AD145="Manual"),"30%",IF(AND(AC145="Correctivo",AD145="Automático"),"35%",IF(AND(AC145="Correctivo",AD145="Manual"),"25%",""))))))</f>
        <v>40%</v>
      </c>
      <c r="AF145" s="127" t="s">
        <v>395</v>
      </c>
      <c r="AG145" s="127" t="s">
        <v>396</v>
      </c>
      <c r="AH145" s="127" t="s">
        <v>397</v>
      </c>
      <c r="AI145" s="129">
        <f>IFERROR(IF(AND(AB144="Probabilidad",AB145="Probabilidad"),(AK144-(+AK144*AE145)),IF(AB145="Probabilidad",(Q144-(+Q144*AE145)),IF(AB145="Impacto",AK144,""))),"")</f>
        <v>0.216</v>
      </c>
      <c r="AJ145" s="130" t="str">
        <f t="shared" si="204"/>
        <v>Baja</v>
      </c>
      <c r="AK145" s="128">
        <f t="shared" ref="AK145:AK149" si="212">+AI145</f>
        <v>0.216</v>
      </c>
      <c r="AL145" s="130" t="str">
        <f t="shared" si="206"/>
        <v>Leve</v>
      </c>
      <c r="AM145" s="128">
        <f t="shared" ref="AM145" si="213">IFERROR(IF(AND(AB144="Impacto",AB145="Impacto"),(AM144-(+AM144*AE145)),IF(AB145="Impacto",($T$13-(+$T$13*AE145)),IF(AB145="Probabilidad",AM144,""))),"")</f>
        <v>0.2</v>
      </c>
      <c r="AN145" s="131" t="str">
        <f t="shared" ref="AN145:AN146" si="214">IFERROR(IF(OR(AND(AJ145="Muy Baja",AL145="Leve"),AND(AJ145="Muy Baja",AL145="Menor"),AND(AJ145="Baja",AL145="Leve")),"Bajo",IF(OR(AND(AJ145="Muy baja",AL145="Moderado"),AND(AJ145="Baja",AL145="Menor"),AND(AJ145="Baja",AL145="Moderado"),AND(AJ145="Media",AL145="Leve"),AND(AJ145="Media",AL145="Menor"),AND(AJ145="Media",AL145="Moderado"),AND(AJ145="Alta",AL145="Leve"),AND(AJ145="Alta",AL145="Menor")),"Moderado",IF(OR(AND(AJ145="Muy Baja",AL145="Mayor"),AND(AJ145="Baja",AL145="Mayor"),AND(AJ145="Media",AL145="Mayor"),AND(AJ145="Alta",AL145="Moderado"),AND(AJ145="Alta",AL145="Mayor"),AND(AJ145="Muy Alta",AL145="Leve"),AND(AJ145="Muy Alta",AL145="Menor"),AND(AJ145="Muy Alta",AL145="Moderado"),AND(AJ145="Muy Alta",AL145="Mayor")),"Alto",IF(OR(AND(AJ145="Muy Baja",AL145="Catastrófico"),AND(AJ145="Baja",AL145="Catastrófico"),AND(AJ145="Media",AL145="Catastrófico"),AND(AJ145="Alta",AL145="Catastrófico"),AND(AJ145="Muy Alta",AL145="Catastrófico")),"Extremo","")))),"")</f>
        <v>Bajo</v>
      </c>
      <c r="AO145" s="132" t="s">
        <v>43</v>
      </c>
      <c r="AP145" s="125"/>
      <c r="AQ145" s="133"/>
      <c r="AR145" s="125"/>
      <c r="AS145" s="134"/>
      <c r="AT145" s="404"/>
      <c r="AU145" s="404"/>
      <c r="AV145" s="404"/>
    </row>
    <row r="146" spans="1:48" ht="15" customHeight="1" x14ac:dyDescent="0.2">
      <c r="A146" s="398"/>
      <c r="B146" s="399"/>
      <c r="C146" s="400"/>
      <c r="D146" s="400"/>
      <c r="E146" s="400"/>
      <c r="F146" s="400"/>
      <c r="G146" s="401"/>
      <c r="H146" s="400"/>
      <c r="I146" s="403"/>
      <c r="J146" s="403"/>
      <c r="K146" s="403"/>
      <c r="L146" s="403"/>
      <c r="M146" s="403"/>
      <c r="N146" s="403"/>
      <c r="O146" s="416"/>
      <c r="P146" s="417"/>
      <c r="Q146" s="405"/>
      <c r="R146" s="406"/>
      <c r="S146" s="405">
        <f>IF(NOT(ISERROR(MATCH(R146,_xlfn.ANCHORARRAY(G157),0))),Q159&amp;"Por favor no seleccionar los criterios de impacto",R146)</f>
        <v>0</v>
      </c>
      <c r="T146" s="417"/>
      <c r="U146" s="405"/>
      <c r="V146" s="418"/>
      <c r="W146" s="149">
        <v>3</v>
      </c>
      <c r="X146" s="182"/>
      <c r="Y146" s="149"/>
      <c r="Z146" s="149"/>
      <c r="AA146" s="174" t="str">
        <f t="shared" si="202"/>
        <v xml:space="preserve">  </v>
      </c>
      <c r="AB146" s="126" t="str">
        <f>IF(OR(AC146="Preventivo",AC146="Detectivo"),"Probabilidad",IF(AC146="Correctivo","Impacto",""))</f>
        <v/>
      </c>
      <c r="AC146" s="127"/>
      <c r="AD146" s="127"/>
      <c r="AE146" s="128" t="str">
        <f t="shared" ref="AE146:AE149" si="215">IF(AND(AC146="Preventivo",AD146="Automático"),"50%",IF(AND(AC146="Preventivo",AD146="Manual"),"40%",IF(AND(AC146="Detectivo",AD146="Automático"),"40%",IF(AND(AC146="Detectivo",AD146="Manual"),"30%",IF(AND(AC146="Correctivo",AD146="Automático"),"35%",IF(AND(AC146="Correctivo",AD146="Manual"),"25%",""))))))</f>
        <v/>
      </c>
      <c r="AF146" s="127"/>
      <c r="AG146" s="127"/>
      <c r="AH146" s="127"/>
      <c r="AI146" s="129" t="str">
        <f>IFERROR(IF(AND(AB145="Probabilidad",AB146="Probabilidad"),(AK145-(+AK145*AE146)),IF(AND(AB145="Impacto",AB146="Probabilidad"),(AK144-(+AK144*AE146)),IF(AB146="Impacto",AK145,""))),"")</f>
        <v/>
      </c>
      <c r="AJ146" s="130" t="str">
        <f t="shared" si="204"/>
        <v/>
      </c>
      <c r="AK146" s="128" t="str">
        <f t="shared" si="212"/>
        <v/>
      </c>
      <c r="AL146" s="130" t="str">
        <f t="shared" si="206"/>
        <v/>
      </c>
      <c r="AM146" s="128" t="str">
        <f t="shared" ref="AM146:AM161" si="216">IFERROR(IF(AND(AB145="Impacto",AB146="Impacto"),(AM145-(+AM145*AE146)),IF(AND(AB145="Probabilidad",AB146="Impacto"),(AM144-(+AM144*AE146)),IF(AB146="Probabilidad",AM145,""))),"")</f>
        <v/>
      </c>
      <c r="AN146" s="131" t="str">
        <f t="shared" si="214"/>
        <v/>
      </c>
      <c r="AO146" s="132"/>
      <c r="AP146" s="125"/>
      <c r="AQ146" s="133"/>
      <c r="AR146" s="133"/>
      <c r="AS146" s="134"/>
      <c r="AT146" s="373"/>
    </row>
    <row r="147" spans="1:48" ht="15" customHeight="1" x14ac:dyDescent="0.2">
      <c r="A147" s="398"/>
      <c r="B147" s="399"/>
      <c r="C147" s="400"/>
      <c r="D147" s="400"/>
      <c r="E147" s="400"/>
      <c r="F147" s="400"/>
      <c r="G147" s="401"/>
      <c r="H147" s="400"/>
      <c r="I147" s="403"/>
      <c r="J147" s="403"/>
      <c r="K147" s="403"/>
      <c r="L147" s="403"/>
      <c r="M147" s="403"/>
      <c r="N147" s="403"/>
      <c r="O147" s="416"/>
      <c r="P147" s="417"/>
      <c r="Q147" s="405"/>
      <c r="R147" s="406"/>
      <c r="S147" s="405">
        <f>IF(NOT(ISERROR(MATCH(R147,_xlfn.ANCHORARRAY(G158),0))),Q160&amp;"Por favor no seleccionar los criterios de impacto",R147)</f>
        <v>0</v>
      </c>
      <c r="T147" s="417"/>
      <c r="U147" s="405"/>
      <c r="V147" s="418"/>
      <c r="W147" s="149">
        <v>4</v>
      </c>
      <c r="X147" s="182"/>
      <c r="Y147" s="149"/>
      <c r="Z147" s="149"/>
      <c r="AA147" s="174" t="str">
        <f t="shared" si="202"/>
        <v xml:space="preserve">  </v>
      </c>
      <c r="AB147" s="126" t="str">
        <f t="shared" ref="AB147:AB149" si="217">IF(OR(AC147="Preventivo",AC147="Detectivo"),"Probabilidad",IF(AC147="Correctivo","Impacto",""))</f>
        <v/>
      </c>
      <c r="AC147" s="127"/>
      <c r="AD147" s="127"/>
      <c r="AE147" s="128" t="str">
        <f t="shared" si="215"/>
        <v/>
      </c>
      <c r="AF147" s="127"/>
      <c r="AG147" s="127"/>
      <c r="AH147" s="127"/>
      <c r="AI147" s="129" t="str">
        <f t="shared" ref="AI147:AI149" si="218">IFERROR(IF(AND(AB146="Probabilidad",AB147="Probabilidad"),(AK146-(+AK146*AE147)),IF(AND(AB146="Impacto",AB147="Probabilidad"),(AK145-(+AK145*AE147)),IF(AB147="Impacto",AK146,""))),"")</f>
        <v/>
      </c>
      <c r="AJ147" s="130" t="str">
        <f t="shared" si="204"/>
        <v/>
      </c>
      <c r="AK147" s="128" t="str">
        <f t="shared" si="212"/>
        <v/>
      </c>
      <c r="AL147" s="130" t="str">
        <f t="shared" si="206"/>
        <v/>
      </c>
      <c r="AM147" s="128" t="str">
        <f t="shared" si="216"/>
        <v/>
      </c>
      <c r="AN147" s="131" t="str">
        <f>IFERROR(IF(OR(AND(AJ147="Muy Baja",AL147="Leve"),AND(AJ147="Muy Baja",AL147="Menor"),AND(AJ147="Baja",AL147="Leve")),"Bajo",IF(OR(AND(AJ147="Muy baja",AL147="Moderado"),AND(AJ147="Baja",AL147="Menor"),AND(AJ147="Baja",AL147="Moderado"),AND(AJ147="Media",AL147="Leve"),AND(AJ147="Media",AL147="Menor"),AND(AJ147="Media",AL147="Moderado"),AND(AJ147="Alta",AL147="Leve"),AND(AJ147="Alta",AL147="Menor")),"Moderado",IF(OR(AND(AJ147="Muy Baja",AL147="Mayor"),AND(AJ147="Baja",AL147="Mayor"),AND(AJ147="Media",AL147="Mayor"),AND(AJ147="Alta",AL147="Moderado"),AND(AJ147="Alta",AL147="Mayor"),AND(AJ147="Muy Alta",AL147="Leve"),AND(AJ147="Muy Alta",AL147="Menor"),AND(AJ147="Muy Alta",AL147="Moderado"),AND(AJ147="Muy Alta",AL147="Mayor")),"Alto",IF(OR(AND(AJ147="Muy Baja",AL147="Catastrófico"),AND(AJ147="Baja",AL147="Catastrófico"),AND(AJ147="Media",AL147="Catastrófico"),AND(AJ147="Alta",AL147="Catastrófico"),AND(AJ147="Muy Alta",AL147="Catastrófico")),"Extremo","")))),"")</f>
        <v/>
      </c>
      <c r="AO147" s="132"/>
      <c r="AP147" s="125"/>
      <c r="AQ147" s="133"/>
      <c r="AR147" s="133"/>
      <c r="AS147" s="134"/>
      <c r="AT147" s="373"/>
    </row>
    <row r="148" spans="1:48" ht="15" customHeight="1" x14ac:dyDescent="0.2">
      <c r="A148" s="398"/>
      <c r="B148" s="399"/>
      <c r="C148" s="400"/>
      <c r="D148" s="400"/>
      <c r="E148" s="400"/>
      <c r="F148" s="400"/>
      <c r="G148" s="401"/>
      <c r="H148" s="400"/>
      <c r="I148" s="403"/>
      <c r="J148" s="403"/>
      <c r="K148" s="403"/>
      <c r="L148" s="403"/>
      <c r="M148" s="403"/>
      <c r="N148" s="403"/>
      <c r="O148" s="416"/>
      <c r="P148" s="417"/>
      <c r="Q148" s="405"/>
      <c r="R148" s="406"/>
      <c r="S148" s="405">
        <f>IF(NOT(ISERROR(MATCH(R148,_xlfn.ANCHORARRAY(G159),0))),Q161&amp;"Por favor no seleccionar los criterios de impacto",R148)</f>
        <v>0</v>
      </c>
      <c r="T148" s="417"/>
      <c r="U148" s="405"/>
      <c r="V148" s="418"/>
      <c r="W148" s="149">
        <v>5</v>
      </c>
      <c r="X148" s="182"/>
      <c r="Y148" s="149"/>
      <c r="Z148" s="149"/>
      <c r="AA148" s="174" t="str">
        <f t="shared" si="202"/>
        <v xml:space="preserve">  </v>
      </c>
      <c r="AB148" s="126" t="str">
        <f t="shared" si="217"/>
        <v/>
      </c>
      <c r="AC148" s="127"/>
      <c r="AD148" s="127"/>
      <c r="AE148" s="128" t="str">
        <f t="shared" si="215"/>
        <v/>
      </c>
      <c r="AF148" s="127"/>
      <c r="AG148" s="127"/>
      <c r="AH148" s="127"/>
      <c r="AI148" s="129" t="str">
        <f t="shared" si="218"/>
        <v/>
      </c>
      <c r="AJ148" s="130" t="str">
        <f t="shared" si="204"/>
        <v/>
      </c>
      <c r="AK148" s="128" t="str">
        <f t="shared" si="212"/>
        <v/>
      </c>
      <c r="AL148" s="130" t="str">
        <f t="shared" si="206"/>
        <v/>
      </c>
      <c r="AM148" s="128" t="str">
        <f t="shared" si="216"/>
        <v/>
      </c>
      <c r="AN148" s="131" t="str">
        <f t="shared" ref="AN148:AN149" si="219">IFERROR(IF(OR(AND(AJ148="Muy Baja",AL148="Leve"),AND(AJ148="Muy Baja",AL148="Menor"),AND(AJ148="Baja",AL148="Leve")),"Bajo",IF(OR(AND(AJ148="Muy baja",AL148="Moderado"),AND(AJ148="Baja",AL148="Menor"),AND(AJ148="Baja",AL148="Moderado"),AND(AJ148="Media",AL148="Leve"),AND(AJ148="Media",AL148="Menor"),AND(AJ148="Media",AL148="Moderado"),AND(AJ148="Alta",AL148="Leve"),AND(AJ148="Alta",AL148="Menor")),"Moderado",IF(OR(AND(AJ148="Muy Baja",AL148="Mayor"),AND(AJ148="Baja",AL148="Mayor"),AND(AJ148="Media",AL148="Mayor"),AND(AJ148="Alta",AL148="Moderado"),AND(AJ148="Alta",AL148="Mayor"),AND(AJ148="Muy Alta",AL148="Leve"),AND(AJ148="Muy Alta",AL148="Menor"),AND(AJ148="Muy Alta",AL148="Moderado"),AND(AJ148="Muy Alta",AL148="Mayor")),"Alto",IF(OR(AND(AJ148="Muy Baja",AL148="Catastrófico"),AND(AJ148="Baja",AL148="Catastrófico"),AND(AJ148="Media",AL148="Catastrófico"),AND(AJ148="Alta",AL148="Catastrófico"),AND(AJ148="Muy Alta",AL148="Catastrófico")),"Extremo","")))),"")</f>
        <v/>
      </c>
      <c r="AO148" s="132"/>
      <c r="AP148" s="125"/>
      <c r="AQ148" s="133"/>
      <c r="AR148" s="133"/>
      <c r="AS148" s="134"/>
      <c r="AT148" s="373"/>
    </row>
    <row r="149" spans="1:48" ht="15" customHeight="1" x14ac:dyDescent="0.2">
      <c r="A149" s="398"/>
      <c r="B149" s="399"/>
      <c r="C149" s="400"/>
      <c r="D149" s="400"/>
      <c r="E149" s="400"/>
      <c r="F149" s="400"/>
      <c r="G149" s="401"/>
      <c r="H149" s="400"/>
      <c r="I149" s="404"/>
      <c r="J149" s="404"/>
      <c r="K149" s="404"/>
      <c r="L149" s="404"/>
      <c r="M149" s="404"/>
      <c r="N149" s="404"/>
      <c r="O149" s="416"/>
      <c r="P149" s="417"/>
      <c r="Q149" s="405"/>
      <c r="R149" s="406"/>
      <c r="S149" s="405">
        <f>IF(NOT(ISERROR(MATCH(R149,_xlfn.ANCHORARRAY(G160),0))),Q162&amp;"Por favor no seleccionar los criterios de impacto",R149)</f>
        <v>0</v>
      </c>
      <c r="T149" s="417"/>
      <c r="U149" s="405"/>
      <c r="V149" s="418"/>
      <c r="W149" s="149">
        <v>6</v>
      </c>
      <c r="X149" s="149"/>
      <c r="Y149" s="149"/>
      <c r="Z149" s="149"/>
      <c r="AA149" s="174" t="str">
        <f t="shared" si="202"/>
        <v xml:space="preserve">  </v>
      </c>
      <c r="AB149" s="126" t="str">
        <f t="shared" si="217"/>
        <v/>
      </c>
      <c r="AC149" s="127"/>
      <c r="AD149" s="127"/>
      <c r="AE149" s="128" t="str">
        <f t="shared" si="215"/>
        <v/>
      </c>
      <c r="AF149" s="127"/>
      <c r="AG149" s="127"/>
      <c r="AH149" s="127"/>
      <c r="AI149" s="129" t="str">
        <f t="shared" si="218"/>
        <v/>
      </c>
      <c r="AJ149" s="130" t="str">
        <f t="shared" si="204"/>
        <v/>
      </c>
      <c r="AK149" s="128" t="str">
        <f t="shared" si="212"/>
        <v/>
      </c>
      <c r="AL149" s="130" t="str">
        <f t="shared" si="206"/>
        <v/>
      </c>
      <c r="AM149" s="128" t="str">
        <f t="shared" si="216"/>
        <v/>
      </c>
      <c r="AN149" s="131" t="str">
        <f t="shared" si="219"/>
        <v/>
      </c>
      <c r="AO149" s="132"/>
      <c r="AP149" s="125"/>
      <c r="AQ149" s="133"/>
      <c r="AR149" s="133"/>
      <c r="AS149" s="134"/>
      <c r="AT149" s="373"/>
    </row>
    <row r="150" spans="1:48" ht="93.75" customHeight="1" x14ac:dyDescent="0.2">
      <c r="A150" s="398">
        <v>24</v>
      </c>
      <c r="B150" s="399" t="s">
        <v>558</v>
      </c>
      <c r="C150" s="400" t="s">
        <v>36</v>
      </c>
      <c r="D150" s="400" t="s">
        <v>1108</v>
      </c>
      <c r="E150" s="400" t="s">
        <v>1109</v>
      </c>
      <c r="F150" s="400" t="s">
        <v>1110</v>
      </c>
      <c r="G150" s="401" t="str">
        <f t="shared" ref="G150" si="220">+CONCATENATE(C150," ",D150," ",E150)</f>
        <v>Posibilidad de afectación económica 
por el vencimiento de elementos perecederos 
debido a que los elementos no son consumidos o utilizados antes de su caducidad.</v>
      </c>
      <c r="H150" s="400" t="s">
        <v>391</v>
      </c>
      <c r="I150" s="402" t="s">
        <v>59</v>
      </c>
      <c r="J150" s="402" t="s">
        <v>1111</v>
      </c>
      <c r="K150" s="402" t="s">
        <v>1112</v>
      </c>
      <c r="L150" s="402" t="s">
        <v>1113</v>
      </c>
      <c r="M150" s="402" t="s">
        <v>55</v>
      </c>
      <c r="N150" s="402" t="s">
        <v>46</v>
      </c>
      <c r="O150" s="416">
        <v>12</v>
      </c>
      <c r="P150" s="417" t="str">
        <f>IF(O150&lt;=0,"",IF(O150&lt;=2,"Muy Baja",IF(O150&lt;=24,"Baja",IF(O150&lt;=500,"Media",IF(O150&lt;=5000,"Alta","Muy Alta")))))</f>
        <v>Baja</v>
      </c>
      <c r="Q150" s="405">
        <f>IF(P150="","",IF(P150="Muy Baja",0.2,IF(P150="Baja",0.4,IF(P150="Media",0.6,IF(P150="Alta",0.8,IF(P150="Muy Alta",1,))))))</f>
        <v>0.4</v>
      </c>
      <c r="R150" s="406" t="s">
        <v>392</v>
      </c>
      <c r="S150" s="405" t="str">
        <f>IF(NOT(ISERROR(MATCH(R150,'[4]Tabla Impacto'!$B$245:$B$247,0))),'[4]Tabla Impacto'!$F$224&amp;"Por favor no seleccionar los criterios de impacto(Afectación Económica o presupuestal y Pérdida Reputacional)",R150)</f>
        <v xml:space="preserve">     El riesgo afecta la imagen de alguna área de la organización</v>
      </c>
      <c r="T150" s="417" t="str">
        <f>IF(OR(S150='[4]Tabla Impacto'!$C$12,S150='[4]Tabla Impacto'!$D$12),"Leve",IF(OR(S150='[4]Tabla Impacto'!$C$13,S150='[4]Tabla Impacto'!$D$13),"Menor",IF(OR(S150='[4]Tabla Impacto'!$C$14,S150='[4]Tabla Impacto'!$D$14),"Moderado",IF(OR(S150='[4]Tabla Impacto'!$C$15,S150='[4]Tabla Impacto'!$D$15),"Mayor",IF(OR(S150='[4]Tabla Impacto'!$C$16,S150='[4]Tabla Impacto'!$D$16),"Catastrófico","")))))</f>
        <v>Leve</v>
      </c>
      <c r="U150" s="405">
        <f>IF(T150="","",IF(T150="Leve",0.2,IF(T150="Menor",0.4,IF(T150="Moderado",0.6,IF(T150="Mayor",0.8,IF(T150="Catastrófico",1,))))))</f>
        <v>0.2</v>
      </c>
      <c r="V150" s="418" t="str">
        <f>IF(OR(AND(P150="Muy Baja",T150="Leve"),AND(P150="Muy Baja",T150="Menor"),AND(P150="Baja",T150="Leve")),"Bajo",IF(OR(AND(P150="Muy baja",T150="Moderado"),AND(P150="Baja",T150="Menor"),AND(P150="Baja",T150="Moderado"),AND(P150="Media",T150="Leve"),AND(P150="Media",T150="Menor"),AND(P150="Media",T150="Moderado"),AND(P150="Alta",T150="Leve"),AND(P150="Alta",T150="Menor")),"Moderado",IF(OR(AND(P150="Muy Baja",T150="Mayor"),AND(P150="Baja",T150="Mayor"),AND(P150="Media",T150="Mayor"),AND(P150="Alta",T150="Moderado"),AND(P150="Alta",T150="Mayor"),AND(P150="Muy Alta",T150="Leve"),AND(P150="Muy Alta",T150="Menor"),AND(P150="Muy Alta",T150="Moderado"),AND(P150="Muy Alta",T150="Mayor")),"Alto",IF(OR(AND(P150="Muy Baja",T150="Catastrófico"),AND(P150="Baja",T150="Catastrófico"),AND(P150="Media",T150="Catastrófico"),AND(P150="Alta",T150="Catastrófico"),AND(P150="Muy Alta",T150="Catastrófico")),"Extremo",""))))</f>
        <v>Bajo</v>
      </c>
      <c r="W150" s="149">
        <v>1</v>
      </c>
      <c r="X150" s="182" t="s">
        <v>1114</v>
      </c>
      <c r="Y150" s="149" t="s">
        <v>41</v>
      </c>
      <c r="Z150" s="182" t="s">
        <v>1115</v>
      </c>
      <c r="AA150" s="174" t="str">
        <f t="shared" si="202"/>
        <v xml:space="preserve">
El Servidor Público o contratista designado Valida de manera mensual, el formato GREF-FM-005 y lo envia por correo eléctronico a las áreas generadoras de la necesidad.
En caso de evidenciar productos vencidos, informará al equipo GREF el caso para continuar el trámite administrativo.
</v>
      </c>
      <c r="AB150" s="126" t="str">
        <f>IF(OR(AC150="Preventivo",AC150="Detectivo"),"Probabilidad",IF(AC150="Correctivo","Impacto",""))</f>
        <v>Probabilidad</v>
      </c>
      <c r="AC150" s="127" t="s">
        <v>398</v>
      </c>
      <c r="AD150" s="127" t="s">
        <v>394</v>
      </c>
      <c r="AE150" s="128" t="str">
        <f>IF(AND(AC150="Preventivo",AD150="Automático"),"50%",IF(AND(AC150="Preventivo",AD150="Manual"),"40%",IF(AND(AC150="Detectivo",AD150="Automático"),"40%",IF(AND(AC150="Detectivo",AD150="Manual"),"30%",IF(AND(AC150="Correctivo",AD150="Automático"),"35%",IF(AND(AC150="Correctivo",AD150="Manual"),"25%",""))))))</f>
        <v>40%</v>
      </c>
      <c r="AF150" s="127" t="s">
        <v>395</v>
      </c>
      <c r="AG150" s="127" t="s">
        <v>396</v>
      </c>
      <c r="AH150" s="127" t="s">
        <v>397</v>
      </c>
      <c r="AI150" s="129">
        <f>IFERROR(IF(AB150="Probabilidad",(Q150-(+Q150*AE150)),IF(AB150="Impacto",Q150,"")),"")</f>
        <v>0.24</v>
      </c>
      <c r="AJ150" s="130" t="str">
        <f>IFERROR(IF(AI150="","",IF(AI150&lt;=0.2,"Muy Baja",IF(AI150&lt;=0.4,"Baja",IF(AI150&lt;=0.6,"Media",IF(AI150&lt;=0.8,"Alta","Muy Alta"))))),"")</f>
        <v>Baja</v>
      </c>
      <c r="AK150" s="128">
        <f>+AI150</f>
        <v>0.24</v>
      </c>
      <c r="AL150" s="130" t="str">
        <f>IFERROR(IF(AM150="","",IF(AM150&lt;=0.2,"Leve",IF(AM150&lt;=0.4,"Menor",IF(AM150&lt;=0.6,"Moderado",IF(AM150&lt;=0.8,"Mayor","Catastrófico"))))),"")</f>
        <v>Leve</v>
      </c>
      <c r="AM150" s="128">
        <f t="shared" ref="AM150" si="221">IFERROR(IF(AB150="Impacto",(U150-(+U150*AE150)),IF(AB150="Probabilidad",U150,"")),"")</f>
        <v>0.2</v>
      </c>
      <c r="AN150" s="131" t="str">
        <f>IFERROR(IF(OR(AND(AJ150="Muy Baja",AL150="Leve"),AND(AJ150="Muy Baja",AL150="Menor"),AND(AJ150="Baja",AL150="Leve")),"Bajo",IF(OR(AND(AJ150="Muy baja",AL150="Moderado"),AND(AJ150="Baja",AL150="Menor"),AND(AJ150="Baja",AL150="Moderado"),AND(AJ150="Media",AL150="Leve"),AND(AJ150="Media",AL150="Menor"),AND(AJ150="Media",AL150="Moderado"),AND(AJ150="Alta",AL150="Leve"),AND(AJ150="Alta",AL150="Menor")),"Moderado",IF(OR(AND(AJ150="Muy Baja",AL150="Mayor"),AND(AJ150="Baja",AL150="Mayor"),AND(AJ150="Media",AL150="Mayor"),AND(AJ150="Alta",AL150="Moderado"),AND(AJ150="Alta",AL150="Mayor"),AND(AJ150="Muy Alta",AL150="Leve"),AND(AJ150="Muy Alta",AL150="Menor"),AND(AJ150="Muy Alta",AL150="Moderado"),AND(AJ150="Muy Alta",AL150="Mayor")),"Alto",IF(OR(AND(AJ150="Muy Baja",AL150="Catastrófico"),AND(AJ150="Baja",AL150="Catastrófico"),AND(AJ150="Media",AL150="Catastrófico"),AND(AJ150="Alta",AL150="Catastrófico"),AND(AJ150="Muy Alta",AL150="Catastrófico")),"Extremo","")))),"")</f>
        <v>Bajo</v>
      </c>
      <c r="AO150" s="132" t="s">
        <v>43</v>
      </c>
      <c r="AP150" s="156" t="s">
        <v>1116</v>
      </c>
      <c r="AQ150" s="156" t="s">
        <v>1098</v>
      </c>
      <c r="AR150" s="156" t="s">
        <v>1117</v>
      </c>
      <c r="AS150" s="156" t="s">
        <v>1088</v>
      </c>
      <c r="AT150" s="374" t="s">
        <v>1199</v>
      </c>
      <c r="AU150" s="374" t="s">
        <v>1200</v>
      </c>
      <c r="AV150" s="374" t="s">
        <v>1098</v>
      </c>
    </row>
    <row r="151" spans="1:48" ht="15" customHeight="1" x14ac:dyDescent="0.2">
      <c r="A151" s="398"/>
      <c r="B151" s="399"/>
      <c r="C151" s="400"/>
      <c r="D151" s="400"/>
      <c r="E151" s="400"/>
      <c r="F151" s="400"/>
      <c r="G151" s="401"/>
      <c r="H151" s="400"/>
      <c r="I151" s="403"/>
      <c r="J151" s="403"/>
      <c r="K151" s="403"/>
      <c r="L151" s="403"/>
      <c r="M151" s="403"/>
      <c r="N151" s="403"/>
      <c r="O151" s="416"/>
      <c r="P151" s="417"/>
      <c r="Q151" s="405"/>
      <c r="R151" s="406"/>
      <c r="S151" s="405">
        <f>IF(NOT(ISERROR(MATCH(R151,_xlfn.ANCHORARRAY(G162),0))),Q164&amp;"Por favor no seleccionar los criterios de impacto",R151)</f>
        <v>0</v>
      </c>
      <c r="T151" s="417"/>
      <c r="U151" s="405"/>
      <c r="V151" s="418"/>
      <c r="W151" s="149">
        <v>2</v>
      </c>
      <c r="X151" s="149"/>
      <c r="Y151" s="149"/>
      <c r="Z151" s="149"/>
      <c r="AA151" s="174" t="str">
        <f t="shared" si="202"/>
        <v xml:space="preserve">  </v>
      </c>
      <c r="AB151" s="126" t="str">
        <f>IF(OR(AC151="Preventivo",AC151="Detectivo"),"Probabilidad",IF(AC151="Correctivo","Impacto",""))</f>
        <v/>
      </c>
      <c r="AC151" s="127"/>
      <c r="AD151" s="127"/>
      <c r="AE151" s="128" t="str">
        <f t="shared" ref="AE151:AE155" si="222">IF(AND(AC151="Preventivo",AD151="Automático"),"50%",IF(AND(AC151="Preventivo",AD151="Manual"),"40%",IF(AND(AC151="Detectivo",AD151="Automático"),"40%",IF(AND(AC151="Detectivo",AD151="Manual"),"30%",IF(AND(AC151="Correctivo",AD151="Automático"),"35%",IF(AND(AC151="Correctivo",AD151="Manual"),"25%",""))))))</f>
        <v/>
      </c>
      <c r="AF151" s="127"/>
      <c r="AG151" s="127"/>
      <c r="AH151" s="127"/>
      <c r="AI151" s="129" t="str">
        <f>IFERROR(IF(AND(AB150="Probabilidad",AB151="Probabilidad"),(AK150-(+AK150*AE151)),IF(AB151="Probabilidad",(Q150-(+Q150*AE151)),IF(AB151="Impacto",AK150,""))),"")</f>
        <v/>
      </c>
      <c r="AJ151" s="130" t="str">
        <f t="shared" si="204"/>
        <v/>
      </c>
      <c r="AK151" s="128" t="str">
        <f t="shared" ref="AK151:AK155" si="223">+AI151</f>
        <v/>
      </c>
      <c r="AL151" s="130" t="str">
        <f t="shared" si="206"/>
        <v/>
      </c>
      <c r="AM151" s="128" t="str">
        <f t="shared" ref="AM151" si="224">IFERROR(IF(AND(AB150="Impacto",AB151="Impacto"),(AM150-(+AM150*AE151)),IF(AB151="Impacto",($T$13-(+$T$13*AE151)),IF(AB151="Probabilidad",AM150,""))),"")</f>
        <v/>
      </c>
      <c r="AN151" s="131" t="str">
        <f t="shared" ref="AN151:AN152" si="225">IFERROR(IF(OR(AND(AJ151="Muy Baja",AL151="Leve"),AND(AJ151="Muy Baja",AL151="Menor"),AND(AJ151="Baja",AL151="Leve")),"Bajo",IF(OR(AND(AJ151="Muy baja",AL151="Moderado"),AND(AJ151="Baja",AL151="Menor"),AND(AJ151="Baja",AL151="Moderado"),AND(AJ151="Media",AL151="Leve"),AND(AJ151="Media",AL151="Menor"),AND(AJ151="Media",AL151="Moderado"),AND(AJ151="Alta",AL151="Leve"),AND(AJ151="Alta",AL151="Menor")),"Moderado",IF(OR(AND(AJ151="Muy Baja",AL151="Mayor"),AND(AJ151="Baja",AL151="Mayor"),AND(AJ151="Media",AL151="Mayor"),AND(AJ151="Alta",AL151="Moderado"),AND(AJ151="Alta",AL151="Mayor"),AND(AJ151="Muy Alta",AL151="Leve"),AND(AJ151="Muy Alta",AL151="Menor"),AND(AJ151="Muy Alta",AL151="Moderado"),AND(AJ151="Muy Alta",AL151="Mayor")),"Alto",IF(OR(AND(AJ151="Muy Baja",AL151="Catastrófico"),AND(AJ151="Baja",AL151="Catastrófico"),AND(AJ151="Media",AL151="Catastrófico"),AND(AJ151="Alta",AL151="Catastrófico"),AND(AJ151="Muy Alta",AL151="Catastrófico")),"Extremo","")))),"")</f>
        <v/>
      </c>
      <c r="AO151" s="132"/>
      <c r="AP151" s="375"/>
      <c r="AQ151" s="376"/>
      <c r="AR151" s="376"/>
      <c r="AS151" s="376"/>
    </row>
    <row r="152" spans="1:48" ht="15" customHeight="1" x14ac:dyDescent="0.2">
      <c r="A152" s="398"/>
      <c r="B152" s="399"/>
      <c r="C152" s="400"/>
      <c r="D152" s="400"/>
      <c r="E152" s="400"/>
      <c r="F152" s="400"/>
      <c r="G152" s="401"/>
      <c r="H152" s="400"/>
      <c r="I152" s="403"/>
      <c r="J152" s="403"/>
      <c r="K152" s="403"/>
      <c r="L152" s="403"/>
      <c r="M152" s="403"/>
      <c r="N152" s="403"/>
      <c r="O152" s="416"/>
      <c r="P152" s="417"/>
      <c r="Q152" s="405"/>
      <c r="R152" s="406"/>
      <c r="S152" s="405">
        <f>IF(NOT(ISERROR(MATCH(R152,_xlfn.ANCHORARRAY(G163),0))),Q165&amp;"Por favor no seleccionar los criterios de impacto",R152)</f>
        <v>0</v>
      </c>
      <c r="T152" s="417"/>
      <c r="U152" s="405"/>
      <c r="V152" s="418"/>
      <c r="W152" s="149">
        <v>3</v>
      </c>
      <c r="X152" s="149"/>
      <c r="Y152" s="149"/>
      <c r="Z152" s="149"/>
      <c r="AA152" s="174" t="str">
        <f t="shared" si="202"/>
        <v xml:space="preserve">  </v>
      </c>
      <c r="AB152" s="126" t="str">
        <f>IF(OR(AC152="Preventivo",AC152="Detectivo"),"Probabilidad",IF(AC152="Correctivo","Impacto",""))</f>
        <v/>
      </c>
      <c r="AC152" s="127"/>
      <c r="AD152" s="127"/>
      <c r="AE152" s="128" t="str">
        <f t="shared" si="222"/>
        <v/>
      </c>
      <c r="AF152" s="127"/>
      <c r="AG152" s="127"/>
      <c r="AH152" s="127"/>
      <c r="AI152" s="129" t="str">
        <f>IFERROR(IF(AND(AB151="Probabilidad",AB152="Probabilidad"),(AK151-(+AK151*AE152)),IF(AND(AB151="Impacto",AB152="Probabilidad"),(AK150-(+AK150*AE152)),IF(AB152="Impacto",AK151,""))),"")</f>
        <v/>
      </c>
      <c r="AJ152" s="130" t="str">
        <f t="shared" si="204"/>
        <v/>
      </c>
      <c r="AK152" s="128" t="str">
        <f t="shared" si="223"/>
        <v/>
      </c>
      <c r="AL152" s="130" t="str">
        <f t="shared" si="206"/>
        <v/>
      </c>
      <c r="AM152" s="128" t="str">
        <f t="shared" ref="AM152" si="226">IFERROR(IF(AND(AB151="Impacto",AB152="Impacto"),(AM151-(+AM151*AE152)),IF(AND(AB151="Probabilidad",AB152="Impacto"),(AM150-(+AM150*AE152)),IF(AB152="Probabilidad",AM151,""))),"")</f>
        <v/>
      </c>
      <c r="AN152" s="131" t="str">
        <f t="shared" si="225"/>
        <v/>
      </c>
      <c r="AO152" s="132"/>
      <c r="AP152" s="125"/>
      <c r="AQ152" s="133"/>
      <c r="AR152" s="133"/>
      <c r="AS152" s="134"/>
    </row>
    <row r="153" spans="1:48" ht="15" customHeight="1" x14ac:dyDescent="0.2">
      <c r="A153" s="398"/>
      <c r="B153" s="399"/>
      <c r="C153" s="400"/>
      <c r="D153" s="400"/>
      <c r="E153" s="400"/>
      <c r="F153" s="400"/>
      <c r="G153" s="401"/>
      <c r="H153" s="400"/>
      <c r="I153" s="403"/>
      <c r="J153" s="403"/>
      <c r="K153" s="403"/>
      <c r="L153" s="403"/>
      <c r="M153" s="403"/>
      <c r="N153" s="403"/>
      <c r="O153" s="416"/>
      <c r="P153" s="417"/>
      <c r="Q153" s="405"/>
      <c r="R153" s="406"/>
      <c r="S153" s="405">
        <f>IF(NOT(ISERROR(MATCH(R153,_xlfn.ANCHORARRAY(G164),0))),Q166&amp;"Por favor no seleccionar los criterios de impacto",R153)</f>
        <v>0</v>
      </c>
      <c r="T153" s="417"/>
      <c r="U153" s="405"/>
      <c r="V153" s="418"/>
      <c r="W153" s="149">
        <v>4</v>
      </c>
      <c r="X153" s="149"/>
      <c r="Y153" s="149"/>
      <c r="Z153" s="149"/>
      <c r="AA153" s="174" t="str">
        <f t="shared" si="202"/>
        <v xml:space="preserve">  </v>
      </c>
      <c r="AB153" s="126" t="str">
        <f t="shared" ref="AB153:AB155" si="227">IF(OR(AC153="Preventivo",AC153="Detectivo"),"Probabilidad",IF(AC153="Correctivo","Impacto",""))</f>
        <v/>
      </c>
      <c r="AC153" s="127"/>
      <c r="AD153" s="127"/>
      <c r="AE153" s="128" t="str">
        <f t="shared" si="222"/>
        <v/>
      </c>
      <c r="AF153" s="127"/>
      <c r="AG153" s="127"/>
      <c r="AH153" s="127"/>
      <c r="AI153" s="129" t="str">
        <f t="shared" ref="AI153:AI155" si="228">IFERROR(IF(AND(AB152="Probabilidad",AB153="Probabilidad"),(AK152-(+AK152*AE153)),IF(AND(AB152="Impacto",AB153="Probabilidad"),(AK151-(+AK151*AE153)),IF(AB153="Impacto",AK152,""))),"")</f>
        <v/>
      </c>
      <c r="AJ153" s="130" t="str">
        <f t="shared" si="204"/>
        <v/>
      </c>
      <c r="AK153" s="128" t="str">
        <f t="shared" si="223"/>
        <v/>
      </c>
      <c r="AL153" s="130" t="str">
        <f t="shared" si="206"/>
        <v/>
      </c>
      <c r="AM153" s="128" t="str">
        <f t="shared" si="216"/>
        <v/>
      </c>
      <c r="AN153" s="131" t="str">
        <f>IFERROR(IF(OR(AND(AJ153="Muy Baja",AL153="Leve"),AND(AJ153="Muy Baja",AL153="Menor"),AND(AJ153="Baja",AL153="Leve")),"Bajo",IF(OR(AND(AJ153="Muy baja",AL153="Moderado"),AND(AJ153="Baja",AL153="Menor"),AND(AJ153="Baja",AL153="Moderado"),AND(AJ153="Media",AL153="Leve"),AND(AJ153="Media",AL153="Menor"),AND(AJ153="Media",AL153="Moderado"),AND(AJ153="Alta",AL153="Leve"),AND(AJ153="Alta",AL153="Menor")),"Moderado",IF(OR(AND(AJ153="Muy Baja",AL153="Mayor"),AND(AJ153="Baja",AL153="Mayor"),AND(AJ153="Media",AL153="Mayor"),AND(AJ153="Alta",AL153="Moderado"),AND(AJ153="Alta",AL153="Mayor"),AND(AJ153="Muy Alta",AL153="Leve"),AND(AJ153="Muy Alta",AL153="Menor"),AND(AJ153="Muy Alta",AL153="Moderado"),AND(AJ153="Muy Alta",AL153="Mayor")),"Alto",IF(OR(AND(AJ153="Muy Baja",AL153="Catastrófico"),AND(AJ153="Baja",AL153="Catastrófico"),AND(AJ153="Media",AL153="Catastrófico"),AND(AJ153="Alta",AL153="Catastrófico"),AND(AJ153="Muy Alta",AL153="Catastrófico")),"Extremo","")))),"")</f>
        <v/>
      </c>
      <c r="AO153" s="132"/>
      <c r="AP153" s="125"/>
      <c r="AQ153" s="133"/>
      <c r="AR153" s="133"/>
      <c r="AS153" s="134"/>
    </row>
    <row r="154" spans="1:48" ht="15" customHeight="1" x14ac:dyDescent="0.2">
      <c r="A154" s="398"/>
      <c r="B154" s="399"/>
      <c r="C154" s="400"/>
      <c r="D154" s="400"/>
      <c r="E154" s="400"/>
      <c r="F154" s="400"/>
      <c r="G154" s="401"/>
      <c r="H154" s="400"/>
      <c r="I154" s="403"/>
      <c r="J154" s="403"/>
      <c r="K154" s="403"/>
      <c r="L154" s="403"/>
      <c r="M154" s="403"/>
      <c r="N154" s="403"/>
      <c r="O154" s="416"/>
      <c r="P154" s="417"/>
      <c r="Q154" s="405"/>
      <c r="R154" s="406"/>
      <c r="S154" s="405">
        <f>IF(NOT(ISERROR(MATCH(R154,_xlfn.ANCHORARRAY(G165),0))),Q167&amp;"Por favor no seleccionar los criterios de impacto",R154)</f>
        <v>0</v>
      </c>
      <c r="T154" s="417"/>
      <c r="U154" s="405"/>
      <c r="V154" s="418"/>
      <c r="W154" s="149">
        <v>5</v>
      </c>
      <c r="X154" s="149"/>
      <c r="Y154" s="149"/>
      <c r="Z154" s="149"/>
      <c r="AA154" s="174" t="str">
        <f t="shared" si="202"/>
        <v xml:space="preserve">  </v>
      </c>
      <c r="AB154" s="126" t="str">
        <f t="shared" si="227"/>
        <v/>
      </c>
      <c r="AC154" s="127"/>
      <c r="AD154" s="127"/>
      <c r="AE154" s="128" t="str">
        <f t="shared" si="222"/>
        <v/>
      </c>
      <c r="AF154" s="127"/>
      <c r="AG154" s="127"/>
      <c r="AH154" s="127"/>
      <c r="AI154" s="129" t="str">
        <f t="shared" si="228"/>
        <v/>
      </c>
      <c r="AJ154" s="130" t="str">
        <f t="shared" si="204"/>
        <v/>
      </c>
      <c r="AK154" s="128" t="str">
        <f t="shared" si="223"/>
        <v/>
      </c>
      <c r="AL154" s="130" t="str">
        <f t="shared" si="206"/>
        <v/>
      </c>
      <c r="AM154" s="128" t="str">
        <f t="shared" si="216"/>
        <v/>
      </c>
      <c r="AN154" s="131" t="str">
        <f t="shared" ref="AN154:AN155" si="229">IFERROR(IF(OR(AND(AJ154="Muy Baja",AL154="Leve"),AND(AJ154="Muy Baja",AL154="Menor"),AND(AJ154="Baja",AL154="Leve")),"Bajo",IF(OR(AND(AJ154="Muy baja",AL154="Moderado"),AND(AJ154="Baja",AL154="Menor"),AND(AJ154="Baja",AL154="Moderado"),AND(AJ154="Media",AL154="Leve"),AND(AJ154="Media",AL154="Menor"),AND(AJ154="Media",AL154="Moderado"),AND(AJ154="Alta",AL154="Leve"),AND(AJ154="Alta",AL154="Menor")),"Moderado",IF(OR(AND(AJ154="Muy Baja",AL154="Mayor"),AND(AJ154="Baja",AL154="Mayor"),AND(AJ154="Media",AL154="Mayor"),AND(AJ154="Alta",AL154="Moderado"),AND(AJ154="Alta",AL154="Mayor"),AND(AJ154="Muy Alta",AL154="Leve"),AND(AJ154="Muy Alta",AL154="Menor"),AND(AJ154="Muy Alta",AL154="Moderado"),AND(AJ154="Muy Alta",AL154="Mayor")),"Alto",IF(OR(AND(AJ154="Muy Baja",AL154="Catastrófico"),AND(AJ154="Baja",AL154="Catastrófico"),AND(AJ154="Media",AL154="Catastrófico"),AND(AJ154="Alta",AL154="Catastrófico"),AND(AJ154="Muy Alta",AL154="Catastrófico")),"Extremo","")))),"")</f>
        <v/>
      </c>
      <c r="AO154" s="132"/>
      <c r="AP154" s="125"/>
      <c r="AQ154" s="133"/>
      <c r="AR154" s="133"/>
      <c r="AS154" s="134"/>
    </row>
    <row r="155" spans="1:48" ht="15" customHeight="1" x14ac:dyDescent="0.2">
      <c r="A155" s="398"/>
      <c r="B155" s="399"/>
      <c r="C155" s="400"/>
      <c r="D155" s="400"/>
      <c r="E155" s="400"/>
      <c r="F155" s="400"/>
      <c r="G155" s="401"/>
      <c r="H155" s="400"/>
      <c r="I155" s="404"/>
      <c r="J155" s="404"/>
      <c r="K155" s="404"/>
      <c r="L155" s="404"/>
      <c r="M155" s="404"/>
      <c r="N155" s="404"/>
      <c r="O155" s="416"/>
      <c r="P155" s="417"/>
      <c r="Q155" s="405"/>
      <c r="R155" s="406"/>
      <c r="S155" s="405">
        <f>IF(NOT(ISERROR(MATCH(R155,_xlfn.ANCHORARRAY(G166),0))),Q168&amp;"Por favor no seleccionar los criterios de impacto",R155)</f>
        <v>0</v>
      </c>
      <c r="T155" s="417"/>
      <c r="U155" s="405"/>
      <c r="V155" s="418"/>
      <c r="W155" s="149">
        <v>6</v>
      </c>
      <c r="X155" s="149"/>
      <c r="Y155" s="149"/>
      <c r="Z155" s="149"/>
      <c r="AA155" s="174" t="str">
        <f t="shared" si="202"/>
        <v xml:space="preserve">  </v>
      </c>
      <c r="AB155" s="126" t="str">
        <f t="shared" si="227"/>
        <v/>
      </c>
      <c r="AC155" s="127"/>
      <c r="AD155" s="127"/>
      <c r="AE155" s="128" t="str">
        <f t="shared" si="222"/>
        <v/>
      </c>
      <c r="AF155" s="127"/>
      <c r="AG155" s="127"/>
      <c r="AH155" s="127"/>
      <c r="AI155" s="129" t="str">
        <f t="shared" si="228"/>
        <v/>
      </c>
      <c r="AJ155" s="130" t="str">
        <f t="shared" si="204"/>
        <v/>
      </c>
      <c r="AK155" s="128" t="str">
        <f t="shared" si="223"/>
        <v/>
      </c>
      <c r="AL155" s="130" t="str">
        <f t="shared" si="206"/>
        <v/>
      </c>
      <c r="AM155" s="128" t="str">
        <f t="shared" si="216"/>
        <v/>
      </c>
      <c r="AN155" s="131" t="str">
        <f t="shared" si="229"/>
        <v/>
      </c>
      <c r="AO155" s="132"/>
      <c r="AP155" s="125"/>
      <c r="AQ155" s="133"/>
      <c r="AR155" s="133"/>
      <c r="AS155" s="134"/>
    </row>
    <row r="156" spans="1:48" ht="80.25" customHeight="1" x14ac:dyDescent="0.2">
      <c r="A156" s="398">
        <v>25</v>
      </c>
      <c r="B156" s="399" t="s">
        <v>558</v>
      </c>
      <c r="C156" s="400" t="s">
        <v>36</v>
      </c>
      <c r="D156" s="400" t="s">
        <v>1120</v>
      </c>
      <c r="E156" s="400" t="s">
        <v>1121</v>
      </c>
      <c r="F156" s="400" t="s">
        <v>1067</v>
      </c>
      <c r="G156" s="401" t="str">
        <f t="shared" ref="G156" si="230">+CONCATENATE(C156," ",D156," ",E156)</f>
        <v>Posibilidad de afectación económica por hurto o sustracción de elementos 
debido a falta de control en el ingreso y salida de bienes de la entidad sin la verificacion y acompañamiento del personal de seguridad de la entidad.</v>
      </c>
      <c r="H156" s="400" t="s">
        <v>391</v>
      </c>
      <c r="I156" s="402" t="s">
        <v>59</v>
      </c>
      <c r="J156" s="402" t="s">
        <v>1122</v>
      </c>
      <c r="K156" s="402" t="s">
        <v>1201</v>
      </c>
      <c r="L156" s="402" t="s">
        <v>1123</v>
      </c>
      <c r="M156" s="402" t="s">
        <v>55</v>
      </c>
      <c r="N156" s="402" t="s">
        <v>46</v>
      </c>
      <c r="O156" s="416">
        <v>365</v>
      </c>
      <c r="P156" s="417" t="str">
        <f>IF(O156&lt;=0,"",IF(O156&lt;=2,"Muy Baja",IF(O156&lt;=24,"Baja",IF(O156&lt;=500,"Media",IF(O156&lt;=5000,"Alta","Muy Alta")))))</f>
        <v>Media</v>
      </c>
      <c r="Q156" s="405">
        <f>IF(P156="","",IF(P156="Muy Baja",0.2,IF(P156="Baja",0.4,IF(P156="Media",0.6,IF(P156="Alta",0.8,IF(P156="Muy Alta",1,))))))</f>
        <v>0.6</v>
      </c>
      <c r="R156" s="406" t="s">
        <v>513</v>
      </c>
      <c r="S156" s="405" t="str">
        <f>IF(NOT(ISERROR(MATCH(R156,'[4]Tabla Impacto'!$B$245:$B$247,0))),'[4]Tabla Impacto'!$F$224&amp;"Por favor no seleccionar los criterios de impacto(Afectación Económica o presupuestal y Pérdida Reputacional)",R156)</f>
        <v xml:space="preserve">     El riesgo afecta la imagen de la entidad internamente, de conocimiento general, nivel interno, de junta dircetiva y accionistas y/o de provedores</v>
      </c>
      <c r="T156" s="417" t="str">
        <f>IF(OR(S156='[4]Tabla Impacto'!$C$12,S156='[4]Tabla Impacto'!$D$12),"Leve",IF(OR(S156='[4]Tabla Impacto'!$C$13,S156='[4]Tabla Impacto'!$D$13),"Menor",IF(OR(S156='[4]Tabla Impacto'!$C$14,S156='[4]Tabla Impacto'!$D$14),"Moderado",IF(OR(S156='[4]Tabla Impacto'!$C$15,S156='[4]Tabla Impacto'!$D$15),"Mayor",IF(OR(S156='[4]Tabla Impacto'!$C$16,S156='[4]Tabla Impacto'!$D$16),"Catastrófico","")))))</f>
        <v>Menor</v>
      </c>
      <c r="U156" s="405">
        <f>IF(T156="","",IF(T156="Leve",0.2,IF(T156="Menor",0.4,IF(T156="Moderado",0.6,IF(T156="Mayor",0.8,IF(T156="Catastrófico",1,))))))</f>
        <v>0.4</v>
      </c>
      <c r="V156" s="418" t="str">
        <f>IF(OR(AND(P156="Muy Baja",T156="Leve"),AND(P156="Muy Baja",T156="Menor"),AND(P156="Baja",T156="Leve")),"Bajo",IF(OR(AND(P156="Muy baja",T156="Moderado"),AND(P156="Baja",T156="Menor"),AND(P156="Baja",T156="Moderado"),AND(P156="Media",T156="Leve"),AND(P156="Media",T156="Menor"),AND(P156="Media",T156="Moderado"),AND(P156="Alta",T156="Leve"),AND(P156="Alta",T156="Menor")),"Moderado",IF(OR(AND(P156="Muy Baja",T156="Mayor"),AND(P156="Baja",T156="Mayor"),AND(P156="Media",T156="Mayor"),AND(P156="Alta",T156="Moderado"),AND(P156="Alta",T156="Mayor"),AND(P156="Muy Alta",T156="Leve"),AND(P156="Muy Alta",T156="Menor"),AND(P156="Muy Alta",T156="Moderado"),AND(P156="Muy Alta",T156="Mayor")),"Alto",IF(OR(AND(P156="Muy Baja",T156="Catastrófico"),AND(P156="Baja",T156="Catastrófico"),AND(P156="Media",T156="Catastrófico"),AND(P156="Alta",T156="Catastrófico"),AND(P156="Muy Alta",T156="Catastrófico")),"Extremo",""))))</f>
        <v>Moderado</v>
      </c>
      <c r="W156" s="149">
        <v>1</v>
      </c>
      <c r="X156" s="182" t="s">
        <v>1124</v>
      </c>
      <c r="Y156" s="149" t="s">
        <v>52</v>
      </c>
      <c r="Z156" s="182" t="s">
        <v>1202</v>
      </c>
      <c r="AA156" s="174" t="str">
        <f t="shared" si="202"/>
        <v xml:space="preserve">
El supervisor y/o apoyo a la supervisión del contrato de vigilancia y seguridad privada Revisa 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v>
      </c>
      <c r="AB156" s="126" t="str">
        <f>IF(OR(AC156="Preventivo",AC156="Detectivo"),"Probabilidad",IF(AC156="Correctivo","Impacto",""))</f>
        <v>Probabilidad</v>
      </c>
      <c r="AC156" s="127" t="s">
        <v>398</v>
      </c>
      <c r="AD156" s="127" t="s">
        <v>394</v>
      </c>
      <c r="AE156" s="128" t="str">
        <f>IF(AND(AC156="Preventivo",AD156="Automático"),"50%",IF(AND(AC156="Preventivo",AD156="Manual"),"40%",IF(AND(AC156="Detectivo",AD156="Automático"),"40%",IF(AND(AC156="Detectivo",AD156="Manual"),"30%",IF(AND(AC156="Correctivo",AD156="Automático"),"35%",IF(AND(AC156="Correctivo",AD156="Manual"),"25%",""))))))</f>
        <v>40%</v>
      </c>
      <c r="AF156" s="127" t="s">
        <v>395</v>
      </c>
      <c r="AG156" s="127" t="s">
        <v>396</v>
      </c>
      <c r="AH156" s="127" t="s">
        <v>397</v>
      </c>
      <c r="AI156" s="129">
        <f>IFERROR(IF(AB156="Probabilidad",(Q156-(+Q156*AE156)),IF(AB156="Impacto",Q156,"")),"")</f>
        <v>0.36</v>
      </c>
      <c r="AJ156" s="130" t="str">
        <f>IFERROR(IF(AI156="","",IF(AI156&lt;=0.2,"Muy Baja",IF(AI156&lt;=0.4,"Baja",IF(AI156&lt;=0.6,"Media",IF(AI156&lt;=0.8,"Alta","Muy Alta"))))),"")</f>
        <v>Baja</v>
      </c>
      <c r="AK156" s="128">
        <f>+AI156</f>
        <v>0.36</v>
      </c>
      <c r="AL156" s="130" t="str">
        <f>IFERROR(IF(AM156="","",IF(AM156&lt;=0.2,"Leve",IF(AM156&lt;=0.4,"Menor",IF(AM156&lt;=0.6,"Moderado",IF(AM156&lt;=0.8,"Mayor","Catastrófico"))))),"")</f>
        <v>Menor</v>
      </c>
      <c r="AM156" s="128">
        <f t="shared" ref="AM156" si="231">IFERROR(IF(AB156="Impacto",(U156-(+U156*AE156)),IF(AB156="Probabilidad",U156,"")),"")</f>
        <v>0.4</v>
      </c>
      <c r="AN156" s="131" t="str">
        <f>IFERROR(IF(OR(AND(AJ156="Muy Baja",AL156="Leve"),AND(AJ156="Muy Baja",AL156="Menor"),AND(AJ156="Baja",AL156="Leve")),"Bajo",IF(OR(AND(AJ156="Muy baja",AL156="Moderado"),AND(AJ156="Baja",AL156="Menor"),AND(AJ156="Baja",AL156="Moderado"),AND(AJ156="Media",AL156="Leve"),AND(AJ156="Media",AL156="Menor"),AND(AJ156="Media",AL156="Moderado"),AND(AJ156="Alta",AL156="Leve"),AND(AJ156="Alta",AL156="Menor")),"Moderado",IF(OR(AND(AJ156="Muy Baja",AL156="Mayor"),AND(AJ156="Baja",AL156="Mayor"),AND(AJ156="Media",AL156="Mayor"),AND(AJ156="Alta",AL156="Moderado"),AND(AJ156="Alta",AL156="Mayor"),AND(AJ156="Muy Alta",AL156="Leve"),AND(AJ156="Muy Alta",AL156="Menor"),AND(AJ156="Muy Alta",AL156="Moderado"),AND(AJ156="Muy Alta",AL156="Mayor")),"Alto",IF(OR(AND(AJ156="Muy Baja",AL156="Catastrófico"),AND(AJ156="Baja",AL156="Catastrófico"),AND(AJ156="Media",AL156="Catastrófico"),AND(AJ156="Alta",AL156="Catastrófico"),AND(AJ156="Muy Alta",AL156="Catastrófico")),"Extremo","")))),"")</f>
        <v>Moderado</v>
      </c>
      <c r="AO156" s="132" t="s">
        <v>43</v>
      </c>
      <c r="AP156" s="125" t="s">
        <v>1125</v>
      </c>
      <c r="AQ156" s="125" t="s">
        <v>1080</v>
      </c>
      <c r="AR156" s="125" t="s">
        <v>1126</v>
      </c>
      <c r="AS156" s="335" t="s">
        <v>1127</v>
      </c>
      <c r="AT156" s="374" t="s">
        <v>1118</v>
      </c>
      <c r="AU156" s="374" t="s">
        <v>1119</v>
      </c>
      <c r="AV156" s="374" t="s">
        <v>1098</v>
      </c>
    </row>
    <row r="157" spans="1:48" ht="15" customHeight="1" x14ac:dyDescent="0.2">
      <c r="A157" s="398"/>
      <c r="B157" s="399"/>
      <c r="C157" s="400"/>
      <c r="D157" s="400"/>
      <c r="E157" s="400"/>
      <c r="F157" s="400"/>
      <c r="G157" s="401"/>
      <c r="H157" s="400"/>
      <c r="I157" s="403"/>
      <c r="J157" s="403"/>
      <c r="K157" s="403"/>
      <c r="L157" s="403"/>
      <c r="M157" s="403"/>
      <c r="N157" s="403"/>
      <c r="O157" s="416"/>
      <c r="P157" s="417"/>
      <c r="Q157" s="405"/>
      <c r="R157" s="406"/>
      <c r="S157" s="405">
        <f>IF(NOT(ISERROR(MATCH(R157,_xlfn.ANCHORARRAY(G168),0))),Q170&amp;"Por favor no seleccionar los criterios de impacto",R157)</f>
        <v>0</v>
      </c>
      <c r="T157" s="417"/>
      <c r="U157" s="405"/>
      <c r="V157" s="418"/>
      <c r="W157" s="149">
        <v>2</v>
      </c>
      <c r="X157" s="149"/>
      <c r="Y157" s="149"/>
      <c r="Z157" s="149"/>
      <c r="AA157" s="174" t="str">
        <f t="shared" si="202"/>
        <v xml:space="preserve">  </v>
      </c>
      <c r="AB157" s="126" t="str">
        <f>IF(OR(AC157="Preventivo",AC157="Detectivo"),"Probabilidad",IF(AC157="Correctivo","Impacto",""))</f>
        <v/>
      </c>
      <c r="AC157" s="127"/>
      <c r="AD157" s="127"/>
      <c r="AE157" s="128" t="str">
        <f t="shared" ref="AE157:AE161" si="232">IF(AND(AC157="Preventivo",AD157="Automático"),"50%",IF(AND(AC157="Preventivo",AD157="Manual"),"40%",IF(AND(AC157="Detectivo",AD157="Automático"),"40%",IF(AND(AC157="Detectivo",AD157="Manual"),"30%",IF(AND(AC157="Correctivo",AD157="Automático"),"35%",IF(AND(AC157="Correctivo",AD157="Manual"),"25%",""))))))</f>
        <v/>
      </c>
      <c r="AF157" s="127"/>
      <c r="AG157" s="127"/>
      <c r="AH157" s="127"/>
      <c r="AI157" s="129" t="str">
        <f>IFERROR(IF(AND(AB156="Probabilidad",AB157="Probabilidad"),(AK156-(+AK156*AE157)),IF(AB157="Probabilidad",(Q156-(+Q156*AE157)),IF(AB157="Impacto",AK156,""))),"")</f>
        <v/>
      </c>
      <c r="AJ157" s="130" t="str">
        <f t="shared" si="204"/>
        <v/>
      </c>
      <c r="AK157" s="128" t="str">
        <f t="shared" ref="AK157:AK161" si="233">+AI157</f>
        <v/>
      </c>
      <c r="AL157" s="130" t="str">
        <f t="shared" si="206"/>
        <v/>
      </c>
      <c r="AM157" s="128" t="str">
        <f t="shared" ref="AM157" si="234">IFERROR(IF(AND(AB156="Impacto",AB157="Impacto"),(AM156-(+AM156*AE157)),IF(AB157="Impacto",($T$13-(+$T$13*AE157)),IF(AB157="Probabilidad",AM156,""))),"")</f>
        <v/>
      </c>
      <c r="AN157" s="131" t="str">
        <f t="shared" ref="AN157:AN158" si="235">IFERROR(IF(OR(AND(AJ157="Muy Baja",AL157="Leve"),AND(AJ157="Muy Baja",AL157="Menor"),AND(AJ157="Baja",AL157="Leve")),"Bajo",IF(OR(AND(AJ157="Muy baja",AL157="Moderado"),AND(AJ157="Baja",AL157="Menor"),AND(AJ157="Baja",AL157="Moderado"),AND(AJ157="Media",AL157="Leve"),AND(AJ157="Media",AL157="Menor"),AND(AJ157="Media",AL157="Moderado"),AND(AJ157="Alta",AL157="Leve"),AND(AJ157="Alta",AL157="Menor")),"Moderado",IF(OR(AND(AJ157="Muy Baja",AL157="Mayor"),AND(AJ157="Baja",AL157="Mayor"),AND(AJ157="Media",AL157="Mayor"),AND(AJ157="Alta",AL157="Moderado"),AND(AJ157="Alta",AL157="Mayor"),AND(AJ157="Muy Alta",AL157="Leve"),AND(AJ157="Muy Alta",AL157="Menor"),AND(AJ157="Muy Alta",AL157="Moderado"),AND(AJ157="Muy Alta",AL157="Mayor")),"Alto",IF(OR(AND(AJ157="Muy Baja",AL157="Catastrófico"),AND(AJ157="Baja",AL157="Catastrófico"),AND(AJ157="Media",AL157="Catastrófico"),AND(AJ157="Alta",AL157="Catastrófico"),AND(AJ157="Muy Alta",AL157="Catastrófico")),"Extremo","")))),"")</f>
        <v/>
      </c>
      <c r="AO157" s="132"/>
      <c r="AP157" s="125"/>
      <c r="AQ157" s="133"/>
      <c r="AR157" s="133"/>
      <c r="AS157" s="134"/>
    </row>
    <row r="158" spans="1:48" ht="15" customHeight="1" x14ac:dyDescent="0.2">
      <c r="A158" s="398"/>
      <c r="B158" s="399"/>
      <c r="C158" s="400"/>
      <c r="D158" s="400"/>
      <c r="E158" s="400"/>
      <c r="F158" s="400"/>
      <c r="G158" s="401"/>
      <c r="H158" s="400"/>
      <c r="I158" s="403"/>
      <c r="J158" s="403"/>
      <c r="K158" s="403"/>
      <c r="L158" s="403"/>
      <c r="M158" s="403"/>
      <c r="N158" s="403"/>
      <c r="O158" s="416"/>
      <c r="P158" s="417"/>
      <c r="Q158" s="405"/>
      <c r="R158" s="406"/>
      <c r="S158" s="405">
        <f>IF(NOT(ISERROR(MATCH(R158,_xlfn.ANCHORARRAY(G169),0))),Q171&amp;"Por favor no seleccionar los criterios de impacto",R158)</f>
        <v>0</v>
      </c>
      <c r="T158" s="417"/>
      <c r="U158" s="405"/>
      <c r="V158" s="418"/>
      <c r="W158" s="149">
        <v>3</v>
      </c>
      <c r="X158" s="149"/>
      <c r="Y158" s="149"/>
      <c r="Z158" s="149"/>
      <c r="AA158" s="174" t="str">
        <f t="shared" si="202"/>
        <v xml:space="preserve">  </v>
      </c>
      <c r="AB158" s="126" t="str">
        <f>IF(OR(AC158="Preventivo",AC158="Detectivo"),"Probabilidad",IF(AC158="Correctivo","Impacto",""))</f>
        <v/>
      </c>
      <c r="AC158" s="127"/>
      <c r="AD158" s="127"/>
      <c r="AE158" s="128" t="str">
        <f t="shared" si="232"/>
        <v/>
      </c>
      <c r="AF158" s="127"/>
      <c r="AG158" s="127"/>
      <c r="AH158" s="127"/>
      <c r="AI158" s="129" t="str">
        <f>IFERROR(IF(AND(AB157="Probabilidad",AB158="Probabilidad"),(AK157-(+AK157*AE158)),IF(AND(AB157="Impacto",AB158="Probabilidad"),(AK156-(+AK156*AE158)),IF(AB158="Impacto",AK157,""))),"")</f>
        <v/>
      </c>
      <c r="AJ158" s="130" t="str">
        <f t="shared" si="204"/>
        <v/>
      </c>
      <c r="AK158" s="128" t="str">
        <f t="shared" si="233"/>
        <v/>
      </c>
      <c r="AL158" s="130" t="str">
        <f t="shared" si="206"/>
        <v/>
      </c>
      <c r="AM158" s="128" t="str">
        <f t="shared" ref="AM158" si="236">IFERROR(IF(AND(AB157="Impacto",AB158="Impacto"),(AM157-(+AM157*AE158)),IF(AND(AB157="Probabilidad",AB158="Impacto"),(AM156-(+AM156*AE158)),IF(AB158="Probabilidad",AM157,""))),"")</f>
        <v/>
      </c>
      <c r="AN158" s="131" t="str">
        <f t="shared" si="235"/>
        <v/>
      </c>
      <c r="AO158" s="132"/>
      <c r="AP158" s="125"/>
      <c r="AQ158" s="133"/>
      <c r="AR158" s="133"/>
      <c r="AS158" s="134"/>
    </row>
    <row r="159" spans="1:48" ht="15" customHeight="1" x14ac:dyDescent="0.2">
      <c r="A159" s="398"/>
      <c r="B159" s="399"/>
      <c r="C159" s="400"/>
      <c r="D159" s="400"/>
      <c r="E159" s="400"/>
      <c r="F159" s="400"/>
      <c r="G159" s="401"/>
      <c r="H159" s="400"/>
      <c r="I159" s="403"/>
      <c r="J159" s="403"/>
      <c r="K159" s="403"/>
      <c r="L159" s="403"/>
      <c r="M159" s="403"/>
      <c r="N159" s="403"/>
      <c r="O159" s="416"/>
      <c r="P159" s="417"/>
      <c r="Q159" s="405"/>
      <c r="R159" s="406"/>
      <c r="S159" s="405">
        <f>IF(NOT(ISERROR(MATCH(R159,_xlfn.ANCHORARRAY(G170),0))),Q172&amp;"Por favor no seleccionar los criterios de impacto",R159)</f>
        <v>0</v>
      </c>
      <c r="T159" s="417"/>
      <c r="U159" s="405"/>
      <c r="V159" s="418"/>
      <c r="W159" s="149">
        <v>4</v>
      </c>
      <c r="X159" s="149"/>
      <c r="Y159" s="149"/>
      <c r="Z159" s="149"/>
      <c r="AA159" s="174" t="str">
        <f t="shared" si="202"/>
        <v xml:space="preserve">  </v>
      </c>
      <c r="AB159" s="126" t="str">
        <f t="shared" ref="AB159:AB161" si="237">IF(OR(AC159="Preventivo",AC159="Detectivo"),"Probabilidad",IF(AC159="Correctivo","Impacto",""))</f>
        <v/>
      </c>
      <c r="AC159" s="127"/>
      <c r="AD159" s="127"/>
      <c r="AE159" s="128" t="str">
        <f t="shared" si="232"/>
        <v/>
      </c>
      <c r="AF159" s="127"/>
      <c r="AG159" s="127"/>
      <c r="AH159" s="127"/>
      <c r="AI159" s="129" t="str">
        <f t="shared" ref="AI159:AI161" si="238">IFERROR(IF(AND(AB158="Probabilidad",AB159="Probabilidad"),(AK158-(+AK158*AE159)),IF(AND(AB158="Impacto",AB159="Probabilidad"),(AK157-(+AK157*AE159)),IF(AB159="Impacto",AK158,""))),"")</f>
        <v/>
      </c>
      <c r="AJ159" s="130" t="str">
        <f t="shared" si="204"/>
        <v/>
      </c>
      <c r="AK159" s="128" t="str">
        <f t="shared" si="233"/>
        <v/>
      </c>
      <c r="AL159" s="130" t="str">
        <f t="shared" si="206"/>
        <v/>
      </c>
      <c r="AM159" s="128" t="str">
        <f t="shared" si="216"/>
        <v/>
      </c>
      <c r="AN159" s="131" t="str">
        <f>IFERROR(IF(OR(AND(AJ159="Muy Baja",AL159="Leve"),AND(AJ159="Muy Baja",AL159="Menor"),AND(AJ159="Baja",AL159="Leve")),"Bajo",IF(OR(AND(AJ159="Muy baja",AL159="Moderado"),AND(AJ159="Baja",AL159="Menor"),AND(AJ159="Baja",AL159="Moderado"),AND(AJ159="Media",AL159="Leve"),AND(AJ159="Media",AL159="Menor"),AND(AJ159="Media",AL159="Moderado"),AND(AJ159="Alta",AL159="Leve"),AND(AJ159="Alta",AL159="Menor")),"Moderado",IF(OR(AND(AJ159="Muy Baja",AL159="Mayor"),AND(AJ159="Baja",AL159="Mayor"),AND(AJ159="Media",AL159="Mayor"),AND(AJ159="Alta",AL159="Moderado"),AND(AJ159="Alta",AL159="Mayor"),AND(AJ159="Muy Alta",AL159="Leve"),AND(AJ159="Muy Alta",AL159="Menor"),AND(AJ159="Muy Alta",AL159="Moderado"),AND(AJ159="Muy Alta",AL159="Mayor")),"Alto",IF(OR(AND(AJ159="Muy Baja",AL159="Catastrófico"),AND(AJ159="Baja",AL159="Catastrófico"),AND(AJ159="Media",AL159="Catastrófico"),AND(AJ159="Alta",AL159="Catastrófico"),AND(AJ159="Muy Alta",AL159="Catastrófico")),"Extremo","")))),"")</f>
        <v/>
      </c>
      <c r="AO159" s="132"/>
      <c r="AP159" s="125"/>
      <c r="AQ159" s="133"/>
      <c r="AR159" s="133"/>
      <c r="AS159" s="134"/>
    </row>
    <row r="160" spans="1:48" ht="15" customHeight="1" x14ac:dyDescent="0.2">
      <c r="A160" s="398"/>
      <c r="B160" s="399"/>
      <c r="C160" s="400"/>
      <c r="D160" s="400"/>
      <c r="E160" s="400"/>
      <c r="F160" s="400"/>
      <c r="G160" s="401"/>
      <c r="H160" s="400"/>
      <c r="I160" s="403"/>
      <c r="J160" s="403"/>
      <c r="K160" s="403"/>
      <c r="L160" s="403"/>
      <c r="M160" s="403"/>
      <c r="N160" s="403"/>
      <c r="O160" s="416"/>
      <c r="P160" s="417"/>
      <c r="Q160" s="405"/>
      <c r="R160" s="406"/>
      <c r="S160" s="405">
        <f>IF(NOT(ISERROR(MATCH(R160,_xlfn.ANCHORARRAY(G171),0))),Q173&amp;"Por favor no seleccionar los criterios de impacto",R160)</f>
        <v>0</v>
      </c>
      <c r="T160" s="417"/>
      <c r="U160" s="405"/>
      <c r="V160" s="418"/>
      <c r="W160" s="149">
        <v>5</v>
      </c>
      <c r="X160" s="149"/>
      <c r="Y160" s="149"/>
      <c r="Z160" s="149"/>
      <c r="AA160" s="174" t="str">
        <f t="shared" si="202"/>
        <v xml:space="preserve">  </v>
      </c>
      <c r="AB160" s="126" t="str">
        <f t="shared" si="237"/>
        <v/>
      </c>
      <c r="AC160" s="127"/>
      <c r="AD160" s="127"/>
      <c r="AE160" s="128" t="str">
        <f t="shared" si="232"/>
        <v/>
      </c>
      <c r="AF160" s="127"/>
      <c r="AG160" s="127"/>
      <c r="AH160" s="127"/>
      <c r="AI160" s="129" t="str">
        <f t="shared" si="238"/>
        <v/>
      </c>
      <c r="AJ160" s="130" t="str">
        <f>IFERROR(IF(AI160="","",IF(AI160&lt;=0.2,"Muy Baja",IF(AI160&lt;=0.4,"Baja",IF(AI160&lt;=0.6,"Media",IF(AI160&lt;=0.8,"Alta","Muy Alta"))))),"")</f>
        <v/>
      </c>
      <c r="AK160" s="128" t="str">
        <f t="shared" si="233"/>
        <v/>
      </c>
      <c r="AL160" s="130" t="str">
        <f t="shared" si="206"/>
        <v/>
      </c>
      <c r="AM160" s="128" t="str">
        <f t="shared" si="216"/>
        <v/>
      </c>
      <c r="AN160" s="131" t="str">
        <f t="shared" ref="AN160:AN161" si="239">IFERROR(IF(OR(AND(AJ160="Muy Baja",AL160="Leve"),AND(AJ160="Muy Baja",AL160="Menor"),AND(AJ160="Baja",AL160="Leve")),"Bajo",IF(OR(AND(AJ160="Muy baja",AL160="Moderado"),AND(AJ160="Baja",AL160="Menor"),AND(AJ160="Baja",AL160="Moderado"),AND(AJ160="Media",AL160="Leve"),AND(AJ160="Media",AL160="Menor"),AND(AJ160="Media",AL160="Moderado"),AND(AJ160="Alta",AL160="Leve"),AND(AJ160="Alta",AL160="Menor")),"Moderado",IF(OR(AND(AJ160="Muy Baja",AL160="Mayor"),AND(AJ160="Baja",AL160="Mayor"),AND(AJ160="Media",AL160="Mayor"),AND(AJ160="Alta",AL160="Moderado"),AND(AJ160="Alta",AL160="Mayor"),AND(AJ160="Muy Alta",AL160="Leve"),AND(AJ160="Muy Alta",AL160="Menor"),AND(AJ160="Muy Alta",AL160="Moderado"),AND(AJ160="Muy Alta",AL160="Mayor")),"Alto",IF(OR(AND(AJ160="Muy Baja",AL160="Catastrófico"),AND(AJ160="Baja",AL160="Catastrófico"),AND(AJ160="Media",AL160="Catastrófico"),AND(AJ160="Alta",AL160="Catastrófico"),AND(AJ160="Muy Alta",AL160="Catastrófico")),"Extremo","")))),"")</f>
        <v/>
      </c>
      <c r="AO160" s="132"/>
      <c r="AP160" s="125"/>
      <c r="AQ160" s="133"/>
      <c r="AR160" s="133"/>
      <c r="AS160" s="134"/>
    </row>
    <row r="161" spans="1:48" ht="15" customHeight="1" x14ac:dyDescent="0.2">
      <c r="A161" s="398"/>
      <c r="B161" s="399"/>
      <c r="C161" s="400"/>
      <c r="D161" s="400"/>
      <c r="E161" s="400"/>
      <c r="F161" s="400"/>
      <c r="G161" s="401"/>
      <c r="H161" s="400"/>
      <c r="I161" s="404"/>
      <c r="J161" s="404"/>
      <c r="K161" s="404"/>
      <c r="L161" s="404"/>
      <c r="M161" s="404"/>
      <c r="N161" s="404"/>
      <c r="O161" s="416"/>
      <c r="P161" s="417"/>
      <c r="Q161" s="405"/>
      <c r="R161" s="406"/>
      <c r="S161" s="405">
        <f>IF(NOT(ISERROR(MATCH(R161,_xlfn.ANCHORARRAY(G172),0))),Q174&amp;"Por favor no seleccionar los criterios de impacto",R161)</f>
        <v>0</v>
      </c>
      <c r="T161" s="417"/>
      <c r="U161" s="405"/>
      <c r="V161" s="418"/>
      <c r="W161" s="149">
        <v>6</v>
      </c>
      <c r="X161" s="149"/>
      <c r="Y161" s="149"/>
      <c r="Z161" s="149"/>
      <c r="AA161" s="174" t="str">
        <f t="shared" si="202"/>
        <v xml:space="preserve">  </v>
      </c>
      <c r="AB161" s="126" t="str">
        <f t="shared" si="237"/>
        <v/>
      </c>
      <c r="AC161" s="127"/>
      <c r="AD161" s="127"/>
      <c r="AE161" s="128" t="str">
        <f t="shared" si="232"/>
        <v/>
      </c>
      <c r="AF161" s="127"/>
      <c r="AG161" s="127"/>
      <c r="AH161" s="127"/>
      <c r="AI161" s="129" t="str">
        <f t="shared" si="238"/>
        <v/>
      </c>
      <c r="AJ161" s="130" t="str">
        <f t="shared" si="204"/>
        <v/>
      </c>
      <c r="AK161" s="128" t="str">
        <f t="shared" si="233"/>
        <v/>
      </c>
      <c r="AL161" s="130" t="str">
        <f t="shared" si="206"/>
        <v/>
      </c>
      <c r="AM161" s="128" t="str">
        <f t="shared" si="216"/>
        <v/>
      </c>
      <c r="AN161" s="131" t="str">
        <f t="shared" si="239"/>
        <v/>
      </c>
      <c r="AO161" s="132"/>
      <c r="AP161" s="125"/>
      <c r="AQ161" s="133"/>
      <c r="AR161" s="133"/>
      <c r="AS161" s="134"/>
    </row>
    <row r="162" spans="1:48" ht="43.5" customHeight="1" x14ac:dyDescent="0.2">
      <c r="A162" s="398">
        <v>26</v>
      </c>
      <c r="B162" s="399" t="s">
        <v>559</v>
      </c>
      <c r="C162" s="400" t="s">
        <v>36</v>
      </c>
      <c r="D162" s="400" t="s">
        <v>1128</v>
      </c>
      <c r="E162" s="400" t="s">
        <v>1129</v>
      </c>
      <c r="F162" s="400" t="s">
        <v>1130</v>
      </c>
      <c r="G162" s="401" t="str">
        <f t="shared" ref="G162" si="240">+CONCATENATE(C162," ",D162," ",E162)</f>
        <v>Posibilidad de afectación económica Por Sanción de un ente regulador al incumplir con la legislacion ambiental vigente aplicable a la entidad  Debido a: Desconocimiento en los lineamientos por parte de los colaboradores del equipo ambiental y Deficiencia en el seguimiento y control de los criterios ambientales en los diferentes procesos
Inadecuada implementación de las medidas de control y seguimiento ambiental en las sedes de la Entidad</v>
      </c>
      <c r="H162" s="400" t="s">
        <v>391</v>
      </c>
      <c r="I162" s="402" t="s">
        <v>59</v>
      </c>
      <c r="J162" s="402" t="s">
        <v>1131</v>
      </c>
      <c r="K162" s="402" t="s">
        <v>852</v>
      </c>
      <c r="L162" s="402" t="s">
        <v>1132</v>
      </c>
      <c r="M162" s="402" t="s">
        <v>77</v>
      </c>
      <c r="N162" s="402" t="s">
        <v>46</v>
      </c>
      <c r="O162" s="416">
        <v>8</v>
      </c>
      <c r="P162" s="417" t="str">
        <f>IF(O162&lt;=0,"",IF(O162&lt;=2,"Muy Baja",IF(O162&lt;=24,"Baja",IF(O162&lt;=500,"Media",IF(O162&lt;=5000,"Alta","Muy Alta")))))</f>
        <v>Baja</v>
      </c>
      <c r="Q162" s="405">
        <f>IF(P162="","",IF(P162="Muy Baja",0.2,IF(P162="Baja",0.4,IF(P162="Media",0.6,IF(P162="Alta",0.8,IF(P162="Muy Alta",1,))))))</f>
        <v>0.4</v>
      </c>
      <c r="R162" s="406" t="s">
        <v>428</v>
      </c>
      <c r="S162" s="405" t="str">
        <f>IF(NOT(ISERROR(MATCH(R162,'[5]Tabla Impacto'!$B$245:$B$247,0))),'[5]Tabla Impacto'!$F$224&amp;"Por favor no seleccionar los criterios de impacto(Afectación Económica o presupuestal y Pérdida Reputacional)",R162)</f>
        <v xml:space="preserve">     El riesgo afecta la imagen de la entidad con algunos usuarios de relevancia frente al logro de los objetivos</v>
      </c>
      <c r="T162" s="407" t="str">
        <f>IF(OR(S162='[5]Tabla Impacto'!$C$12,S162='[5]Tabla Impacto'!$D$12),"Leve",IF(OR(S162='[5]Tabla Impacto'!$C$13,S162='[5]Tabla Impacto'!$D$13),"Menor",IF(OR(S162='[5]Tabla Impacto'!$C$14,S162='[5]Tabla Impacto'!$D$14),"Moderado",IF(OR(S162='[5]Tabla Impacto'!$C$15,S162='[5]Tabla Impacto'!$D$15),"Mayor",IF(OR(S162='[5]Tabla Impacto'!$C$16,S162='[5]Tabla Impacto'!$D$16),"Catastrófico","")))))</f>
        <v>Moderado</v>
      </c>
      <c r="U162" s="410">
        <f>IF(T162="","",IF(T162="Leve",0.2,IF(T162="Menor",0.4,IF(T162="Moderado",0.6,IF(T162="Mayor",0.8,IF(T162="Catastrófico",1,))))))</f>
        <v>0.6</v>
      </c>
      <c r="V162" s="413" t="str">
        <f>IF(OR(AND(P162="Muy Baja",T162="Leve"),AND(P162="Muy Baja",T162="Menor"),AND(P162="Baja",T162="Leve")),"Bajo",IF(OR(AND(P162="Muy baja",T162="Moderado"),AND(P162="Baja",T162="Menor"),AND(P162="Baja",T162="Moderado"),AND(P162="Media",T162="Leve"),AND(P162="Media",T162="Menor"),AND(P162="Media",T162="Moderado"),AND(P162="Alta",T162="Leve"),AND(P162="Alta",T162="Menor")),"Moderado",IF(OR(AND(P162="Muy Baja",T162="Mayor"),AND(P162="Baja",T162="Mayor"),AND(P162="Media",T162="Mayor"),AND(P162="Alta",T162="Moderado"),AND(P162="Alta",T162="Mayor"),AND(P162="Muy Alta",T162="Leve"),AND(P162="Muy Alta",T162="Menor"),AND(P162="Muy Alta",T162="Moderado"),AND(P162="Muy Alta",T162="Mayor")),"Alto",IF(OR(AND(P162="Muy Baja",T162="Catastrófico"),AND(P162="Baja",T162="Catastrófico"),AND(P162="Media",T162="Catastrófico"),AND(P162="Alta",T162="Catastrófico"),AND(P162="Muy Alta",T162="Catastrófico")),"Extremo",""))))</f>
        <v>Moderado</v>
      </c>
      <c r="W162" s="149">
        <v>1</v>
      </c>
      <c r="X162" s="345" t="s">
        <v>1133</v>
      </c>
      <c r="Y162" s="149" t="s">
        <v>37</v>
      </c>
      <c r="Z162" s="346" t="s">
        <v>1134</v>
      </c>
      <c r="AA162" s="304" t="str">
        <f t="shared" ref="AA162:AA173" si="241">+CONCATENATE(X162," ",Y162," ",Z162)</f>
        <v>El jefe de Oficina de Servicio a la Ciudadanía y Sostenibilidad designa a los coordinadores (as) GAM para Verifica bimestralmente que se cumplan las sensibilizaciones sobre los lineamientos ambientales establecidos en el cronograma a y el nivel de apropiación de la sensibilización. 
Como evidencia queda el análisis de los resultados de las encuestas realizadas en las sensibilizaciones, en caso que los resultados de la encuesta no superen el 70% se repite la sensibilización.</v>
      </c>
      <c r="AB162" s="126" t="str">
        <f>IF(OR(AC162="Preventivo",AC162="Detectivo"),"Probabilidad",IF(AC162="Correctivo","Impacto",""))</f>
        <v>Probabilidad</v>
      </c>
      <c r="AC162" s="127" t="s">
        <v>398</v>
      </c>
      <c r="AD162" s="127" t="s">
        <v>394</v>
      </c>
      <c r="AE162" s="128" t="str">
        <f>IF(AND(AC162="Preventivo",AD162="Automático"),"50%",IF(AND(AC162="Preventivo",AD162="Manual"),"40%",IF(AND(AC162="Detectivo",AD162="Automático"),"40%",IF(AND(AC162="Detectivo",AD162="Manual"),"30%",IF(AND(AC162="Correctivo",AD162="Automático"),"35%",IF(AND(AC162="Correctivo",AD162="Manual"),"25%",""))))))</f>
        <v>40%</v>
      </c>
      <c r="AF162" s="127" t="s">
        <v>395</v>
      </c>
      <c r="AG162" s="127" t="s">
        <v>396</v>
      </c>
      <c r="AH162" s="127" t="s">
        <v>397</v>
      </c>
      <c r="AI162" s="129">
        <f>IFERROR(IF(AB162="Probabilidad",(Q162-(+Q162*AE162)),IF(AB162="Impacto",Q162,"")),"")</f>
        <v>0.24</v>
      </c>
      <c r="AJ162" s="130" t="str">
        <f>IFERROR(IF(AI162="","",IF(AI162&lt;=0.2,"Muy Baja",IF(AI162&lt;=0.4,"Baja",IF(AI162&lt;=0.6,"Media",IF(AI162&lt;=0.8,"Alta","Muy Alta"))))),"")</f>
        <v>Baja</v>
      </c>
      <c r="AK162" s="128">
        <f>+AI162</f>
        <v>0.24</v>
      </c>
      <c r="AL162" s="130" t="str">
        <f>IFERROR(IF(AM162="","",IF(AM162&lt;=0.2,"Leve",IF(AM162&lt;=0.4,"Menor",IF(AM162&lt;=0.6,"Moderado",IF(AM162&lt;=0.8,"Mayor","Catastrófico"))))),"")</f>
        <v>Moderado</v>
      </c>
      <c r="AM162" s="128">
        <f t="shared" ref="AM162" si="242">IFERROR(IF(AB162="Impacto",(U162-(+U162*AE162)),IF(AB162="Probabilidad",U162,"")),"")</f>
        <v>0.6</v>
      </c>
      <c r="AN162" s="131" t="str">
        <f>IFERROR(IF(OR(AND(AJ162="Muy Baja",AL162="Leve"),AND(AJ162="Muy Baja",AL162="Menor"),AND(AJ162="Baja",AL162="Leve")),"Bajo",IF(OR(AND(AJ162="Muy baja",AL162="Moderado"),AND(AJ162="Baja",AL162="Menor"),AND(AJ162="Baja",AL162="Moderado"),AND(AJ162="Media",AL162="Leve"),AND(AJ162="Media",AL162="Menor"),AND(AJ162="Media",AL162="Moderado"),AND(AJ162="Alta",AL162="Leve"),AND(AJ162="Alta",AL162="Menor")),"Moderado",IF(OR(AND(AJ162="Muy Baja",AL162="Mayor"),AND(AJ162="Baja",AL162="Mayor"),AND(AJ162="Media",AL162="Mayor"),AND(AJ162="Alta",AL162="Moderado"),AND(AJ162="Alta",AL162="Mayor"),AND(AJ162="Muy Alta",AL162="Leve"),AND(AJ162="Muy Alta",AL162="Menor"),AND(AJ162="Muy Alta",AL162="Moderado"),AND(AJ162="Muy Alta",AL162="Mayor")),"Alto",IF(OR(AND(AJ162="Muy Baja",AL162="Catastrófico"),AND(AJ162="Baja",AL162="Catastrófico"),AND(AJ162="Media",AL162="Catastrófico"),AND(AJ162="Alta",AL162="Catastrófico"),AND(AJ162="Muy Alta",AL162="Catastrófico")),"Extremo","")))),"")</f>
        <v>Moderado</v>
      </c>
      <c r="AO162" s="132"/>
      <c r="AP162" s="304" t="s">
        <v>1135</v>
      </c>
      <c r="AQ162" s="304" t="s">
        <v>1136</v>
      </c>
      <c r="AR162" s="304" t="s">
        <v>1137</v>
      </c>
      <c r="AS162" s="347" t="s">
        <v>1138</v>
      </c>
      <c r="AT162" s="400" t="s">
        <v>1139</v>
      </c>
      <c r="AU162" s="400" t="s">
        <v>1140</v>
      </c>
      <c r="AV162" s="400" t="s">
        <v>1141</v>
      </c>
    </row>
    <row r="163" spans="1:48" ht="43.5" customHeight="1" x14ac:dyDescent="0.2">
      <c r="A163" s="398"/>
      <c r="B163" s="399"/>
      <c r="C163" s="400"/>
      <c r="D163" s="400"/>
      <c r="E163" s="400"/>
      <c r="F163" s="400"/>
      <c r="G163" s="401"/>
      <c r="H163" s="400"/>
      <c r="I163" s="403"/>
      <c r="J163" s="403"/>
      <c r="K163" s="403"/>
      <c r="L163" s="403"/>
      <c r="M163" s="403"/>
      <c r="N163" s="403"/>
      <c r="O163" s="416"/>
      <c r="P163" s="417"/>
      <c r="Q163" s="405"/>
      <c r="R163" s="406"/>
      <c r="S163" s="405">
        <f>IF(NOT(ISERROR(MATCH(R163,_xlfn.ANCHORARRAY(G174),0))),Q176&amp;"Por favor no seleccionar los criterios de impacto",R163)</f>
        <v>0</v>
      </c>
      <c r="T163" s="408"/>
      <c r="U163" s="411"/>
      <c r="V163" s="414"/>
      <c r="W163" s="149">
        <v>2</v>
      </c>
      <c r="X163" s="345" t="s">
        <v>1142</v>
      </c>
      <c r="Y163" s="149" t="s">
        <v>52</v>
      </c>
      <c r="Z163" s="346" t="s">
        <v>1143</v>
      </c>
      <c r="AA163" s="304" t="str">
        <f t="shared" si="241"/>
        <v>Los coordinadores (as) GAM y el  jefe de Oficina de Servicio a la Ciudadanía y Sostenibilidad Revisa bimestral los puntos de control y evidencias de aplicación de requisitos legales  establecidos en el normograma del proceso, de tal manera que se estén llevando a cabo y que la información sea verás en la mesa de apoyo del CIDG para el componente ambiental.  Como evidencia queda el acta de reunión de la revisión efectuada. 
En caso que se identifiquen anomalías en el cumplimiento del normograma, se informa en esta mesa de apoyo del CIGD para el componente ambiental, en donde se toman las acciones pertinentes  a mas tardar 10 días después de realizada la reunión.</v>
      </c>
      <c r="AB163" s="126" t="str">
        <f>IF(OR(AC163="Preventivo",AC163="Detectivo"),"Probabilidad",IF(AC163="Correctivo","Impacto",""))</f>
        <v>Probabilidad</v>
      </c>
      <c r="AC163" s="127" t="s">
        <v>393</v>
      </c>
      <c r="AD163" s="127" t="s">
        <v>394</v>
      </c>
      <c r="AE163" s="128" t="str">
        <f t="shared" ref="AE163:AE167" si="243">IF(AND(AC163="Preventivo",AD163="Automático"),"50%",IF(AND(AC163="Preventivo",AD163="Manual"),"40%",IF(AND(AC163="Detectivo",AD163="Automático"),"40%",IF(AND(AC163="Detectivo",AD163="Manual"),"30%",IF(AND(AC163="Correctivo",AD163="Automático"),"35%",IF(AND(AC163="Correctivo",AD163="Manual"),"25%",""))))))</f>
        <v>30%</v>
      </c>
      <c r="AF163" s="127" t="s">
        <v>395</v>
      </c>
      <c r="AG163" s="127" t="s">
        <v>396</v>
      </c>
      <c r="AH163" s="127" t="s">
        <v>397</v>
      </c>
      <c r="AI163" s="129">
        <f>IFERROR(IF(AND(AB162="Probabilidad",AB163="Probabilidad"),(AK162-(+AK162*AE163)),IF(AB163="Probabilidad",(Q162-(+Q162*AE163)),IF(AB163="Impacto",AK162,""))),"")</f>
        <v>0.16799999999999998</v>
      </c>
      <c r="AJ163" s="130" t="str">
        <f t="shared" ref="AJ163:AJ167" si="244">IFERROR(IF(AI163="","",IF(AI163&lt;=0.2,"Muy Baja",IF(AI163&lt;=0.4,"Baja",IF(AI163&lt;=0.6,"Media",IF(AI163&lt;=0.8,"Alta","Muy Alta"))))),"")</f>
        <v>Muy Baja</v>
      </c>
      <c r="AK163" s="128">
        <f t="shared" ref="AK163:AK167" si="245">+AI163</f>
        <v>0.16799999999999998</v>
      </c>
      <c r="AL163" s="130" t="str">
        <f t="shared" ref="AL163:AL167" si="246">IFERROR(IF(AM163="","",IF(AM163&lt;=0.2,"Leve",IF(AM163&lt;=0.4,"Menor",IF(AM163&lt;=0.6,"Moderado",IF(AM163&lt;=0.8,"Mayor","Catastrófico"))))),"")</f>
        <v>Moderado</v>
      </c>
      <c r="AM163" s="128">
        <f t="shared" ref="AM163" si="247">IFERROR(IF(AND(AB162="Impacto",AB163="Impacto"),(AM162-(+AM162*AE163)),IF(AB163="Impacto",($U$10-(+$U$10*AE163)),IF(AB163="Probabilidad",AM162,""))),"")</f>
        <v>0.6</v>
      </c>
      <c r="AN163" s="131" t="str">
        <f t="shared" ref="AN163:AN164" si="248">IFERROR(IF(OR(AND(AJ163="Muy Baja",AL163="Leve"),AND(AJ163="Muy Baja",AL163="Menor"),AND(AJ163="Baja",AL163="Leve")),"Bajo",IF(OR(AND(AJ163="Muy baja",AL163="Moderado"),AND(AJ163="Baja",AL163="Menor"),AND(AJ163="Baja",AL163="Moderado"),AND(AJ163="Media",AL163="Leve"),AND(AJ163="Media",AL163="Menor"),AND(AJ163="Media",AL163="Moderado"),AND(AJ163="Alta",AL163="Leve"),AND(AJ163="Alta",AL163="Menor")),"Moderado",IF(OR(AND(AJ163="Muy Baja",AL163="Mayor"),AND(AJ163="Baja",AL163="Mayor"),AND(AJ163="Media",AL163="Mayor"),AND(AJ163="Alta",AL163="Moderado"),AND(AJ163="Alta",AL163="Mayor"),AND(AJ163="Muy Alta",AL163="Leve"),AND(AJ163="Muy Alta",AL163="Menor"),AND(AJ163="Muy Alta",AL163="Moderado"),AND(AJ163="Muy Alta",AL163="Mayor")),"Alto",IF(OR(AND(AJ163="Muy Baja",AL163="Catastrófico"),AND(AJ163="Baja",AL163="Catastrófico"),AND(AJ163="Media",AL163="Catastrófico"),AND(AJ163="Alta",AL163="Catastrófico"),AND(AJ163="Muy Alta",AL163="Catastrófico")),"Extremo","")))),"")</f>
        <v>Moderado</v>
      </c>
      <c r="AO163" s="132"/>
      <c r="AP163" s="304" t="s">
        <v>1144</v>
      </c>
      <c r="AQ163" s="304" t="s">
        <v>1136</v>
      </c>
      <c r="AR163" s="304" t="s">
        <v>1145</v>
      </c>
      <c r="AS163" s="347" t="s">
        <v>1146</v>
      </c>
      <c r="AT163" s="400"/>
      <c r="AU163" s="400"/>
      <c r="AV163" s="400"/>
    </row>
    <row r="164" spans="1:48" ht="43.5" customHeight="1" x14ac:dyDescent="0.2">
      <c r="A164" s="398"/>
      <c r="B164" s="399"/>
      <c r="C164" s="400"/>
      <c r="D164" s="400"/>
      <c r="E164" s="400"/>
      <c r="F164" s="400"/>
      <c r="G164" s="401"/>
      <c r="H164" s="400"/>
      <c r="I164" s="403"/>
      <c r="J164" s="403"/>
      <c r="K164" s="403"/>
      <c r="L164" s="403"/>
      <c r="M164" s="403"/>
      <c r="N164" s="403"/>
      <c r="O164" s="416"/>
      <c r="P164" s="417"/>
      <c r="Q164" s="405"/>
      <c r="R164" s="406"/>
      <c r="S164" s="405">
        <f>IF(NOT(ISERROR(MATCH(R164,_xlfn.ANCHORARRAY(G175),0))),Q177&amp;"Por favor no seleccionar los criterios de impacto",R164)</f>
        <v>0</v>
      </c>
      <c r="T164" s="408"/>
      <c r="U164" s="411"/>
      <c r="V164" s="414"/>
      <c r="W164" s="149">
        <v>3</v>
      </c>
      <c r="X164" s="182" t="s">
        <v>1147</v>
      </c>
      <c r="Y164" s="149" t="s">
        <v>41</v>
      </c>
      <c r="Z164" s="149" t="s">
        <v>1148</v>
      </c>
      <c r="AA164" s="304" t="str">
        <f t="shared" si="241"/>
        <v>Los profesionales designados por el jefe de la OSCS (Para implementar  PIGA) Valida la correcta implementación de los controles operacionales, a traves de por lo menos (2) dos visitas de seguimiento al mes a cada una de las sedes de la entidad. Lo anterior se evidenciará por medio de informe mensual del Coordinador GAM dirigido al jefe OSCS con el resultado de las visitas realizadas. 
En caso que se identifiquen anomalías se procede a informar al supervisor del contrato para tomar las medidas correctivas necesarias.</v>
      </c>
      <c r="AB164" s="126" t="str">
        <f>IF(OR(AC164="Preventivo",AC164="Detectivo"),"Probabilidad",IF(AC164="Correctivo","Impacto",""))</f>
        <v>Probabilidad</v>
      </c>
      <c r="AC164" s="127" t="s">
        <v>393</v>
      </c>
      <c r="AD164" s="127" t="s">
        <v>394</v>
      </c>
      <c r="AE164" s="128" t="str">
        <f t="shared" si="243"/>
        <v>30%</v>
      </c>
      <c r="AF164" s="127" t="s">
        <v>395</v>
      </c>
      <c r="AG164" s="127" t="s">
        <v>396</v>
      </c>
      <c r="AH164" s="127" t="s">
        <v>397</v>
      </c>
      <c r="AI164" s="129">
        <f>IFERROR(IF(AND(AB163="Probabilidad",AB164="Probabilidad"),(AK163-(+AK163*AE164)),IF(AND(AB163="Impacto",AB164="Probabilidad"),(AK162-(+AK162*AE164)),IF(AB164="Impacto",AK163,""))),"")</f>
        <v>0.11759999999999998</v>
      </c>
      <c r="AJ164" s="130" t="str">
        <f t="shared" si="244"/>
        <v>Muy Baja</v>
      </c>
      <c r="AK164" s="128">
        <f t="shared" si="245"/>
        <v>0.11759999999999998</v>
      </c>
      <c r="AL164" s="130" t="str">
        <f t="shared" si="246"/>
        <v>Moderado</v>
      </c>
      <c r="AM164" s="128">
        <f t="shared" ref="AM164:AM167" si="249">IFERROR(IF(AND(AB163="Impacto",AB164="Impacto"),(AM163-(+AM163*AE164)),IF(AND(AB163="Probabilidad",AB164="Impacto"),(AM162-(+AM162*AE164)),IF(AB164="Probabilidad",AM163,""))),"")</f>
        <v>0.6</v>
      </c>
      <c r="AN164" s="131" t="str">
        <f t="shared" si="248"/>
        <v>Moderado</v>
      </c>
      <c r="AO164" s="132" t="s">
        <v>43</v>
      </c>
      <c r="AP164" s="304"/>
      <c r="AQ164" s="304"/>
      <c r="AR164" s="304"/>
      <c r="AS164" s="304"/>
      <c r="AT164" s="400"/>
      <c r="AU164" s="400"/>
      <c r="AV164" s="400"/>
    </row>
    <row r="165" spans="1:48" x14ac:dyDescent="0.2">
      <c r="A165" s="398"/>
      <c r="B165" s="399"/>
      <c r="C165" s="400"/>
      <c r="D165" s="400"/>
      <c r="E165" s="400"/>
      <c r="F165" s="400"/>
      <c r="G165" s="401"/>
      <c r="H165" s="400"/>
      <c r="I165" s="403"/>
      <c r="J165" s="403"/>
      <c r="K165" s="403"/>
      <c r="L165" s="403"/>
      <c r="M165" s="403"/>
      <c r="N165" s="403"/>
      <c r="O165" s="416"/>
      <c r="P165" s="417"/>
      <c r="Q165" s="405"/>
      <c r="R165" s="406"/>
      <c r="S165" s="405">
        <f>IF(NOT(ISERROR(MATCH(R165,_xlfn.ANCHORARRAY(G176),0))),Q178&amp;"Por favor no seleccionar los criterios de impacto",R165)</f>
        <v>0</v>
      </c>
      <c r="T165" s="408"/>
      <c r="U165" s="411"/>
      <c r="V165" s="414"/>
      <c r="W165" s="149">
        <v>4</v>
      </c>
      <c r="X165" s="182"/>
      <c r="Y165" s="149"/>
      <c r="Z165" s="149"/>
      <c r="AA165" s="304" t="str">
        <f t="shared" si="241"/>
        <v xml:space="preserve">  </v>
      </c>
      <c r="AB165" s="126" t="str">
        <f t="shared" ref="AB165:AB167" si="250">IF(OR(AC165="Preventivo",AC165="Detectivo"),"Probabilidad",IF(AC165="Correctivo","Impacto",""))</f>
        <v/>
      </c>
      <c r="AC165" s="127"/>
      <c r="AD165" s="127"/>
      <c r="AE165" s="128" t="str">
        <f t="shared" si="243"/>
        <v/>
      </c>
      <c r="AF165" s="127"/>
      <c r="AG165" s="127"/>
      <c r="AH165" s="127"/>
      <c r="AI165" s="129" t="str">
        <f t="shared" ref="AI165:AI167" si="251">IFERROR(IF(AND(AB164="Probabilidad",AB165="Probabilidad"),(AK164-(+AK164*AE165)),IF(AND(AB164="Impacto",AB165="Probabilidad"),(AK163-(+AK163*AE165)),IF(AB165="Impacto",AK164,""))),"")</f>
        <v/>
      </c>
      <c r="AJ165" s="130" t="str">
        <f t="shared" si="244"/>
        <v/>
      </c>
      <c r="AK165" s="128" t="str">
        <f t="shared" si="245"/>
        <v/>
      </c>
      <c r="AL165" s="130" t="str">
        <f t="shared" si="246"/>
        <v/>
      </c>
      <c r="AM165" s="128" t="str">
        <f t="shared" si="249"/>
        <v/>
      </c>
      <c r="AN165" s="131" t="str">
        <f>IFERROR(IF(OR(AND(AJ165="Muy Baja",AL165="Leve"),AND(AJ165="Muy Baja",AL165="Menor"),AND(AJ165="Baja",AL165="Leve")),"Bajo",IF(OR(AND(AJ165="Muy baja",AL165="Moderado"),AND(AJ165="Baja",AL165="Menor"),AND(AJ165="Baja",AL165="Moderado"),AND(AJ165="Media",AL165="Leve"),AND(AJ165="Media",AL165="Menor"),AND(AJ165="Media",AL165="Moderado"),AND(AJ165="Alta",AL165="Leve"),AND(AJ165="Alta",AL165="Menor")),"Moderado",IF(OR(AND(AJ165="Muy Baja",AL165="Mayor"),AND(AJ165="Baja",AL165="Mayor"),AND(AJ165="Media",AL165="Mayor"),AND(AJ165="Alta",AL165="Moderado"),AND(AJ165="Alta",AL165="Mayor"),AND(AJ165="Muy Alta",AL165="Leve"),AND(AJ165="Muy Alta",AL165="Menor"),AND(AJ165="Muy Alta",AL165="Moderado"),AND(AJ165="Muy Alta",AL165="Mayor")),"Alto",IF(OR(AND(AJ165="Muy Baja",AL165="Catastrófico"),AND(AJ165="Baja",AL165="Catastrófico"),AND(AJ165="Media",AL165="Catastrófico"),AND(AJ165="Alta",AL165="Catastrófico"),AND(AJ165="Muy Alta",AL165="Catastrófico")),"Extremo","")))),"")</f>
        <v/>
      </c>
      <c r="AO165" s="132"/>
      <c r="AP165" s="304"/>
      <c r="AQ165" s="304"/>
      <c r="AR165" s="304"/>
      <c r="AS165" s="304"/>
      <c r="AT165" s="400"/>
      <c r="AU165" s="400"/>
      <c r="AV165" s="400"/>
    </row>
    <row r="166" spans="1:48" x14ac:dyDescent="0.2">
      <c r="A166" s="398"/>
      <c r="B166" s="399"/>
      <c r="C166" s="400"/>
      <c r="D166" s="400"/>
      <c r="E166" s="400"/>
      <c r="F166" s="400"/>
      <c r="G166" s="401"/>
      <c r="H166" s="400"/>
      <c r="I166" s="403"/>
      <c r="J166" s="403"/>
      <c r="K166" s="403"/>
      <c r="L166" s="403"/>
      <c r="M166" s="403"/>
      <c r="N166" s="403"/>
      <c r="O166" s="416"/>
      <c r="P166" s="417"/>
      <c r="Q166" s="405"/>
      <c r="R166" s="406"/>
      <c r="S166" s="405">
        <f>IF(NOT(ISERROR(MATCH(R166,_xlfn.ANCHORARRAY(G177),0))),Q179&amp;"Por favor no seleccionar los criterios de impacto",R166)</f>
        <v>0</v>
      </c>
      <c r="T166" s="408"/>
      <c r="U166" s="411"/>
      <c r="V166" s="414"/>
      <c r="W166" s="149">
        <v>5</v>
      </c>
      <c r="X166" s="182"/>
      <c r="Y166" s="149"/>
      <c r="Z166" s="149"/>
      <c r="AA166" s="304" t="str">
        <f t="shared" si="241"/>
        <v xml:space="preserve">  </v>
      </c>
      <c r="AB166" s="126" t="str">
        <f t="shared" si="250"/>
        <v/>
      </c>
      <c r="AC166" s="127"/>
      <c r="AD166" s="127"/>
      <c r="AE166" s="128" t="str">
        <f t="shared" si="243"/>
        <v/>
      </c>
      <c r="AF166" s="127"/>
      <c r="AG166" s="127"/>
      <c r="AH166" s="127"/>
      <c r="AI166" s="129" t="str">
        <f t="shared" si="251"/>
        <v/>
      </c>
      <c r="AJ166" s="130" t="str">
        <f t="shared" si="244"/>
        <v/>
      </c>
      <c r="AK166" s="128" t="str">
        <f t="shared" si="245"/>
        <v/>
      </c>
      <c r="AL166" s="130" t="str">
        <f t="shared" si="246"/>
        <v/>
      </c>
      <c r="AM166" s="128" t="str">
        <f t="shared" si="249"/>
        <v/>
      </c>
      <c r="AN166" s="131" t="str">
        <f t="shared" ref="AN166:AN167" si="252">IFERROR(IF(OR(AND(AJ166="Muy Baja",AL166="Leve"),AND(AJ166="Muy Baja",AL166="Menor"),AND(AJ166="Baja",AL166="Leve")),"Bajo",IF(OR(AND(AJ166="Muy baja",AL166="Moderado"),AND(AJ166="Baja",AL166="Menor"),AND(AJ166="Baja",AL166="Moderado"),AND(AJ166="Media",AL166="Leve"),AND(AJ166="Media",AL166="Menor"),AND(AJ166="Media",AL166="Moderado"),AND(AJ166="Alta",AL166="Leve"),AND(AJ166="Alta",AL166="Menor")),"Moderado",IF(OR(AND(AJ166="Muy Baja",AL166="Mayor"),AND(AJ166="Baja",AL166="Mayor"),AND(AJ166="Media",AL166="Mayor"),AND(AJ166="Alta",AL166="Moderado"),AND(AJ166="Alta",AL166="Mayor"),AND(AJ166="Muy Alta",AL166="Leve"),AND(AJ166="Muy Alta",AL166="Menor"),AND(AJ166="Muy Alta",AL166="Moderado"),AND(AJ166="Muy Alta",AL166="Mayor")),"Alto",IF(OR(AND(AJ166="Muy Baja",AL166="Catastrófico"),AND(AJ166="Baja",AL166="Catastrófico"),AND(AJ166="Media",AL166="Catastrófico"),AND(AJ166="Alta",AL166="Catastrófico"),AND(AJ166="Muy Alta",AL166="Catastrófico")),"Extremo","")))),"")</f>
        <v/>
      </c>
      <c r="AO166" s="132"/>
      <c r="AP166" s="304"/>
      <c r="AQ166" s="304"/>
      <c r="AR166" s="304"/>
      <c r="AS166" s="304"/>
      <c r="AT166" s="400"/>
      <c r="AU166" s="400"/>
      <c r="AV166" s="400"/>
    </row>
    <row r="167" spans="1:48" x14ac:dyDescent="0.2">
      <c r="A167" s="398"/>
      <c r="B167" s="399"/>
      <c r="C167" s="400"/>
      <c r="D167" s="400"/>
      <c r="E167" s="400"/>
      <c r="F167" s="400"/>
      <c r="G167" s="401"/>
      <c r="H167" s="400"/>
      <c r="I167" s="404"/>
      <c r="J167" s="404"/>
      <c r="K167" s="404"/>
      <c r="L167" s="404"/>
      <c r="M167" s="404"/>
      <c r="N167" s="404"/>
      <c r="O167" s="416"/>
      <c r="P167" s="417"/>
      <c r="Q167" s="405"/>
      <c r="R167" s="406"/>
      <c r="S167" s="405">
        <f>IF(NOT(ISERROR(MATCH(R167,_xlfn.ANCHORARRAY(G178),0))),R180&amp;"Por favor no seleccionar los criterios de impacto",R167)</f>
        <v>0</v>
      </c>
      <c r="T167" s="409"/>
      <c r="U167" s="412"/>
      <c r="V167" s="415"/>
      <c r="W167" s="149">
        <v>6</v>
      </c>
      <c r="X167" s="149"/>
      <c r="Y167" s="149"/>
      <c r="Z167" s="149"/>
      <c r="AA167" s="304" t="str">
        <f t="shared" si="241"/>
        <v xml:space="preserve">  </v>
      </c>
      <c r="AB167" s="126" t="str">
        <f t="shared" si="250"/>
        <v/>
      </c>
      <c r="AC167" s="127"/>
      <c r="AD167" s="127"/>
      <c r="AE167" s="128" t="str">
        <f t="shared" si="243"/>
        <v/>
      </c>
      <c r="AF167" s="127"/>
      <c r="AG167" s="127"/>
      <c r="AH167" s="127"/>
      <c r="AI167" s="129" t="str">
        <f t="shared" si="251"/>
        <v/>
      </c>
      <c r="AJ167" s="130" t="str">
        <f t="shared" si="244"/>
        <v/>
      </c>
      <c r="AK167" s="128" t="str">
        <f t="shared" si="245"/>
        <v/>
      </c>
      <c r="AL167" s="130" t="str">
        <f t="shared" si="246"/>
        <v/>
      </c>
      <c r="AM167" s="128" t="str">
        <f t="shared" si="249"/>
        <v/>
      </c>
      <c r="AN167" s="131" t="str">
        <f t="shared" si="252"/>
        <v/>
      </c>
      <c r="AO167" s="132"/>
      <c r="AP167" s="304"/>
      <c r="AQ167" s="304"/>
      <c r="AR167" s="304"/>
      <c r="AS167" s="304"/>
      <c r="AT167" s="400"/>
      <c r="AU167" s="400"/>
      <c r="AV167" s="400"/>
    </row>
    <row r="168" spans="1:48" ht="78" customHeight="1" x14ac:dyDescent="0.2">
      <c r="A168" s="398">
        <v>27</v>
      </c>
      <c r="B168" s="399" t="s">
        <v>559</v>
      </c>
      <c r="C168" s="400" t="s">
        <v>44</v>
      </c>
      <c r="D168" s="400" t="s">
        <v>1149</v>
      </c>
      <c r="E168" s="400" t="s">
        <v>1150</v>
      </c>
      <c r="F168" s="400" t="s">
        <v>1151</v>
      </c>
      <c r="G168" s="401" t="str">
        <f>+CONCATENATE(C168," ",D168," ",E168)</f>
        <v xml:space="preserve">Posibilidad de afectación Económica y Reputacional Por la ocurrencia de accidentes ambientales producto de actividades misionales que afecten el suelo, aire y el agua Debido a :
Debilidades en la información preventiva para evitar la presentación de accidentes ambientales. 
Exceso de confianza en la manipulacion de elementos y maquinaria durante la operacion de las actividades misionales  </v>
      </c>
      <c r="H168" s="400" t="s">
        <v>391</v>
      </c>
      <c r="I168" s="402" t="s">
        <v>62</v>
      </c>
      <c r="J168" s="402" t="s">
        <v>1152</v>
      </c>
      <c r="K168" s="402" t="s">
        <v>1153</v>
      </c>
      <c r="L168" s="402" t="s">
        <v>1154</v>
      </c>
      <c r="M168" s="402" t="s">
        <v>77</v>
      </c>
      <c r="N168" s="402" t="s">
        <v>46</v>
      </c>
      <c r="O168" s="416">
        <v>54</v>
      </c>
      <c r="P168" s="417" t="str">
        <f>IF(O168&lt;=0,"",IF(O168&lt;=2,"Muy Baja",IF(O168&lt;=24,"Baja",IF(O168&lt;=500,"Media",IF(O168&lt;=5000,"Alta","Muy Alta")))))</f>
        <v>Media</v>
      </c>
      <c r="Q168" s="405">
        <f>IF(P168="","",IF(P168="Muy Baja",0.2,IF(P168="Baja",0.4,IF(P168="Media",0.6,IF(P168="Alta",0.8,IF(P168="Muy Alta",1,))))))</f>
        <v>0.6</v>
      </c>
      <c r="R168" s="406" t="s">
        <v>428</v>
      </c>
      <c r="S168" s="405" t="str">
        <f>IF(NOT(ISERROR(MATCH(R168,'[5]Tabla Impacto'!$B$245:$B$247,0))),'[5]Tabla Impacto'!$F$224&amp;"Por favor no seleccionar los criterios de impacto(Afectación Económica o presupuestal y Pérdida Reputacional)",R168)</f>
        <v xml:space="preserve">     El riesgo afecta la imagen de la entidad con algunos usuarios de relevancia frente al logro de los objetivos</v>
      </c>
      <c r="T168" s="407" t="str">
        <f>IF(OR(S168='[5]Tabla Impacto'!$C$12,S168='[5]Tabla Impacto'!$D$12),"Leve",IF(OR(S168='[5]Tabla Impacto'!$C$13,S168='[5]Tabla Impacto'!$D$13),"Menor",IF(OR(S168='[5]Tabla Impacto'!$C$14,S168='[5]Tabla Impacto'!$D$14),"Moderado",IF(OR(S168='[5]Tabla Impacto'!$C$15,S168='[5]Tabla Impacto'!$D$15),"Mayor",IF(OR(S168='[5]Tabla Impacto'!$C$16,S168='[5]Tabla Impacto'!$D$16),"Catastrófico","")))))</f>
        <v>Moderado</v>
      </c>
      <c r="U168" s="410">
        <f>IF(T168="","",IF(T168="Leve",0.2,IF(T168="Menor",0.4,IF(T168="Moderado",0.6,IF(T168="Mayor",0.8,IF(T168="Catastrófico",1,))))))</f>
        <v>0.6</v>
      </c>
      <c r="V168" s="413" t="str">
        <f>IF(OR(AND(P168="Muy Baja",T168="Leve"),AND(P168="Muy Baja",T168="Menor"),AND(P168="Baja",T168="Leve")),"Bajo",IF(OR(AND(P168="Muy baja",T168="Moderado"),AND(P168="Baja",T168="Menor"),AND(P168="Baja",T168="Moderado"),AND(P168="Media",T168="Leve"),AND(P168="Media",T168="Menor"),AND(P168="Media",T168="Moderado"),AND(P168="Alta",T168="Leve"),AND(P168="Alta",T168="Menor")),"Moderado",IF(OR(AND(P168="Muy Baja",T168="Mayor"),AND(P168="Baja",T168="Mayor"),AND(P168="Media",T168="Mayor"),AND(P168="Alta",T168="Moderado"),AND(P168="Alta",T168="Mayor"),AND(P168="Muy Alta",T168="Leve"),AND(P168="Muy Alta",T168="Menor"),AND(P168="Muy Alta",T168="Moderado"),AND(P168="Muy Alta",T168="Mayor")),"Alto",IF(OR(AND(P168="Muy Baja",T168="Catastrófico"),AND(P168="Baja",T168="Catastrófico"),AND(P168="Media",T168="Catastrófico"),AND(P168="Alta",T168="Catastrófico"),AND(P168="Muy Alta",T168="Catastrófico")),"Extremo",""))))</f>
        <v>Moderado</v>
      </c>
      <c r="W168" s="149">
        <v>1</v>
      </c>
      <c r="X168" s="345" t="s">
        <v>1155</v>
      </c>
      <c r="Y168" s="149" t="s">
        <v>37</v>
      </c>
      <c r="Z168" s="346" t="s">
        <v>1156</v>
      </c>
      <c r="AA168" s="304" t="str">
        <f t="shared" si="241"/>
        <v>El Jefe de Oficina de Servicio a la Ciudadanía y Sostenibilidad  designa a los coordinadores (as) GAM   Verifica bimestralmente la efectividad de las sensibilizaciones impartidas sobre los lineamientos de prevención y atencion de derrames de sustancias peligrosas en sedes, la evidencia será el análisis de resultados de las evaluaciones que se realizan en las sensibilizaciones.
En caso que los resultados de la evaluación, no supere el 70% de las respuestas correctas, se repite la sensibilización.</v>
      </c>
      <c r="AB168" s="126" t="str">
        <f>IF(OR(AC168="Preventivo",AC168="Detectivo"),"Probabilidad",IF(AC168="Correctivo","Impacto",""))</f>
        <v>Probabilidad</v>
      </c>
      <c r="AC168" s="127" t="s">
        <v>398</v>
      </c>
      <c r="AD168" s="127" t="s">
        <v>394</v>
      </c>
      <c r="AE168" s="128" t="str">
        <f>IF(AND(AC168="Preventivo",AD168="Automático"),"50%",IF(AND(AC168="Preventivo",AD168="Manual"),"40%",IF(AND(AC168="Detectivo",AD168="Automático"),"40%",IF(AND(AC168="Detectivo",AD168="Manual"),"30%",IF(AND(AC168="Correctivo",AD168="Automático"),"35%",IF(AND(AC168="Correctivo",AD168="Manual"),"25%",""))))))</f>
        <v>40%</v>
      </c>
      <c r="AF168" s="127" t="s">
        <v>395</v>
      </c>
      <c r="AG168" s="127" t="s">
        <v>396</v>
      </c>
      <c r="AH168" s="127" t="s">
        <v>397</v>
      </c>
      <c r="AI168" s="129">
        <f>IFERROR(IF(AB168="Probabilidad",(Q168-(+Q168*AE168)),IF(AB168="Impacto",Q168,"")),"")</f>
        <v>0.36</v>
      </c>
      <c r="AJ168" s="130" t="str">
        <f>IFERROR(IF(AI168="","",IF(AI168&lt;=0.2,"Muy Baja",IF(AI168&lt;=0.4,"Baja",IF(AI168&lt;=0.6,"Media",IF(AI168&lt;=0.8,"Alta","Muy Alta"))))),"")</f>
        <v>Baja</v>
      </c>
      <c r="AK168" s="128">
        <f>+AI168</f>
        <v>0.36</v>
      </c>
      <c r="AL168" s="130" t="str">
        <f>IFERROR(IF(AM168="","",IF(AM168&lt;=0.2,"Leve",IF(AM168&lt;=0.4,"Menor",IF(AM168&lt;=0.6,"Moderado",IF(AM168&lt;=0.8,"Mayor","Catastrófico"))))),"")</f>
        <v>Moderado</v>
      </c>
      <c r="AM168" s="128">
        <f t="shared" ref="AM168" si="253">IFERROR(IF(AB168="Impacto",(U168-(+U168*AE168)),IF(AB168="Probabilidad",U168,"")),"")</f>
        <v>0.6</v>
      </c>
      <c r="AN168" s="131" t="str">
        <f>IFERROR(IF(OR(AND(AJ168="Muy Baja",AL168="Leve"),AND(AJ168="Muy Baja",AL168="Menor"),AND(AJ168="Baja",AL168="Leve")),"Bajo",IF(OR(AND(AJ168="Muy baja",AL168="Moderado"),AND(AJ168="Baja",AL168="Menor"),AND(AJ168="Baja",AL168="Moderado"),AND(AJ168="Media",AL168="Leve"),AND(AJ168="Media",AL168="Menor"),AND(AJ168="Media",AL168="Moderado"),AND(AJ168="Alta",AL168="Leve"),AND(AJ168="Alta",AL168="Menor")),"Moderado",IF(OR(AND(AJ168="Muy Baja",AL168="Mayor"),AND(AJ168="Baja",AL168="Mayor"),AND(AJ168="Media",AL168="Mayor"),AND(AJ168="Alta",AL168="Moderado"),AND(AJ168="Alta",AL168="Mayor"),AND(AJ168="Muy Alta",AL168="Leve"),AND(AJ168="Muy Alta",AL168="Menor"),AND(AJ168="Muy Alta",AL168="Moderado"),AND(AJ168="Muy Alta",AL168="Mayor")),"Alto",IF(OR(AND(AJ168="Muy Baja",AL168="Catastrófico"),AND(AJ168="Baja",AL168="Catastrófico"),AND(AJ168="Media",AL168="Catastrófico"),AND(AJ168="Alta",AL168="Catastrófico"),AND(AJ168="Muy Alta",AL168="Catastrófico")),"Extremo","")))),"")</f>
        <v>Moderado</v>
      </c>
      <c r="AO168" s="132"/>
      <c r="AP168" s="304" t="s">
        <v>1157</v>
      </c>
      <c r="AQ168" s="304" t="s">
        <v>1136</v>
      </c>
      <c r="AR168" s="304" t="s">
        <v>1158</v>
      </c>
      <c r="AS168" s="347" t="s">
        <v>1159</v>
      </c>
      <c r="AT168" s="400" t="s">
        <v>1139</v>
      </c>
      <c r="AU168" s="400" t="s">
        <v>1140</v>
      </c>
      <c r="AV168" s="400" t="s">
        <v>1141</v>
      </c>
    </row>
    <row r="169" spans="1:48" ht="78" customHeight="1" x14ac:dyDescent="0.2">
      <c r="A169" s="398"/>
      <c r="B169" s="399"/>
      <c r="C169" s="400"/>
      <c r="D169" s="400"/>
      <c r="E169" s="400"/>
      <c r="F169" s="400"/>
      <c r="G169" s="401"/>
      <c r="H169" s="400"/>
      <c r="I169" s="403"/>
      <c r="J169" s="403"/>
      <c r="K169" s="403"/>
      <c r="L169" s="403"/>
      <c r="M169" s="403"/>
      <c r="N169" s="403"/>
      <c r="O169" s="416"/>
      <c r="P169" s="417"/>
      <c r="Q169" s="405"/>
      <c r="R169" s="406"/>
      <c r="S169" s="405">
        <f>IF(NOT(ISERROR(MATCH(R169,_xlfn.ANCHORARRAY(H180),0))),R182&amp;"Por favor no seleccionar los criterios de impacto",R169)</f>
        <v>0</v>
      </c>
      <c r="T169" s="408"/>
      <c r="U169" s="411"/>
      <c r="V169" s="414"/>
      <c r="W169" s="149">
        <v>2</v>
      </c>
      <c r="X169" s="345" t="s">
        <v>1160</v>
      </c>
      <c r="Y169" s="149" t="s">
        <v>52</v>
      </c>
      <c r="Z169" s="346" t="s">
        <v>1161</v>
      </c>
      <c r="AA169" s="304" t="str">
        <f t="shared" si="241"/>
        <v>Los profesionales ambientales designados por el jefe OSCS Revisa las actividades de manejo de sustancias peligrosas en las sedes operativa y de producción, con el fin de evaluar prácticas y establecer si es el caso, oportunidades de mejora, a través de inspección trimestral. La evidencia son los formatos diligenciados GAM-FM-012 de las prácticas para  la prevención de accidentes ambientales.
En el caso que se evidencie prácticas inadecuadas que pueden generar un accidentes, se detine la actividad, se debe volver a socializar los lineamientos establecidos y nuevamente se aplica la herramienta.</v>
      </c>
      <c r="AB169" s="126" t="str">
        <f>IF(OR(AC169="Preventivo",AC169="Detectivo"),"Probabilidad",IF(AC169="Correctivo","Impacto",""))</f>
        <v>Probabilidad</v>
      </c>
      <c r="AC169" s="127" t="s">
        <v>393</v>
      </c>
      <c r="AD169" s="127" t="s">
        <v>394</v>
      </c>
      <c r="AE169" s="128" t="str">
        <f t="shared" ref="AE169:AE173" si="254">IF(AND(AC169="Preventivo",AD169="Automático"),"50%",IF(AND(AC169="Preventivo",AD169="Manual"),"40%",IF(AND(AC169="Detectivo",AD169="Automático"),"40%",IF(AND(AC169="Detectivo",AD169="Manual"),"30%",IF(AND(AC169="Correctivo",AD169="Automático"),"35%",IF(AND(AC169="Correctivo",AD169="Manual"),"25%",""))))))</f>
        <v>30%</v>
      </c>
      <c r="AF169" s="127" t="s">
        <v>395</v>
      </c>
      <c r="AG169" s="127" t="s">
        <v>396</v>
      </c>
      <c r="AH169" s="127" t="s">
        <v>397</v>
      </c>
      <c r="AI169" s="129">
        <f>IFERROR(IF(AND(AB168="Probabilidad",AB169="Probabilidad"),(AK168-(+AK168*AE169)),IF(AB169="Probabilidad",(Q168-(+Q168*AE169)),IF(AB169="Impacto",AK168,""))),"")</f>
        <v>0.252</v>
      </c>
      <c r="AJ169" s="130" t="str">
        <f t="shared" ref="AJ169:AJ173" si="255">IFERROR(IF(AI169="","",IF(AI169&lt;=0.2,"Muy Baja",IF(AI169&lt;=0.4,"Baja",IF(AI169&lt;=0.6,"Media",IF(AI169&lt;=0.8,"Alta","Muy Alta"))))),"")</f>
        <v>Baja</v>
      </c>
      <c r="AK169" s="128">
        <f t="shared" ref="AK169:AK173" si="256">+AI169</f>
        <v>0.252</v>
      </c>
      <c r="AL169" s="130" t="str">
        <f t="shared" ref="AL169:AL173" si="257">IFERROR(IF(AM169="","",IF(AM169&lt;=0.2,"Leve",IF(AM169&lt;=0.4,"Menor",IF(AM169&lt;=0.6,"Moderado",IF(AM169&lt;=0.8,"Mayor","Catastrófico"))))),"")</f>
        <v>Moderado</v>
      </c>
      <c r="AM169" s="128">
        <f t="shared" ref="AM169" si="258">IFERROR(IF(AND(AB168="Impacto",AB169="Impacto"),(AM168-(+AM168*AE169)),IF(AB169="Impacto",($U$10-(+$U$10*AE169)),IF(AB169="Probabilidad",AM168,""))),"")</f>
        <v>0.6</v>
      </c>
      <c r="AN169" s="131" t="str">
        <f t="shared" ref="AN169:AN170" si="259">IFERROR(IF(OR(AND(AJ169="Muy Baja",AL169="Leve"),AND(AJ169="Muy Baja",AL169="Menor"),AND(AJ169="Baja",AL169="Leve")),"Bajo",IF(OR(AND(AJ169="Muy baja",AL169="Moderado"),AND(AJ169="Baja",AL169="Menor"),AND(AJ169="Baja",AL169="Moderado"),AND(AJ169="Media",AL169="Leve"),AND(AJ169="Media",AL169="Menor"),AND(AJ169="Media",AL169="Moderado"),AND(AJ169="Alta",AL169="Leve"),AND(AJ169="Alta",AL169="Menor")),"Moderado",IF(OR(AND(AJ169="Muy Baja",AL169="Mayor"),AND(AJ169="Baja",AL169="Mayor"),AND(AJ169="Media",AL169="Mayor"),AND(AJ169="Alta",AL169="Moderado"),AND(AJ169="Alta",AL169="Mayor"),AND(AJ169="Muy Alta",AL169="Leve"),AND(AJ169="Muy Alta",AL169="Menor"),AND(AJ169="Muy Alta",AL169="Moderado"),AND(AJ169="Muy Alta",AL169="Mayor")),"Alto",IF(OR(AND(AJ169="Muy Baja",AL169="Catastrófico"),AND(AJ169="Baja",AL169="Catastrófico"),AND(AJ169="Media",AL169="Catastrófico"),AND(AJ169="Alta",AL169="Catastrófico"),AND(AJ169="Muy Alta",AL169="Catastrófico")),"Extremo","")))),"")</f>
        <v>Moderado</v>
      </c>
      <c r="AO169" s="132" t="s">
        <v>43</v>
      </c>
      <c r="AP169" s="304"/>
      <c r="AQ169" s="304"/>
      <c r="AR169" s="304"/>
      <c r="AS169" s="347"/>
      <c r="AT169" s="400"/>
      <c r="AU169" s="400"/>
      <c r="AV169" s="400"/>
    </row>
    <row r="170" spans="1:48" x14ac:dyDescent="0.2">
      <c r="A170" s="398"/>
      <c r="B170" s="399"/>
      <c r="C170" s="400"/>
      <c r="D170" s="400"/>
      <c r="E170" s="400"/>
      <c r="F170" s="400"/>
      <c r="G170" s="401"/>
      <c r="H170" s="400"/>
      <c r="I170" s="403"/>
      <c r="J170" s="403"/>
      <c r="K170" s="403"/>
      <c r="L170" s="403"/>
      <c r="M170" s="403"/>
      <c r="N170" s="403"/>
      <c r="O170" s="416"/>
      <c r="P170" s="417"/>
      <c r="Q170" s="405"/>
      <c r="R170" s="406"/>
      <c r="S170" s="405">
        <f>IF(NOT(ISERROR(MATCH(R170,_xlfn.ANCHORARRAY(H181),0))),R183&amp;"Por favor no seleccionar los criterios de impacto",R170)</f>
        <v>0</v>
      </c>
      <c r="T170" s="408"/>
      <c r="U170" s="411"/>
      <c r="V170" s="414"/>
      <c r="W170" s="149">
        <v>3</v>
      </c>
      <c r="X170" s="182"/>
      <c r="Y170" s="149"/>
      <c r="Z170" s="149"/>
      <c r="AA170" s="304" t="str">
        <f t="shared" si="241"/>
        <v xml:space="preserve">  </v>
      </c>
      <c r="AB170" s="126" t="str">
        <f>IF(OR(AC170="Preventivo",AC170="Detectivo"),"Probabilidad",IF(AC170="Correctivo","Impacto",""))</f>
        <v/>
      </c>
      <c r="AC170" s="127"/>
      <c r="AD170" s="127"/>
      <c r="AE170" s="128" t="str">
        <f t="shared" si="254"/>
        <v/>
      </c>
      <c r="AF170" s="127"/>
      <c r="AG170" s="127"/>
      <c r="AH170" s="127"/>
      <c r="AI170" s="129" t="str">
        <f>IFERROR(IF(AND(AB169="Probabilidad",AB170="Probabilidad"),(AK169-(+AK169*AE170)),IF(AND(AB169="Impacto",AB170="Probabilidad"),(AK168-(+AK168*AE170)),IF(AB170="Impacto",AK169,""))),"")</f>
        <v/>
      </c>
      <c r="AJ170" s="130" t="str">
        <f t="shared" si="255"/>
        <v/>
      </c>
      <c r="AK170" s="128" t="str">
        <f t="shared" si="256"/>
        <v/>
      </c>
      <c r="AL170" s="130" t="str">
        <f t="shared" si="257"/>
        <v/>
      </c>
      <c r="AM170" s="128" t="str">
        <f t="shared" ref="AM170:AM172" si="260">IFERROR(IF(AND(AB169="Impacto",AB170="Impacto"),(AM169-(+AM169*AE170)),IF(AND(AB169="Probabilidad",AB170="Impacto"),(AM168-(+AM168*AE170)),IF(AB170="Probabilidad",AM169,""))),"")</f>
        <v/>
      </c>
      <c r="AN170" s="131" t="str">
        <f t="shared" si="259"/>
        <v/>
      </c>
      <c r="AO170" s="132"/>
      <c r="AP170" s="304"/>
      <c r="AQ170" s="304"/>
      <c r="AR170" s="304"/>
      <c r="AS170" s="304"/>
      <c r="AT170" s="400"/>
      <c r="AU170" s="400"/>
      <c r="AV170" s="400"/>
    </row>
    <row r="171" spans="1:48" x14ac:dyDescent="0.2">
      <c r="A171" s="398"/>
      <c r="B171" s="399"/>
      <c r="C171" s="400"/>
      <c r="D171" s="400"/>
      <c r="E171" s="400"/>
      <c r="F171" s="400"/>
      <c r="G171" s="401"/>
      <c r="H171" s="400"/>
      <c r="I171" s="403"/>
      <c r="J171" s="403"/>
      <c r="K171" s="403"/>
      <c r="L171" s="403"/>
      <c r="M171" s="403"/>
      <c r="N171" s="403"/>
      <c r="O171" s="416"/>
      <c r="P171" s="417"/>
      <c r="Q171" s="405"/>
      <c r="R171" s="406"/>
      <c r="S171" s="405">
        <f>IF(NOT(ISERROR(MATCH(R171,_xlfn.ANCHORARRAY(H182),0))),R184&amp;"Por favor no seleccionar los criterios de impacto",R171)</f>
        <v>0</v>
      </c>
      <c r="T171" s="408"/>
      <c r="U171" s="411"/>
      <c r="V171" s="414"/>
      <c r="W171" s="149">
        <v>4</v>
      </c>
      <c r="X171" s="182"/>
      <c r="Y171" s="149"/>
      <c r="Z171" s="149"/>
      <c r="AA171" s="304" t="str">
        <f t="shared" si="241"/>
        <v xml:space="preserve">  </v>
      </c>
      <c r="AB171" s="126" t="str">
        <f t="shared" ref="AB171:AB179" si="261">IF(OR(AC171="Preventivo",AC171="Detectivo"),"Probabilidad",IF(AC171="Correctivo","Impacto",""))</f>
        <v/>
      </c>
      <c r="AC171" s="127"/>
      <c r="AD171" s="127"/>
      <c r="AE171" s="128" t="str">
        <f t="shared" si="254"/>
        <v/>
      </c>
      <c r="AF171" s="127"/>
      <c r="AG171" s="127"/>
      <c r="AH171" s="127"/>
      <c r="AI171" s="129" t="str">
        <f t="shared" ref="AI171:AI172" si="262">IFERROR(IF(AND(AB170="Probabilidad",AB171="Probabilidad"),(AK170-(+AK170*AE171)),IF(AND(AB170="Impacto",AB171="Probabilidad"),(AK169-(+AK169*AE171)),IF(AB171="Impacto",AK170,""))),"")</f>
        <v/>
      </c>
      <c r="AJ171" s="130" t="str">
        <f t="shared" si="255"/>
        <v/>
      </c>
      <c r="AK171" s="128" t="str">
        <f t="shared" si="256"/>
        <v/>
      </c>
      <c r="AL171" s="130" t="str">
        <f t="shared" si="257"/>
        <v/>
      </c>
      <c r="AM171" s="128" t="str">
        <f t="shared" si="260"/>
        <v/>
      </c>
      <c r="AN171" s="131" t="str">
        <f>IFERROR(IF(OR(AND(AJ171="Muy Baja",AL171="Leve"),AND(AJ171="Muy Baja",AL171="Menor"),AND(AJ171="Baja",AL171="Leve")),"Bajo",IF(OR(AND(AJ171="Muy baja",AL171="Moderado"),AND(AJ171="Baja",AL171="Menor"),AND(AJ171="Baja",AL171="Moderado"),AND(AJ171="Media",AL171="Leve"),AND(AJ171="Media",AL171="Menor"),AND(AJ171="Media",AL171="Moderado"),AND(AJ171="Alta",AL171="Leve"),AND(AJ171="Alta",AL171="Menor")),"Moderado",IF(OR(AND(AJ171="Muy Baja",AL171="Mayor"),AND(AJ171="Baja",AL171="Mayor"),AND(AJ171="Media",AL171="Mayor"),AND(AJ171="Alta",AL171="Moderado"),AND(AJ171="Alta",AL171="Mayor"),AND(AJ171="Muy Alta",AL171="Leve"),AND(AJ171="Muy Alta",AL171="Menor"),AND(AJ171="Muy Alta",AL171="Moderado"),AND(AJ171="Muy Alta",AL171="Mayor")),"Alto",IF(OR(AND(AJ171="Muy Baja",AL171="Catastrófico"),AND(AJ171="Baja",AL171="Catastrófico"),AND(AJ171="Media",AL171="Catastrófico"),AND(AJ171="Alta",AL171="Catastrófico"),AND(AJ171="Muy Alta",AL171="Catastrófico")),"Extremo","")))),"")</f>
        <v/>
      </c>
      <c r="AO171" s="132"/>
      <c r="AP171" s="304"/>
      <c r="AQ171" s="304"/>
      <c r="AR171" s="304"/>
      <c r="AS171" s="304"/>
      <c r="AT171" s="400"/>
      <c r="AU171" s="400"/>
      <c r="AV171" s="400"/>
    </row>
    <row r="172" spans="1:48" x14ac:dyDescent="0.2">
      <c r="A172" s="398"/>
      <c r="B172" s="399"/>
      <c r="C172" s="400"/>
      <c r="D172" s="400"/>
      <c r="E172" s="400"/>
      <c r="F172" s="400"/>
      <c r="G172" s="401"/>
      <c r="H172" s="400"/>
      <c r="I172" s="403"/>
      <c r="J172" s="403"/>
      <c r="K172" s="403"/>
      <c r="L172" s="403"/>
      <c r="M172" s="403"/>
      <c r="N172" s="403"/>
      <c r="O172" s="416"/>
      <c r="P172" s="417"/>
      <c r="Q172" s="405"/>
      <c r="R172" s="406"/>
      <c r="S172" s="405">
        <f>IF(NOT(ISERROR(MATCH(R172,_xlfn.ANCHORARRAY(H183),0))),R185&amp;"Por favor no seleccionar los criterios de impacto",R172)</f>
        <v>0</v>
      </c>
      <c r="T172" s="408"/>
      <c r="U172" s="411"/>
      <c r="V172" s="414"/>
      <c r="W172" s="149">
        <v>5</v>
      </c>
      <c r="X172" s="182"/>
      <c r="Y172" s="149"/>
      <c r="Z172" s="149"/>
      <c r="AA172" s="304" t="str">
        <f t="shared" si="241"/>
        <v xml:space="preserve">  </v>
      </c>
      <c r="AB172" s="126" t="str">
        <f t="shared" si="261"/>
        <v/>
      </c>
      <c r="AC172" s="127"/>
      <c r="AD172" s="127"/>
      <c r="AE172" s="128" t="str">
        <f t="shared" si="254"/>
        <v/>
      </c>
      <c r="AF172" s="127"/>
      <c r="AG172" s="127"/>
      <c r="AH172" s="127"/>
      <c r="AI172" s="129" t="str">
        <f t="shared" si="262"/>
        <v/>
      </c>
      <c r="AJ172" s="130" t="str">
        <f t="shared" si="255"/>
        <v/>
      </c>
      <c r="AK172" s="128" t="str">
        <f t="shared" si="256"/>
        <v/>
      </c>
      <c r="AL172" s="130" t="str">
        <f t="shared" si="257"/>
        <v/>
      </c>
      <c r="AM172" s="128" t="str">
        <f t="shared" si="260"/>
        <v/>
      </c>
      <c r="AN172" s="131" t="str">
        <f t="shared" ref="AN172:AN173" si="263">IFERROR(IF(OR(AND(AJ172="Muy Baja",AL172="Leve"),AND(AJ172="Muy Baja",AL172="Menor"),AND(AJ172="Baja",AL172="Leve")),"Bajo",IF(OR(AND(AJ172="Muy baja",AL172="Moderado"),AND(AJ172="Baja",AL172="Menor"),AND(AJ172="Baja",AL172="Moderado"),AND(AJ172="Media",AL172="Leve"),AND(AJ172="Media",AL172="Menor"),AND(AJ172="Media",AL172="Moderado"),AND(AJ172="Alta",AL172="Leve"),AND(AJ172="Alta",AL172="Menor")),"Moderado",IF(OR(AND(AJ172="Muy Baja",AL172="Mayor"),AND(AJ172="Baja",AL172="Mayor"),AND(AJ172="Media",AL172="Mayor"),AND(AJ172="Alta",AL172="Moderado"),AND(AJ172="Alta",AL172="Mayor"),AND(AJ172="Muy Alta",AL172="Leve"),AND(AJ172="Muy Alta",AL172="Menor"),AND(AJ172="Muy Alta",AL172="Moderado"),AND(AJ172="Muy Alta",AL172="Mayor")),"Alto",IF(OR(AND(AJ172="Muy Baja",AL172="Catastrófico"),AND(AJ172="Baja",AL172="Catastrófico"),AND(AJ172="Media",AL172="Catastrófico"),AND(AJ172="Alta",AL172="Catastrófico"),AND(AJ172="Muy Alta",AL172="Catastrófico")),"Extremo","")))),"")</f>
        <v/>
      </c>
      <c r="AO172" s="132"/>
      <c r="AP172" s="304"/>
      <c r="AQ172" s="304"/>
      <c r="AR172" s="304"/>
      <c r="AS172" s="304"/>
      <c r="AT172" s="400"/>
      <c r="AU172" s="400"/>
      <c r="AV172" s="400"/>
    </row>
    <row r="173" spans="1:48" x14ac:dyDescent="0.2">
      <c r="A173" s="398"/>
      <c r="B173" s="399"/>
      <c r="C173" s="400"/>
      <c r="D173" s="400"/>
      <c r="E173" s="400"/>
      <c r="F173" s="400"/>
      <c r="G173" s="401"/>
      <c r="H173" s="400"/>
      <c r="I173" s="404"/>
      <c r="J173" s="404"/>
      <c r="K173" s="404"/>
      <c r="L173" s="404"/>
      <c r="M173" s="404"/>
      <c r="N173" s="404"/>
      <c r="O173" s="416"/>
      <c r="P173" s="417"/>
      <c r="Q173" s="405"/>
      <c r="R173" s="406"/>
      <c r="S173" s="405">
        <f>IF(NOT(ISERROR(MATCH(R173,_xlfn.ANCHORARRAY(H184),0))),R186&amp;"Por favor no seleccionar los criterios de impacto",R173)</f>
        <v>0</v>
      </c>
      <c r="T173" s="409"/>
      <c r="U173" s="412"/>
      <c r="V173" s="415"/>
      <c r="W173" s="149">
        <v>6</v>
      </c>
      <c r="X173" s="149"/>
      <c r="Y173" s="149"/>
      <c r="Z173" s="149"/>
      <c r="AA173" s="304" t="str">
        <f t="shared" si="241"/>
        <v xml:space="preserve">  </v>
      </c>
      <c r="AB173" s="126" t="str">
        <f t="shared" si="261"/>
        <v/>
      </c>
      <c r="AC173" s="127"/>
      <c r="AD173" s="127"/>
      <c r="AE173" s="128" t="str">
        <f t="shared" si="254"/>
        <v/>
      </c>
      <c r="AF173" s="127"/>
      <c r="AG173" s="127"/>
      <c r="AH173" s="127"/>
      <c r="AI173" s="129" t="str">
        <f>IFERROR(IF(AND(AB172="Probabilidad",AB173="Probabilidad"),(AK172-(+AK172*AE173)),IF(AND(AB172="Impacto",AB173="Probabilidad"),(AK171-(+AK171*AE173)),IF(AB173="Impacto",AK172,""))),"")</f>
        <v/>
      </c>
      <c r="AJ173" s="130" t="str">
        <f t="shared" si="255"/>
        <v/>
      </c>
      <c r="AK173" s="128" t="str">
        <f t="shared" si="256"/>
        <v/>
      </c>
      <c r="AL173" s="130" t="str">
        <f t="shared" si="257"/>
        <v/>
      </c>
      <c r="AM173" s="128" t="str">
        <f>IFERROR(IF(AND(AB172="Impacto",AB173="Impacto"),(AM172-(+AM172*AE173)),IF(AND(AB172="Probabilidad",AB173="Impacto"),(AM171-(+AM171*AE173)),IF(AB173="Probabilidad",AM172,""))),"")</f>
        <v/>
      </c>
      <c r="AN173" s="131" t="str">
        <f t="shared" si="263"/>
        <v/>
      </c>
      <c r="AO173" s="132"/>
      <c r="AP173" s="304"/>
      <c r="AQ173" s="304"/>
      <c r="AR173" s="304"/>
      <c r="AS173" s="304"/>
      <c r="AT173" s="400"/>
      <c r="AU173" s="400"/>
      <c r="AV173" s="400"/>
    </row>
    <row r="174" spans="1:48" s="150" customFormat="1" ht="39.75" customHeight="1" x14ac:dyDescent="0.25">
      <c r="A174" s="398">
        <v>28</v>
      </c>
      <c r="B174" s="399" t="s">
        <v>560</v>
      </c>
      <c r="C174" s="400" t="s">
        <v>44</v>
      </c>
      <c r="D174" s="400" t="s">
        <v>1226</v>
      </c>
      <c r="E174" s="400" t="s">
        <v>1227</v>
      </c>
      <c r="F174" s="400" t="s">
        <v>1228</v>
      </c>
      <c r="G174" s="401" t="str">
        <f>+CONCATENATE(C174," ",D174," ",E174)</f>
        <v>Posibilidad de afectación Económica y Reputacional Por Perdida de credibilidad y confianza de las partes interesadas  debido al diligenciamiento del formato Análisis de Riesgos Contractuales  fuera del lineamiento establecido por Colombia Compra Eficiente.</v>
      </c>
      <c r="H174" s="400" t="s">
        <v>391</v>
      </c>
      <c r="I174" s="402" t="s">
        <v>62</v>
      </c>
      <c r="J174" s="402" t="s">
        <v>1229</v>
      </c>
      <c r="K174" s="402" t="s">
        <v>1230</v>
      </c>
      <c r="L174" s="402" t="s">
        <v>1166</v>
      </c>
      <c r="M174" s="402" t="s">
        <v>60</v>
      </c>
      <c r="N174" s="402" t="s">
        <v>42</v>
      </c>
      <c r="O174" s="416">
        <v>83</v>
      </c>
      <c r="P174" s="417" t="str">
        <f>IF(O174&lt;=0,"",IF(O174&lt;=2,"Muy Baja",IF(O174&lt;=24,"Baja",IF(O174&lt;=500,"Media",IF(O174&lt;=5000,"Alta","Muy Alta")))))</f>
        <v>Media</v>
      </c>
      <c r="Q174" s="405">
        <f>IF(P174="","",IF(P174="Muy Baja",0.2,IF(P174="Baja",0.4,IF(P174="Media",0.6,IF(P174="Alta",0.8,IF(P174="Muy Alta",1,))))))</f>
        <v>0.6</v>
      </c>
      <c r="R174" s="406" t="s">
        <v>428</v>
      </c>
      <c r="S174" s="405" t="str">
        <f>IF(NOT(ISERROR(MATCH(R174,'[3]Tabla Impacto'!$B$245:$B$247,0))),'[3]Tabla Impacto'!$F$224&amp;"Por favor no seleccionar los criterios de impacto(Afectación Económica o presupuestal y Pérdida Reputacional)",R174)</f>
        <v xml:space="preserve">     El riesgo afecta la imagen de la entidad con algunos usuarios de relevancia frente al logro de los objetivos</v>
      </c>
      <c r="T174" s="417" t="str">
        <f>IF(OR(S174='[3]Tabla Impacto'!$C$12,S174='[3]Tabla Impacto'!$D$12),"Leve",IF(OR(S174='[3]Tabla Impacto'!$C$13,S174='[3]Tabla Impacto'!$D$13),"Menor",IF(OR(S174='[3]Tabla Impacto'!$C$14,S174='[3]Tabla Impacto'!$D$14),"Moderado",IF(OR(S174='[3]Tabla Impacto'!$C$15,S174='[3]Tabla Impacto'!$D$15),"Mayor",IF(OR(S174='[3]Tabla Impacto'!$C$16,S174='[3]Tabla Impacto'!$D$16),"Catastrófico","")))))</f>
        <v>Moderado</v>
      </c>
      <c r="U174" s="405">
        <f>IF(T174="","",IF(T174="Leve",0.2,IF(T174="Menor",0.4,IF(T174="Moderado",0.6,IF(T174="Mayor",0.8,IF(T174="Catastrófico",1,))))))</f>
        <v>0.6</v>
      </c>
      <c r="V174" s="418" t="str">
        <f>IF(OR(AND(P174="Muy Baja",T174="Leve"),AND(P174="Muy Baja",T174="Menor"),AND(P174="Baja",T174="Leve")),"Bajo",IF(OR(AND(P174="Muy baja",T174="Moderado"),AND(P174="Baja",T174="Menor"),AND(P174="Baja",T174="Moderado"),AND(P174="Media",T174="Leve"),AND(P174="Media",T174="Menor"),AND(P174="Media",T174="Moderado"),AND(P174="Alta",T174="Leve"),AND(P174="Alta",T174="Menor")),"Moderado",IF(OR(AND(P174="Muy Baja",T174="Mayor"),AND(P174="Baja",T174="Mayor"),AND(P174="Media",T174="Mayor"),AND(P174="Alta",T174="Moderado"),AND(P174="Alta",T174="Mayor"),AND(P174="Muy Alta",T174="Leve"),AND(P174="Muy Alta",T174="Menor"),AND(P174="Muy Alta",T174="Moderado"),AND(P174="Muy Alta",T174="Mayor")),"Alto",IF(OR(AND(P174="Muy Baja",T174="Catastrófico"),AND(P174="Baja",T174="Catastrófico"),AND(P174="Media",T174="Catastrófico"),AND(P174="Alta",T174="Catastrófico"),AND(P174="Muy Alta",T174="Catastrófico")),"Extremo",""))))</f>
        <v>Moderado</v>
      </c>
      <c r="W174" s="149">
        <v>1</v>
      </c>
      <c r="X174" s="182" t="s">
        <v>1231</v>
      </c>
      <c r="Y174" s="182" t="s">
        <v>52</v>
      </c>
      <c r="Z174" s="182" t="s">
        <v>1232</v>
      </c>
      <c r="AA174" s="304" t="str">
        <f>+CONCATENATE(X174," ",Y174," ",Z174)</f>
        <v>El servidor público o contratista (profesional) del proceso Gestión Contractual, designado por la Gerencia de Contratación cada vez que se adelante un proceso contractual selectivo Revisa Que los riesgos identificados para el proceso de selección sean coherentes con lo estipulado en el "manual para la identificación y asignación de los riesgos"  expedido por Colombia Compra Eficiente.</v>
      </c>
      <c r="AB174" s="126" t="str">
        <f t="shared" si="261"/>
        <v>Probabilidad</v>
      </c>
      <c r="AC174" s="127" t="s">
        <v>393</v>
      </c>
      <c r="AD174" s="127" t="s">
        <v>394</v>
      </c>
      <c r="AE174" s="128" t="str">
        <f>IF(AND(AC174="Preventivo",AD174="Automático"),"50%",IF(AND(AC174="Preventivo",AD174="Manual"),"40%",IF(AND(AC174="Detectivo",AD174="Automático"),"40%",IF(AND(AC174="Detectivo",AD174="Manual"),"30%",IF(AND(AC174="Correctivo",AD174="Automático"),"35%",IF(AND(AC174="Correctivo",AD174="Manual"),"25%",""))))))</f>
        <v>30%</v>
      </c>
      <c r="AF174" s="127" t="s">
        <v>395</v>
      </c>
      <c r="AG174" s="127" t="s">
        <v>396</v>
      </c>
      <c r="AH174" s="127" t="s">
        <v>397</v>
      </c>
      <c r="AI174" s="129">
        <f>IFERROR(IF(AB174="Probabilidad",(Q174-(+Q174*AE174)),IF(AB174="Impacto",Q174,"")),"")</f>
        <v>0.42</v>
      </c>
      <c r="AJ174" s="130" t="str">
        <f>IFERROR(IF(AI174="","",IF(AI174&lt;=0.2,"Muy Baja",IF(AI174&lt;=0.4,"Baja",IF(AI174&lt;=0.6,"Media",IF(AI174&lt;=0.8,"Alta","Muy Alta"))))),"")</f>
        <v>Media</v>
      </c>
      <c r="AK174" s="128">
        <f>+AI174</f>
        <v>0.42</v>
      </c>
      <c r="AL174" s="130" t="str">
        <f>IFERROR(IF(AM174="","",IF(AM174&lt;=0.2,"Leve",IF(AM174&lt;=0.4,"Menor",IF(AM174&lt;=0.6,"Moderado",IF(AM174&lt;=0.8,"Mayor","Catastrófico"))))),"")</f>
        <v>Moderado</v>
      </c>
      <c r="AM174" s="128">
        <f>IFERROR(IF(AB174="Impacto",(U174-(+U174*AE174)),IF(AB174="Probabilidad",U174,"")),"")</f>
        <v>0.6</v>
      </c>
      <c r="AN174" s="131" t="str">
        <f>IFERROR(IF(OR(AND(AJ174="Muy Baja",AL174="Leve"),AND(AJ174="Muy Baja",AL174="Menor"),AND(AJ174="Baja",AL174="Leve")),"Bajo",IF(OR(AND(AJ174="Muy baja",AL174="Moderado"),AND(AJ174="Baja",AL174="Menor"),AND(AJ174="Baja",AL174="Moderado"),AND(AJ174="Media",AL174="Leve"),AND(AJ174="Media",AL174="Menor"),AND(AJ174="Media",AL174="Moderado"),AND(AJ174="Alta",AL174="Leve"),AND(AJ174="Alta",AL174="Menor")),"Moderado",IF(OR(AND(AJ174="Muy Baja",AL174="Mayor"),AND(AJ174="Baja",AL174="Mayor"),AND(AJ174="Media",AL174="Mayor"),AND(AJ174="Alta",AL174="Moderado"),AND(AJ174="Alta",AL174="Mayor"),AND(AJ174="Muy Alta",AL174="Leve"),AND(AJ174="Muy Alta",AL174="Menor"),AND(AJ174="Muy Alta",AL174="Moderado"),AND(AJ174="Muy Alta",AL174="Mayor")),"Alto",IF(OR(AND(AJ174="Muy Baja",AL174="Catastrófico"),AND(AJ174="Baja",AL174="Catastrófico"),AND(AJ174="Media",AL174="Catastrófico"),AND(AJ174="Alta",AL174="Catastrófico"),AND(AJ174="Muy Alta",AL174="Catastrófico")),"Extremo","")))),"")</f>
        <v>Moderado</v>
      </c>
      <c r="AO174" s="132" t="s">
        <v>43</v>
      </c>
      <c r="AP174" s="125" t="s">
        <v>1233</v>
      </c>
      <c r="AQ174" s="125" t="s">
        <v>1234</v>
      </c>
      <c r="AR174" s="125" t="s">
        <v>1235</v>
      </c>
      <c r="AS174" s="134">
        <v>45838</v>
      </c>
      <c r="AT174" s="400" t="s">
        <v>1236</v>
      </c>
      <c r="AU174" s="400" t="s">
        <v>1173</v>
      </c>
      <c r="AV174" s="488"/>
    </row>
    <row r="175" spans="1:48" ht="39.75" customHeight="1" x14ac:dyDescent="0.2">
      <c r="A175" s="398"/>
      <c r="B175" s="399"/>
      <c r="C175" s="400"/>
      <c r="D175" s="400"/>
      <c r="E175" s="400"/>
      <c r="F175" s="400"/>
      <c r="G175" s="401"/>
      <c r="H175" s="400"/>
      <c r="I175" s="403"/>
      <c r="J175" s="403"/>
      <c r="K175" s="403"/>
      <c r="L175" s="403"/>
      <c r="M175" s="403"/>
      <c r="N175" s="403"/>
      <c r="O175" s="416"/>
      <c r="P175" s="417"/>
      <c r="Q175" s="405"/>
      <c r="R175" s="406"/>
      <c r="S175" s="405">
        <f>IF(NOT(ISERROR(MATCH(R175,_xlfn.ANCHORARRAY(G186),0))),Q188&amp;"Por favor no seleccionar los criterios de impacto",R175)</f>
        <v>0</v>
      </c>
      <c r="T175" s="417"/>
      <c r="U175" s="405"/>
      <c r="V175" s="418"/>
      <c r="W175" s="149">
        <v>2</v>
      </c>
      <c r="X175" s="182"/>
      <c r="Y175" s="149"/>
      <c r="Z175" s="149"/>
      <c r="AA175" s="304" t="str">
        <f t="shared" ref="AA175:AA191" si="264">+CONCATENATE(X175," ",Y175," ",Z175)</f>
        <v xml:space="preserve">  </v>
      </c>
      <c r="AB175" s="126" t="str">
        <f t="shared" si="261"/>
        <v/>
      </c>
      <c r="AC175" s="127"/>
      <c r="AD175" s="127"/>
      <c r="AE175" s="128" t="str">
        <f t="shared" ref="AE175:AE179" si="265">IF(AND(AC175="Preventivo",AD175="Automático"),"50%",IF(AND(AC175="Preventivo",AD175="Manual"),"40%",IF(AND(AC175="Detectivo",AD175="Automático"),"40%",IF(AND(AC175="Detectivo",AD175="Manual"),"30%",IF(AND(AC175="Correctivo",AD175="Automático"),"35%",IF(AND(AC175="Correctivo",AD175="Manual"),"25%",""))))))</f>
        <v/>
      </c>
      <c r="AF175" s="127"/>
      <c r="AG175" s="127"/>
      <c r="AH175" s="127"/>
      <c r="AI175" s="129" t="str">
        <f>IFERROR(IF(AND(AB174="Probabilidad",AB175="Probabilidad"),(AK174-(+AK174*AE175)),IF(AB175="Probabilidad",(Q174-(+Q174*AE175)),IF(AB175="Impacto",AK174,""))),"")</f>
        <v/>
      </c>
      <c r="AJ175" s="130" t="str">
        <f t="shared" ref="AJ175:AJ185" si="266">IFERROR(IF(AI175="","",IF(AI175&lt;=0.2,"Muy Baja",IF(AI175&lt;=0.4,"Baja",IF(AI175&lt;=0.6,"Media",IF(AI175&lt;=0.8,"Alta","Muy Alta"))))),"")</f>
        <v/>
      </c>
      <c r="AK175" s="128" t="str">
        <f t="shared" ref="AK175:AK179" si="267">+AI175</f>
        <v/>
      </c>
      <c r="AL175" s="130" t="str">
        <f t="shared" ref="AL175:AL185" si="268">IFERROR(IF(AM175="","",IF(AM175&lt;=0.2,"Leve",IF(AM175&lt;=0.4,"Menor",IF(AM175&lt;=0.6,"Moderado",IF(AM175&lt;=0.8,"Mayor","Catastrófico"))))),"")</f>
        <v/>
      </c>
      <c r="AM175" s="128" t="str">
        <f>IFERROR(IF(AND(AB174="Impacto",AB175="Impacto"),(AM174-(+AM174*AE175)),IF(AB175="Impacto",($U$10-(+$U$10*AE175)),IF(AB175="Probabilidad",AM174,""))),"")</f>
        <v/>
      </c>
      <c r="AN175" s="131" t="str">
        <f t="shared" ref="AN175:AN179" si="269">IFERROR(IF(OR(AND(AJ175="Muy Baja",AL175="Leve"),AND(AJ175="Muy Baja",AL175="Menor"),AND(AJ175="Baja",AL175="Leve")),"Bajo",IF(OR(AND(AJ175="Muy baja",AL175="Moderado"),AND(AJ175="Baja",AL175="Menor"),AND(AJ175="Baja",AL175="Moderado"),AND(AJ175="Media",AL175="Leve"),AND(AJ175="Media",AL175="Menor"),AND(AJ175="Media",AL175="Moderado"),AND(AJ175="Alta",AL175="Leve"),AND(AJ175="Alta",AL175="Menor")),"Moderado",IF(OR(AND(AJ175="Muy Baja",AL175="Mayor"),AND(AJ175="Baja",AL175="Mayor"),AND(AJ175="Media",AL175="Mayor"),AND(AJ175="Alta",AL175="Moderado"),AND(AJ175="Alta",AL175="Mayor"),AND(AJ175="Muy Alta",AL175="Leve"),AND(AJ175="Muy Alta",AL175="Menor"),AND(AJ175="Muy Alta",AL175="Moderado"),AND(AJ175="Muy Alta",AL175="Mayor")),"Alto",IF(OR(AND(AJ175="Muy Baja",AL175="Catastrófico"),AND(AJ175="Baja",AL175="Catastrófico"),AND(AJ175="Media",AL175="Catastrófico"),AND(AJ175="Alta",AL175="Catastrófico"),AND(AJ175="Muy Alta",AL175="Catastrófico")),"Extremo","")))),"")</f>
        <v/>
      </c>
      <c r="AO175" s="132"/>
      <c r="AP175" s="125"/>
      <c r="AQ175" s="133"/>
      <c r="AR175" s="125"/>
      <c r="AS175" s="134"/>
      <c r="AT175" s="400"/>
      <c r="AU175" s="400"/>
      <c r="AV175" s="488"/>
    </row>
    <row r="176" spans="1:48" ht="18.75" customHeight="1" x14ac:dyDescent="0.2">
      <c r="A176" s="398"/>
      <c r="B176" s="399"/>
      <c r="C176" s="400"/>
      <c r="D176" s="400"/>
      <c r="E176" s="400"/>
      <c r="F176" s="400"/>
      <c r="G176" s="401"/>
      <c r="H176" s="400"/>
      <c r="I176" s="403"/>
      <c r="J176" s="403"/>
      <c r="K176" s="403"/>
      <c r="L176" s="403"/>
      <c r="M176" s="403"/>
      <c r="N176" s="403"/>
      <c r="O176" s="416"/>
      <c r="P176" s="417"/>
      <c r="Q176" s="405"/>
      <c r="R176" s="406"/>
      <c r="S176" s="405">
        <f>IF(NOT(ISERROR(MATCH(R176,_xlfn.ANCHORARRAY(G187),0))),Q189&amp;"Por favor no seleccionar los criterios de impacto",R176)</f>
        <v>0</v>
      </c>
      <c r="T176" s="417"/>
      <c r="U176" s="405"/>
      <c r="V176" s="418"/>
      <c r="W176" s="149">
        <v>3</v>
      </c>
      <c r="X176" s="182"/>
      <c r="Y176" s="149"/>
      <c r="Z176" s="149"/>
      <c r="AA176" s="304" t="str">
        <f t="shared" si="264"/>
        <v xml:space="preserve">  </v>
      </c>
      <c r="AB176" s="126" t="str">
        <f t="shared" si="261"/>
        <v/>
      </c>
      <c r="AC176" s="127"/>
      <c r="AD176" s="127"/>
      <c r="AE176" s="128" t="str">
        <f t="shared" si="265"/>
        <v/>
      </c>
      <c r="AF176" s="127"/>
      <c r="AG176" s="127"/>
      <c r="AH176" s="127"/>
      <c r="AI176" s="129" t="str">
        <f>IFERROR(IF(AND(AB175="Probabilidad",AB176="Probabilidad"),(AK175-(+AK175*AE176)),IF(AND(AB175="Impacto",AB176="Probabilidad"),(AK174-(+AK174*AE176)),IF(AB176="Impacto",AK175,""))),"")</f>
        <v/>
      </c>
      <c r="AJ176" s="130" t="str">
        <f t="shared" si="266"/>
        <v/>
      </c>
      <c r="AK176" s="128" t="str">
        <f t="shared" si="267"/>
        <v/>
      </c>
      <c r="AL176" s="130" t="str">
        <f t="shared" si="268"/>
        <v/>
      </c>
      <c r="AM176" s="128" t="str">
        <f>IFERROR(IF(AND(AB175="Impacto",AB176="Impacto"),(AM175-(+AM175*AE176)),IF(AND(AB175="Probabilidad",AB176="Impacto"),(AM174-(+AM174*AE176)),IF(AB176="Probabilidad",AM175,""))),"")</f>
        <v/>
      </c>
      <c r="AN176" s="131" t="str">
        <f t="shared" si="269"/>
        <v/>
      </c>
      <c r="AO176" s="132"/>
      <c r="AP176" s="125"/>
      <c r="AQ176" s="133"/>
      <c r="AR176" s="133"/>
      <c r="AS176" s="134"/>
      <c r="AT176" s="400"/>
      <c r="AU176" s="400"/>
      <c r="AV176" s="488"/>
    </row>
    <row r="177" spans="1:48" ht="18.75" customHeight="1" x14ac:dyDescent="0.2">
      <c r="A177" s="398"/>
      <c r="B177" s="399"/>
      <c r="C177" s="400"/>
      <c r="D177" s="400"/>
      <c r="E177" s="400"/>
      <c r="F177" s="400"/>
      <c r="G177" s="401"/>
      <c r="H177" s="400"/>
      <c r="I177" s="403"/>
      <c r="J177" s="403"/>
      <c r="K177" s="403"/>
      <c r="L177" s="403"/>
      <c r="M177" s="403"/>
      <c r="N177" s="403"/>
      <c r="O177" s="416"/>
      <c r="P177" s="417"/>
      <c r="Q177" s="405"/>
      <c r="R177" s="406"/>
      <c r="S177" s="405">
        <f>IF(NOT(ISERROR(MATCH(R177,_xlfn.ANCHORARRAY(G188),0))),Q190&amp;"Por favor no seleccionar los criterios de impacto",R177)</f>
        <v>0</v>
      </c>
      <c r="T177" s="417"/>
      <c r="U177" s="405"/>
      <c r="V177" s="418"/>
      <c r="W177" s="149">
        <v>4</v>
      </c>
      <c r="X177" s="182"/>
      <c r="Y177" s="149"/>
      <c r="Z177" s="149"/>
      <c r="AA177" s="304" t="str">
        <f t="shared" si="264"/>
        <v xml:space="preserve">  </v>
      </c>
      <c r="AB177" s="126" t="str">
        <f t="shared" si="261"/>
        <v/>
      </c>
      <c r="AC177" s="127"/>
      <c r="AD177" s="127"/>
      <c r="AE177" s="128" t="str">
        <f t="shared" si="265"/>
        <v/>
      </c>
      <c r="AF177" s="127"/>
      <c r="AG177" s="127"/>
      <c r="AH177" s="127"/>
      <c r="AI177" s="129" t="str">
        <f t="shared" ref="AI177:AI179" si="270">IFERROR(IF(AND(AB176="Probabilidad",AB177="Probabilidad"),(AK176-(+AK176*AE177)),IF(AND(AB176="Impacto",AB177="Probabilidad"),(AK175-(+AK175*AE177)),IF(AB177="Impacto",AK176,""))),"")</f>
        <v/>
      </c>
      <c r="AJ177" s="130" t="str">
        <f t="shared" si="266"/>
        <v/>
      </c>
      <c r="AK177" s="128" t="str">
        <f t="shared" si="267"/>
        <v/>
      </c>
      <c r="AL177" s="130" t="str">
        <f t="shared" si="268"/>
        <v/>
      </c>
      <c r="AM177" s="128" t="str">
        <f t="shared" ref="AM177:AM179" si="271">IFERROR(IF(AND(AB176="Impacto",AB177="Impacto"),(AM176-(+AM176*AE177)),IF(AND(AB176="Probabilidad",AB177="Impacto"),(AM175-(+AM175*AE177)),IF(AB177="Probabilidad",AM176,""))),"")</f>
        <v/>
      </c>
      <c r="AN177" s="131" t="str">
        <f>IFERROR(IF(OR(AND(AJ177="Muy Baja",AL177="Leve"),AND(AJ177="Muy Baja",AL177="Menor"),AND(AJ177="Baja",AL177="Leve")),"Bajo",IF(OR(AND(AJ177="Muy baja",AL177="Moderado"),AND(AJ177="Baja",AL177="Menor"),AND(AJ177="Baja",AL177="Moderado"),AND(AJ177="Media",AL177="Leve"),AND(AJ177="Media",AL177="Menor"),AND(AJ177="Media",AL177="Moderado"),AND(AJ177="Alta",AL177="Leve"),AND(AJ177="Alta",AL177="Menor")),"Moderado",IF(OR(AND(AJ177="Muy Baja",AL177="Mayor"),AND(AJ177="Baja",AL177="Mayor"),AND(AJ177="Media",AL177="Mayor"),AND(AJ177="Alta",AL177="Moderado"),AND(AJ177="Alta",AL177="Mayor"),AND(AJ177="Muy Alta",AL177="Leve"),AND(AJ177="Muy Alta",AL177="Menor"),AND(AJ177="Muy Alta",AL177="Moderado"),AND(AJ177="Muy Alta",AL177="Mayor")),"Alto",IF(OR(AND(AJ177="Muy Baja",AL177="Catastrófico"),AND(AJ177="Baja",AL177="Catastrófico"),AND(AJ177="Media",AL177="Catastrófico"),AND(AJ177="Alta",AL177="Catastrófico"),AND(AJ177="Muy Alta",AL177="Catastrófico")),"Extremo","")))),"")</f>
        <v/>
      </c>
      <c r="AO177" s="132"/>
      <c r="AP177" s="125"/>
      <c r="AQ177" s="133"/>
      <c r="AR177" s="133"/>
      <c r="AS177" s="134"/>
      <c r="AT177" s="400"/>
      <c r="AU177" s="400"/>
      <c r="AV177" s="488"/>
    </row>
    <row r="178" spans="1:48" ht="18.75" customHeight="1" x14ac:dyDescent="0.2">
      <c r="A178" s="398"/>
      <c r="B178" s="399"/>
      <c r="C178" s="400"/>
      <c r="D178" s="400"/>
      <c r="E178" s="400"/>
      <c r="F178" s="400"/>
      <c r="G178" s="401"/>
      <c r="H178" s="400"/>
      <c r="I178" s="403"/>
      <c r="J178" s="403"/>
      <c r="K178" s="403"/>
      <c r="L178" s="403"/>
      <c r="M178" s="403"/>
      <c r="N178" s="403"/>
      <c r="O178" s="416"/>
      <c r="P178" s="417"/>
      <c r="Q178" s="405"/>
      <c r="R178" s="406"/>
      <c r="S178" s="405">
        <f>IF(NOT(ISERROR(MATCH(R178,_xlfn.ANCHORARRAY(G189),0))),Q191&amp;"Por favor no seleccionar los criterios de impacto",R178)</f>
        <v>0</v>
      </c>
      <c r="T178" s="417"/>
      <c r="U178" s="405"/>
      <c r="V178" s="418"/>
      <c r="W178" s="149">
        <v>5</v>
      </c>
      <c r="X178" s="182"/>
      <c r="Y178" s="149"/>
      <c r="Z178" s="149"/>
      <c r="AA178" s="304" t="str">
        <f t="shared" si="264"/>
        <v xml:space="preserve">  </v>
      </c>
      <c r="AB178" s="126" t="str">
        <f t="shared" si="261"/>
        <v/>
      </c>
      <c r="AC178" s="127"/>
      <c r="AD178" s="127"/>
      <c r="AE178" s="128" t="str">
        <f t="shared" si="265"/>
        <v/>
      </c>
      <c r="AF178" s="127"/>
      <c r="AG178" s="127"/>
      <c r="AH178" s="127"/>
      <c r="AI178" s="129" t="str">
        <f t="shared" si="270"/>
        <v/>
      </c>
      <c r="AJ178" s="130" t="str">
        <f t="shared" si="266"/>
        <v/>
      </c>
      <c r="AK178" s="128" t="str">
        <f t="shared" si="267"/>
        <v/>
      </c>
      <c r="AL178" s="130" t="str">
        <f t="shared" si="268"/>
        <v/>
      </c>
      <c r="AM178" s="128" t="str">
        <f t="shared" si="271"/>
        <v/>
      </c>
      <c r="AN178" s="131" t="str">
        <f t="shared" si="269"/>
        <v/>
      </c>
      <c r="AO178" s="132"/>
      <c r="AP178" s="125"/>
      <c r="AQ178" s="133"/>
      <c r="AR178" s="133"/>
      <c r="AS178" s="134"/>
      <c r="AT178" s="400"/>
      <c r="AU178" s="400"/>
      <c r="AV178" s="488"/>
    </row>
    <row r="179" spans="1:48" ht="18.75" customHeight="1" x14ac:dyDescent="0.2">
      <c r="A179" s="398"/>
      <c r="B179" s="399"/>
      <c r="C179" s="400"/>
      <c r="D179" s="400"/>
      <c r="E179" s="400"/>
      <c r="F179" s="400"/>
      <c r="G179" s="401"/>
      <c r="H179" s="400"/>
      <c r="I179" s="404"/>
      <c r="J179" s="404"/>
      <c r="K179" s="404"/>
      <c r="L179" s="404"/>
      <c r="M179" s="404"/>
      <c r="N179" s="404"/>
      <c r="O179" s="416"/>
      <c r="P179" s="417"/>
      <c r="Q179" s="405"/>
      <c r="R179" s="406"/>
      <c r="S179" s="405">
        <f>IF(NOT(ISERROR(MATCH(R179,_xlfn.ANCHORARRAY(G190),0))),Q192&amp;"Por favor no seleccionar los criterios de impacto",R179)</f>
        <v>0</v>
      </c>
      <c r="T179" s="417"/>
      <c r="U179" s="405"/>
      <c r="V179" s="418"/>
      <c r="W179" s="149">
        <v>6</v>
      </c>
      <c r="X179" s="182"/>
      <c r="Y179" s="149"/>
      <c r="Z179" s="149"/>
      <c r="AA179" s="304" t="str">
        <f t="shared" si="264"/>
        <v xml:space="preserve">  </v>
      </c>
      <c r="AB179" s="126" t="str">
        <f t="shared" si="261"/>
        <v/>
      </c>
      <c r="AC179" s="127"/>
      <c r="AD179" s="127"/>
      <c r="AE179" s="128" t="str">
        <f t="shared" si="265"/>
        <v/>
      </c>
      <c r="AF179" s="127"/>
      <c r="AG179" s="127"/>
      <c r="AH179" s="127"/>
      <c r="AI179" s="129" t="str">
        <f t="shared" si="270"/>
        <v/>
      </c>
      <c r="AJ179" s="130" t="str">
        <f t="shared" si="266"/>
        <v/>
      </c>
      <c r="AK179" s="128" t="str">
        <f t="shared" si="267"/>
        <v/>
      </c>
      <c r="AL179" s="130" t="str">
        <f t="shared" si="268"/>
        <v/>
      </c>
      <c r="AM179" s="128" t="str">
        <f t="shared" si="271"/>
        <v/>
      </c>
      <c r="AN179" s="131" t="str">
        <f t="shared" si="269"/>
        <v/>
      </c>
      <c r="AO179" s="132"/>
      <c r="AP179" s="125"/>
      <c r="AQ179" s="133"/>
      <c r="AR179" s="133"/>
      <c r="AS179" s="134"/>
      <c r="AT179" s="400"/>
      <c r="AU179" s="400"/>
      <c r="AV179" s="488"/>
    </row>
    <row r="180" spans="1:48" ht="48.75" customHeight="1" x14ac:dyDescent="0.2">
      <c r="A180" s="398">
        <v>29</v>
      </c>
      <c r="B180" s="399" t="s">
        <v>560</v>
      </c>
      <c r="C180" s="400" t="s">
        <v>40</v>
      </c>
      <c r="D180" s="400" t="s">
        <v>1237</v>
      </c>
      <c r="E180" s="400" t="s">
        <v>1238</v>
      </c>
      <c r="F180" s="400" t="s">
        <v>1228</v>
      </c>
      <c r="G180" s="401" t="str">
        <f>+CONCATENATE(C180," ",D180," ",E180)</f>
        <v>Posibilidad de afectación reputacional Por Perdida de credibilidad y confianza de las partes interesadas debido a que  La información y documentos soporte publicados en el SECOP es diferente al del expediente contractual a nivel interno de la entidad en Orfeo.</v>
      </c>
      <c r="H180" s="400" t="s">
        <v>391</v>
      </c>
      <c r="I180" s="402" t="s">
        <v>62</v>
      </c>
      <c r="J180" s="402" t="s">
        <v>1239</v>
      </c>
      <c r="K180" s="402" t="s">
        <v>1240</v>
      </c>
      <c r="L180" s="402" t="s">
        <v>1166</v>
      </c>
      <c r="M180" s="402" t="s">
        <v>55</v>
      </c>
      <c r="N180" s="402" t="s">
        <v>55</v>
      </c>
      <c r="O180" s="416">
        <v>83</v>
      </c>
      <c r="P180" s="417" t="str">
        <f>IF(O180&lt;=0,"",IF(O180&lt;=2,"Muy Baja",IF(O180&lt;=24,"Baja",IF(O180&lt;=500,"Media",IF(O180&lt;=5000,"Alta","Muy Alta")))))</f>
        <v>Media</v>
      </c>
      <c r="Q180" s="405">
        <f>IF(P180="","",IF(P180="Muy Baja",0.2,IF(P180="Baja",0.4,IF(P180="Media",0.6,IF(P180="Alta",0.8,IF(P180="Muy Alta",1,))))))</f>
        <v>0.6</v>
      </c>
      <c r="R180" s="406" t="s">
        <v>428</v>
      </c>
      <c r="S180" s="405" t="str">
        <f>IF(NOT(ISERROR(MATCH(R180,'[3]Tabla Impacto'!$B$245:$B$247,0))),'[3]Tabla Impacto'!$F$224&amp;"Por favor no seleccionar los criterios de impacto(Afectación Económica o presupuestal y Pérdida Reputacional)",R180)</f>
        <v xml:space="preserve">     El riesgo afecta la imagen de la entidad con algunos usuarios de relevancia frente al logro de los objetivos</v>
      </c>
      <c r="T180" s="407" t="s">
        <v>406</v>
      </c>
      <c r="U180" s="410">
        <f>IF(T180="","",IF(T180="Leve",0.2,IF(T180="Menor",0.4,IF(T180="Moderado",0.6,IF(T180="Mayor",0.8,IF(T180="Catastrófico",1,))))))</f>
        <v>0.6</v>
      </c>
      <c r="V180" s="413" t="str">
        <f>IF(OR(AND(P180="Muy Baja",T180="Leve"),AND(P180="Muy Baja",T180="Menor"),AND(P180="Baja",T180="Leve")),"Bajo",IF(OR(AND(P180="Muy baja",T180="Moderado"),AND(P180="Baja",T180="Menor"),AND(P180="Baja",T180="Moderado"),AND(P180="Media",T180="Leve"),AND(P180="Media",T180="Menor"),AND(P180="Media",T180="Moderado"),AND(P180="Alta",T180="Leve"),AND(P180="Alta",T180="Menor")),"Moderado",IF(OR(AND(P180="Muy Baja",T180="Mayor"),AND(P180="Baja",T180="Mayor"),AND(P180="Media",T180="Mayor"),AND(P180="Alta",T180="Moderado"),AND(P180="Alta",T180="Mayor"),AND(P180="Muy Alta",T180="Leve"),AND(P180="Muy Alta",T180="Menor"),AND(P180="Muy Alta",T180="Moderado"),AND(P180="Muy Alta",T180="Mayor")),"Alto",IF(OR(AND(P180="Muy Baja",T180="Catastrófico"),AND(P180="Baja",T180="Catastrófico"),AND(P180="Media",T180="Catastrófico"),AND(P180="Alta",T180="Catastrófico"),AND(P180="Muy Alta",T180="Catastrófico")),"Extremo",""))))</f>
        <v>Moderado</v>
      </c>
      <c r="W180" s="149">
        <v>1</v>
      </c>
      <c r="X180" s="182" t="s">
        <v>1241</v>
      </c>
      <c r="Y180" s="149" t="s">
        <v>52</v>
      </c>
      <c r="Z180" s="174" t="s">
        <v>1242</v>
      </c>
      <c r="AA180" s="304" t="str">
        <f t="shared" si="264"/>
        <v>El servidor público o contratista (profesional) del proceso GCON designado por la Gerencia de Contratación para adelantar el proceso de selección diligencia, Revisa en el expediente del proceso en Orfeo el formato de referencia cruzada, el cual debe ser concordante con el proceso de selección que se adelante a través de la plataforma del Secop II. 
Como evidencia: Formato de referencia cruzada diligenciado de cada proceso Selectivo, publicado en el ORFEO. 
En caso de identificar  que no se encuentra cargado en el ORFEO o SECOP  deberá  incluirlo en el expediente de ORFEO</v>
      </c>
      <c r="AB180" s="126" t="str">
        <f>IF(OR(AC180="Preventivo",AC180="Detectivo"),"Probabilidad",IF(AC180="Correctivo","Impacto",""))</f>
        <v>Probabilidad</v>
      </c>
      <c r="AC180" s="127" t="s">
        <v>393</v>
      </c>
      <c r="AD180" s="127" t="s">
        <v>394</v>
      </c>
      <c r="AE180" s="128" t="str">
        <f>IF(AND(AC180="Preventivo",AD180="Automático"),"50%",IF(AND(AC180="Preventivo",AD180="Manual"),"40%",IF(AND(AC180="Detectivo",AD180="Automático"),"40%",IF(AND(AC180="Detectivo",AD180="Manual"),"30%",IF(AND(AC180="Correctivo",AD180="Automático"),"35%",IF(AND(AC180="Correctivo",AD180="Manual"),"25%",""))))))</f>
        <v>30%</v>
      </c>
      <c r="AF180" s="127" t="s">
        <v>395</v>
      </c>
      <c r="AG180" s="127" t="s">
        <v>396</v>
      </c>
      <c r="AH180" s="127" t="s">
        <v>397</v>
      </c>
      <c r="AI180" s="129">
        <f>IFERROR(IF(AB180="Probabilidad",(Q180-(+Q180*AE180)),IF(AB180="Impacto",Q180,"")),"")</f>
        <v>0.42</v>
      </c>
      <c r="AJ180" s="130" t="str">
        <f>IFERROR(IF(AI180="","",IF(AI180&lt;=0.2,"Muy Baja",IF(AI180&lt;=0.4,"Baja",IF(AI180&lt;=0.6,"Media",IF(AI180&lt;=0.8,"Alta","Muy Alta"))))),"")</f>
        <v>Media</v>
      </c>
      <c r="AK180" s="128">
        <f>+AI180</f>
        <v>0.42</v>
      </c>
      <c r="AL180" s="130" t="str">
        <f>IFERROR(IF(AM180="","",IF(AM180&lt;=0.2,"Leve",IF(AM180&lt;=0.4,"Menor",IF(AM180&lt;=0.6,"Moderado",IF(AM180&lt;=0.8,"Mayor","Catastrófico"))))),"")</f>
        <v>Moderado</v>
      </c>
      <c r="AM180" s="128">
        <f t="shared" ref="AM180" si="272">IFERROR(IF(AB180="Impacto",(U180-(+U180*AE180)),IF(AB180="Probabilidad",U180,"")),"")</f>
        <v>0.6</v>
      </c>
      <c r="AN180" s="131" t="str">
        <f>IFERROR(IF(OR(AND(AJ180="Muy Baja",AL180="Leve"),AND(AJ180="Muy Baja",AL180="Menor"),AND(AJ180="Baja",AL180="Leve")),"Bajo",IF(OR(AND(AJ180="Muy baja",AL180="Moderado"),AND(AJ180="Baja",AL180="Menor"),AND(AJ180="Baja",AL180="Moderado"),AND(AJ180="Media",AL180="Leve"),AND(AJ180="Media",AL180="Menor"),AND(AJ180="Media",AL180="Moderado"),AND(AJ180="Alta",AL180="Leve"),AND(AJ180="Alta",AL180="Menor")),"Moderado",IF(OR(AND(AJ180="Muy Baja",AL180="Mayor"),AND(AJ180="Baja",AL180="Mayor"),AND(AJ180="Media",AL180="Mayor"),AND(AJ180="Alta",AL180="Moderado"),AND(AJ180="Alta",AL180="Mayor"),AND(AJ180="Muy Alta",AL180="Leve"),AND(AJ180="Muy Alta",AL180="Menor"),AND(AJ180="Muy Alta",AL180="Moderado"),AND(AJ180="Muy Alta",AL180="Mayor")),"Alto",IF(OR(AND(AJ180="Muy Baja",AL180="Catastrófico"),AND(AJ180="Baja",AL180="Catastrófico"),AND(AJ180="Media",AL180="Catastrófico"),AND(AJ180="Alta",AL180="Catastrófico"),AND(AJ180="Muy Alta",AL180="Catastrófico")),"Extremo","")))),"")</f>
        <v>Moderado</v>
      </c>
      <c r="AO180" s="132" t="s">
        <v>43</v>
      </c>
      <c r="AP180" s="125" t="s">
        <v>1243</v>
      </c>
      <c r="AQ180" s="125" t="s">
        <v>1234</v>
      </c>
      <c r="AR180" s="125" t="s">
        <v>1235</v>
      </c>
      <c r="AS180" s="134">
        <v>45838</v>
      </c>
      <c r="AT180" s="400" t="s">
        <v>1244</v>
      </c>
      <c r="AU180" s="400" t="s">
        <v>1173</v>
      </c>
      <c r="AV180" s="489"/>
    </row>
    <row r="181" spans="1:48" ht="48.75" customHeight="1" x14ac:dyDescent="0.2">
      <c r="A181" s="398"/>
      <c r="B181" s="399"/>
      <c r="C181" s="400"/>
      <c r="D181" s="400"/>
      <c r="E181" s="400"/>
      <c r="F181" s="400"/>
      <c r="G181" s="401"/>
      <c r="H181" s="400"/>
      <c r="I181" s="403"/>
      <c r="J181" s="403"/>
      <c r="K181" s="403"/>
      <c r="L181" s="403"/>
      <c r="M181" s="403"/>
      <c r="N181" s="403"/>
      <c r="O181" s="416"/>
      <c r="P181" s="417"/>
      <c r="Q181" s="405"/>
      <c r="R181" s="406"/>
      <c r="S181" s="405">
        <f>IF(NOT(ISERROR(MATCH(R181,_xlfn.ANCHORARRAY(G192),0))),Q194&amp;"Por favor no seleccionar los criterios de impacto",R181)</f>
        <v>0</v>
      </c>
      <c r="T181" s="408"/>
      <c r="U181" s="411"/>
      <c r="V181" s="414"/>
      <c r="W181" s="149">
        <v>2</v>
      </c>
      <c r="X181" s="182"/>
      <c r="Y181" s="149"/>
      <c r="Z181" s="149"/>
      <c r="AA181" s="304" t="str">
        <f t="shared" si="264"/>
        <v xml:space="preserve">  </v>
      </c>
      <c r="AB181" s="126" t="str">
        <f>IF(OR(AC181="Preventivo",AC181="Detectivo"),"Probabilidad",IF(AC181="Correctivo","Impacto",""))</f>
        <v/>
      </c>
      <c r="AC181" s="127"/>
      <c r="AD181" s="127"/>
      <c r="AE181" s="128" t="str">
        <f t="shared" ref="AE181:AE185" si="273">IF(AND(AC181="Preventivo",AD181="Automático"),"50%",IF(AND(AC181="Preventivo",AD181="Manual"),"40%",IF(AND(AC181="Detectivo",AD181="Automático"),"40%",IF(AND(AC181="Detectivo",AD181="Manual"),"30%",IF(AND(AC181="Correctivo",AD181="Automático"),"35%",IF(AND(AC181="Correctivo",AD181="Manual"),"25%",""))))))</f>
        <v/>
      </c>
      <c r="AF181" s="127"/>
      <c r="AG181" s="127"/>
      <c r="AH181" s="127"/>
      <c r="AI181" s="129" t="str">
        <f>IFERROR(IF(AND(AB180="Probabilidad",AB181="Probabilidad"),(AK180-(+AK180*AE181)),IF(AB181="Probabilidad",(Q180-(+Q180*AE181)),IF(AB181="Impacto",AK180,""))),"")</f>
        <v/>
      </c>
      <c r="AJ181" s="130" t="str">
        <f t="shared" si="266"/>
        <v/>
      </c>
      <c r="AK181" s="128" t="str">
        <f t="shared" ref="AK181:AK185" si="274">+AI181</f>
        <v/>
      </c>
      <c r="AL181" s="130" t="str">
        <f t="shared" si="268"/>
        <v/>
      </c>
      <c r="AM181" s="128" t="str">
        <f t="shared" ref="AM181" si="275">IFERROR(IF(AND(AB180="Impacto",AB181="Impacto"),(AM180-(+AM180*AE181)),IF(AB181="Impacto",($U$10-(+$U$10*AE181)),IF(AB181="Probabilidad",AM180,""))),"")</f>
        <v/>
      </c>
      <c r="AN181" s="131" t="str">
        <f t="shared" ref="AN181:AN182" si="276">IFERROR(IF(OR(AND(AJ181="Muy Baja",AL181="Leve"),AND(AJ181="Muy Baja",AL181="Menor"),AND(AJ181="Baja",AL181="Leve")),"Bajo",IF(OR(AND(AJ181="Muy baja",AL181="Moderado"),AND(AJ181="Baja",AL181="Menor"),AND(AJ181="Baja",AL181="Moderado"),AND(AJ181="Media",AL181="Leve"),AND(AJ181="Media",AL181="Menor"),AND(AJ181="Media",AL181="Moderado"),AND(AJ181="Alta",AL181="Leve"),AND(AJ181="Alta",AL181="Menor")),"Moderado",IF(OR(AND(AJ181="Muy Baja",AL181="Mayor"),AND(AJ181="Baja",AL181="Mayor"),AND(AJ181="Media",AL181="Mayor"),AND(AJ181="Alta",AL181="Moderado"),AND(AJ181="Alta",AL181="Mayor"),AND(AJ181="Muy Alta",AL181="Leve"),AND(AJ181="Muy Alta",AL181="Menor"),AND(AJ181="Muy Alta",AL181="Moderado"),AND(AJ181="Muy Alta",AL181="Mayor")),"Alto",IF(OR(AND(AJ181="Muy Baja",AL181="Catastrófico"),AND(AJ181="Baja",AL181="Catastrófico"),AND(AJ181="Media",AL181="Catastrófico"),AND(AJ181="Alta",AL181="Catastrófico"),AND(AJ181="Muy Alta",AL181="Catastrófico")),"Extremo","")))),"")</f>
        <v/>
      </c>
      <c r="AO181" s="132"/>
      <c r="AP181" s="125"/>
      <c r="AQ181" s="133"/>
      <c r="AR181" s="125"/>
      <c r="AS181" s="134"/>
      <c r="AT181" s="400"/>
      <c r="AU181" s="400"/>
      <c r="AV181" s="489"/>
    </row>
    <row r="182" spans="1:48" ht="14.25" customHeight="1" x14ac:dyDescent="0.2">
      <c r="A182" s="398"/>
      <c r="B182" s="399"/>
      <c r="C182" s="400"/>
      <c r="D182" s="400"/>
      <c r="E182" s="400"/>
      <c r="F182" s="400"/>
      <c r="G182" s="401"/>
      <c r="H182" s="400"/>
      <c r="I182" s="403"/>
      <c r="J182" s="403"/>
      <c r="K182" s="403"/>
      <c r="L182" s="403"/>
      <c r="M182" s="403"/>
      <c r="N182" s="403"/>
      <c r="O182" s="416"/>
      <c r="P182" s="417"/>
      <c r="Q182" s="405"/>
      <c r="R182" s="406"/>
      <c r="S182" s="405">
        <f>IF(NOT(ISERROR(MATCH(R182,_xlfn.ANCHORARRAY(G193),0))),Q195&amp;"Por favor no seleccionar los criterios de impacto",R182)</f>
        <v>0</v>
      </c>
      <c r="T182" s="408"/>
      <c r="U182" s="411"/>
      <c r="V182" s="414"/>
      <c r="W182" s="149">
        <v>3</v>
      </c>
      <c r="X182" s="182"/>
      <c r="Y182" s="149"/>
      <c r="Z182" s="149"/>
      <c r="AA182" s="304" t="str">
        <f t="shared" si="264"/>
        <v xml:space="preserve">  </v>
      </c>
      <c r="AB182" s="126" t="str">
        <f>IF(OR(AC182="Preventivo",AC182="Detectivo"),"Probabilidad",IF(AC182="Correctivo","Impacto",""))</f>
        <v/>
      </c>
      <c r="AC182" s="127"/>
      <c r="AD182" s="127"/>
      <c r="AE182" s="128" t="str">
        <f t="shared" si="273"/>
        <v/>
      </c>
      <c r="AF182" s="127"/>
      <c r="AG182" s="127"/>
      <c r="AH182" s="127"/>
      <c r="AI182" s="129" t="str">
        <f>IFERROR(IF(AND(AB181="Probabilidad",AB182="Probabilidad"),(AK181-(+AK181*AE182)),IF(AND(AB181="Impacto",AB182="Probabilidad"),(AK180-(+AK180*AE182)),IF(AB182="Impacto",AK181,""))),"")</f>
        <v/>
      </c>
      <c r="AJ182" s="130" t="str">
        <f t="shared" si="266"/>
        <v/>
      </c>
      <c r="AK182" s="128" t="str">
        <f t="shared" si="274"/>
        <v/>
      </c>
      <c r="AL182" s="130" t="str">
        <f t="shared" si="268"/>
        <v/>
      </c>
      <c r="AM182" s="128" t="str">
        <f t="shared" ref="AM182:AM185" si="277">IFERROR(IF(AND(AB181="Impacto",AB182="Impacto"),(AM181-(+AM181*AE182)),IF(AND(AB181="Probabilidad",AB182="Impacto"),(AM180-(+AM180*AE182)),IF(AB182="Probabilidad",AM181,""))),"")</f>
        <v/>
      </c>
      <c r="AN182" s="131" t="str">
        <f t="shared" si="276"/>
        <v/>
      </c>
      <c r="AO182" s="132"/>
      <c r="AP182" s="125"/>
      <c r="AQ182" s="133"/>
      <c r="AR182" s="133"/>
      <c r="AS182" s="134"/>
      <c r="AT182" s="400"/>
      <c r="AU182" s="400"/>
      <c r="AV182" s="489"/>
    </row>
    <row r="183" spans="1:48" ht="14.25" customHeight="1" x14ac:dyDescent="0.2">
      <c r="A183" s="398"/>
      <c r="B183" s="399"/>
      <c r="C183" s="400"/>
      <c r="D183" s="400"/>
      <c r="E183" s="400"/>
      <c r="F183" s="400"/>
      <c r="G183" s="401"/>
      <c r="H183" s="400"/>
      <c r="I183" s="403"/>
      <c r="J183" s="403"/>
      <c r="K183" s="403"/>
      <c r="L183" s="403"/>
      <c r="M183" s="403"/>
      <c r="N183" s="403"/>
      <c r="O183" s="416"/>
      <c r="P183" s="417"/>
      <c r="Q183" s="405"/>
      <c r="R183" s="406"/>
      <c r="S183" s="405">
        <f>IF(NOT(ISERROR(MATCH(R183,_xlfn.ANCHORARRAY(G194),0))),Q196&amp;"Por favor no seleccionar los criterios de impacto",R183)</f>
        <v>0</v>
      </c>
      <c r="T183" s="408"/>
      <c r="U183" s="411"/>
      <c r="V183" s="414"/>
      <c r="W183" s="149">
        <v>4</v>
      </c>
      <c r="X183" s="182"/>
      <c r="Y183" s="149"/>
      <c r="Z183" s="149"/>
      <c r="AA183" s="304" t="str">
        <f t="shared" si="264"/>
        <v xml:space="preserve">  </v>
      </c>
      <c r="AB183" s="126" t="str">
        <f t="shared" ref="AB183:AB185" si="278">IF(OR(AC183="Preventivo",AC183="Detectivo"),"Probabilidad",IF(AC183="Correctivo","Impacto",""))</f>
        <v/>
      </c>
      <c r="AC183" s="127"/>
      <c r="AD183" s="127"/>
      <c r="AE183" s="128" t="str">
        <f t="shared" si="273"/>
        <v/>
      </c>
      <c r="AF183" s="127"/>
      <c r="AG183" s="127"/>
      <c r="AH183" s="127"/>
      <c r="AI183" s="129" t="str">
        <f t="shared" ref="AI183:AI185" si="279">IFERROR(IF(AND(AB182="Probabilidad",AB183="Probabilidad"),(AK182-(+AK182*AE183)),IF(AND(AB182="Impacto",AB183="Probabilidad"),(AK181-(+AK181*AE183)),IF(AB183="Impacto",AK182,""))),"")</f>
        <v/>
      </c>
      <c r="AJ183" s="130" t="str">
        <f t="shared" si="266"/>
        <v/>
      </c>
      <c r="AK183" s="128" t="str">
        <f t="shared" si="274"/>
        <v/>
      </c>
      <c r="AL183" s="130" t="str">
        <f t="shared" si="268"/>
        <v/>
      </c>
      <c r="AM183" s="128" t="str">
        <f t="shared" si="277"/>
        <v/>
      </c>
      <c r="AN183" s="131" t="str">
        <f>IFERROR(IF(OR(AND(AJ183="Muy Baja",AL183="Leve"),AND(AJ183="Muy Baja",AL183="Menor"),AND(AJ183="Baja",AL183="Leve")),"Bajo",IF(OR(AND(AJ183="Muy baja",AL183="Moderado"),AND(AJ183="Baja",AL183="Menor"),AND(AJ183="Baja",AL183="Moderado"),AND(AJ183="Media",AL183="Leve"),AND(AJ183="Media",AL183="Menor"),AND(AJ183="Media",AL183="Moderado"),AND(AJ183="Alta",AL183="Leve"),AND(AJ183="Alta",AL183="Menor")),"Moderado",IF(OR(AND(AJ183="Muy Baja",AL183="Mayor"),AND(AJ183="Baja",AL183="Mayor"),AND(AJ183="Media",AL183="Mayor"),AND(AJ183="Alta",AL183="Moderado"),AND(AJ183="Alta",AL183="Mayor"),AND(AJ183="Muy Alta",AL183="Leve"),AND(AJ183="Muy Alta",AL183="Menor"),AND(AJ183="Muy Alta",AL183="Moderado"),AND(AJ183="Muy Alta",AL183="Mayor")),"Alto",IF(OR(AND(AJ183="Muy Baja",AL183="Catastrófico"),AND(AJ183="Baja",AL183="Catastrófico"),AND(AJ183="Media",AL183="Catastrófico"),AND(AJ183="Alta",AL183="Catastrófico"),AND(AJ183="Muy Alta",AL183="Catastrófico")),"Extremo","")))),"")</f>
        <v/>
      </c>
      <c r="AO183" s="132"/>
      <c r="AP183" s="125"/>
      <c r="AQ183" s="133"/>
      <c r="AR183" s="133"/>
      <c r="AS183" s="134"/>
      <c r="AT183" s="400"/>
      <c r="AU183" s="400"/>
      <c r="AV183" s="489"/>
    </row>
    <row r="184" spans="1:48" ht="14.25" customHeight="1" x14ac:dyDescent="0.2">
      <c r="A184" s="398"/>
      <c r="B184" s="399"/>
      <c r="C184" s="400"/>
      <c r="D184" s="400"/>
      <c r="E184" s="400"/>
      <c r="F184" s="400"/>
      <c r="G184" s="401"/>
      <c r="H184" s="400"/>
      <c r="I184" s="403"/>
      <c r="J184" s="403"/>
      <c r="K184" s="403"/>
      <c r="L184" s="403"/>
      <c r="M184" s="403"/>
      <c r="N184" s="403"/>
      <c r="O184" s="416"/>
      <c r="P184" s="417"/>
      <c r="Q184" s="405"/>
      <c r="R184" s="406"/>
      <c r="S184" s="405">
        <f>IF(NOT(ISERROR(MATCH(R184,_xlfn.ANCHORARRAY(G195),0))),Q197&amp;"Por favor no seleccionar los criterios de impacto",R184)</f>
        <v>0</v>
      </c>
      <c r="T184" s="408"/>
      <c r="U184" s="411"/>
      <c r="V184" s="414"/>
      <c r="W184" s="149">
        <v>5</v>
      </c>
      <c r="X184" s="182"/>
      <c r="Y184" s="149"/>
      <c r="Z184" s="149"/>
      <c r="AA184" s="304" t="str">
        <f t="shared" si="264"/>
        <v xml:space="preserve">  </v>
      </c>
      <c r="AB184" s="126" t="str">
        <f t="shared" si="278"/>
        <v/>
      </c>
      <c r="AC184" s="127"/>
      <c r="AD184" s="127"/>
      <c r="AE184" s="128" t="str">
        <f t="shared" si="273"/>
        <v/>
      </c>
      <c r="AF184" s="127"/>
      <c r="AG184" s="127"/>
      <c r="AH184" s="127"/>
      <c r="AI184" s="129" t="str">
        <f t="shared" si="279"/>
        <v/>
      </c>
      <c r="AJ184" s="130" t="str">
        <f t="shared" si="266"/>
        <v/>
      </c>
      <c r="AK184" s="128" t="str">
        <f t="shared" si="274"/>
        <v/>
      </c>
      <c r="AL184" s="130" t="str">
        <f t="shared" si="268"/>
        <v/>
      </c>
      <c r="AM184" s="128" t="str">
        <f t="shared" si="277"/>
        <v/>
      </c>
      <c r="AN184" s="131" t="str">
        <f t="shared" ref="AN184:AN185" si="280">IFERROR(IF(OR(AND(AJ184="Muy Baja",AL184="Leve"),AND(AJ184="Muy Baja",AL184="Menor"),AND(AJ184="Baja",AL184="Leve")),"Bajo",IF(OR(AND(AJ184="Muy baja",AL184="Moderado"),AND(AJ184="Baja",AL184="Menor"),AND(AJ184="Baja",AL184="Moderado"),AND(AJ184="Media",AL184="Leve"),AND(AJ184="Media",AL184="Menor"),AND(AJ184="Media",AL184="Moderado"),AND(AJ184="Alta",AL184="Leve"),AND(AJ184="Alta",AL184="Menor")),"Moderado",IF(OR(AND(AJ184="Muy Baja",AL184="Mayor"),AND(AJ184="Baja",AL184="Mayor"),AND(AJ184="Media",AL184="Mayor"),AND(AJ184="Alta",AL184="Moderado"),AND(AJ184="Alta",AL184="Mayor"),AND(AJ184="Muy Alta",AL184="Leve"),AND(AJ184="Muy Alta",AL184="Menor"),AND(AJ184="Muy Alta",AL184="Moderado"),AND(AJ184="Muy Alta",AL184="Mayor")),"Alto",IF(OR(AND(AJ184="Muy Baja",AL184="Catastrófico"),AND(AJ184="Baja",AL184="Catastrófico"),AND(AJ184="Media",AL184="Catastrófico"),AND(AJ184="Alta",AL184="Catastrófico"),AND(AJ184="Muy Alta",AL184="Catastrófico")),"Extremo","")))),"")</f>
        <v/>
      </c>
      <c r="AO184" s="132"/>
      <c r="AP184" s="125"/>
      <c r="AQ184" s="133"/>
      <c r="AR184" s="133"/>
      <c r="AS184" s="134"/>
      <c r="AT184" s="400"/>
      <c r="AU184" s="400"/>
      <c r="AV184" s="489"/>
    </row>
    <row r="185" spans="1:48" ht="14.25" customHeight="1" x14ac:dyDescent="0.2">
      <c r="A185" s="398"/>
      <c r="B185" s="399"/>
      <c r="C185" s="400"/>
      <c r="D185" s="400"/>
      <c r="E185" s="400"/>
      <c r="F185" s="400"/>
      <c r="G185" s="401"/>
      <c r="H185" s="400"/>
      <c r="I185" s="404"/>
      <c r="J185" s="404"/>
      <c r="K185" s="404"/>
      <c r="L185" s="404"/>
      <c r="M185" s="404"/>
      <c r="N185" s="404"/>
      <c r="O185" s="416"/>
      <c r="P185" s="417"/>
      <c r="Q185" s="405"/>
      <c r="R185" s="406"/>
      <c r="S185" s="405">
        <f>IF(NOT(ISERROR(MATCH(R185,_xlfn.ANCHORARRAY(G196),0))),Q198&amp;"Por favor no seleccionar los criterios de impacto",R185)</f>
        <v>0</v>
      </c>
      <c r="T185" s="409"/>
      <c r="U185" s="412"/>
      <c r="V185" s="415"/>
      <c r="W185" s="149">
        <v>6</v>
      </c>
      <c r="X185" s="149"/>
      <c r="Y185" s="149"/>
      <c r="Z185" s="149"/>
      <c r="AA185" s="304" t="str">
        <f t="shared" si="264"/>
        <v xml:space="preserve">  </v>
      </c>
      <c r="AB185" s="126" t="str">
        <f t="shared" si="278"/>
        <v/>
      </c>
      <c r="AC185" s="127"/>
      <c r="AD185" s="127"/>
      <c r="AE185" s="128" t="str">
        <f t="shared" si="273"/>
        <v/>
      </c>
      <c r="AF185" s="127"/>
      <c r="AG185" s="127"/>
      <c r="AH185" s="127"/>
      <c r="AI185" s="129" t="str">
        <f t="shared" si="279"/>
        <v/>
      </c>
      <c r="AJ185" s="130" t="str">
        <f t="shared" si="266"/>
        <v/>
      </c>
      <c r="AK185" s="128" t="str">
        <f t="shared" si="274"/>
        <v/>
      </c>
      <c r="AL185" s="130" t="str">
        <f t="shared" si="268"/>
        <v/>
      </c>
      <c r="AM185" s="128" t="str">
        <f t="shared" si="277"/>
        <v/>
      </c>
      <c r="AN185" s="131" t="str">
        <f t="shared" si="280"/>
        <v/>
      </c>
      <c r="AO185" s="132"/>
      <c r="AP185" s="125"/>
      <c r="AQ185" s="133"/>
      <c r="AR185" s="133"/>
      <c r="AS185" s="134"/>
      <c r="AT185" s="400"/>
      <c r="AU185" s="400"/>
      <c r="AV185" s="489"/>
    </row>
    <row r="186" spans="1:48" ht="48.75" customHeight="1" x14ac:dyDescent="0.2">
      <c r="A186" s="398">
        <v>30</v>
      </c>
      <c r="B186" s="399" t="s">
        <v>560</v>
      </c>
      <c r="C186" s="400" t="s">
        <v>40</v>
      </c>
      <c r="D186" s="400" t="s">
        <v>1245</v>
      </c>
      <c r="E186" s="400" t="s">
        <v>1246</v>
      </c>
      <c r="F186" s="400" t="s">
        <v>1228</v>
      </c>
      <c r="G186" s="401" t="str">
        <f>+CONCATENATE(C186," ",D180," ",E186)</f>
        <v>Posibilidad de afectación reputacional Por Perdida de credibilidad y confianza de las partes interesadas debido a la inadecuada segregación  de las funciones del personal de planta de la entidad.</v>
      </c>
      <c r="H186" s="400" t="s">
        <v>1092</v>
      </c>
      <c r="I186" s="402" t="s">
        <v>59</v>
      </c>
      <c r="J186" s="402" t="s">
        <v>1247</v>
      </c>
      <c r="K186" s="402" t="s">
        <v>1240</v>
      </c>
      <c r="L186" s="402" t="s">
        <v>1166</v>
      </c>
      <c r="M186" s="402" t="s">
        <v>55</v>
      </c>
      <c r="N186" s="402" t="s">
        <v>55</v>
      </c>
      <c r="O186" s="416">
        <v>465</v>
      </c>
      <c r="P186" s="417" t="str">
        <f>IF(O186&lt;=0,"",IF(O186&lt;=2,"Muy Baja",IF(O186&lt;=24,"Baja",IF(O186&lt;=500,"Media",IF(O186&lt;=5000,"Alta","Muy Alta")))))</f>
        <v>Media</v>
      </c>
      <c r="Q186" s="405">
        <f>IF(P186="","",IF(P186="Muy Baja",0.2,IF(P186="Baja",0.4,IF(P186="Media",0.6,IF(P186="Alta",0.8,IF(P186="Muy Alta",1,))))))</f>
        <v>0.6</v>
      </c>
      <c r="R186" s="406" t="s">
        <v>428</v>
      </c>
      <c r="S186" s="405" t="str">
        <f>IF(NOT(ISERROR(MATCH(R186,'[3]Tabla Impacto'!$B$245:$B$247,0))),'[3]Tabla Impacto'!$F$224&amp;"Por favor no seleccionar los criterios de impacto(Afectación Económica o presupuestal y Pérdida Reputacional)",R186)</f>
        <v xml:space="preserve">     El riesgo afecta la imagen de la entidad con algunos usuarios de relevancia frente al logro de los objetivos</v>
      </c>
      <c r="T186" s="407" t="str">
        <f>IF(OR(S186='[3]Tabla Impacto'!$C$12,S186='[3]Tabla Impacto'!$D$12),"Leve",IF(OR(S186='[3]Tabla Impacto'!$C$13,S186='[3]Tabla Impacto'!$D$13),"Menor",IF(OR(S186='[3]Tabla Impacto'!$C$14,S186='[3]Tabla Impacto'!$D$14),"Moderado",IF(OR(S186='[3]Tabla Impacto'!$C$15,S186='[3]Tabla Impacto'!$D$15),"Mayor",IF(OR(S186='[3]Tabla Impacto'!$C$16,S186='[3]Tabla Impacto'!$D$16),"Catastrófico","")))))</f>
        <v>Moderado</v>
      </c>
      <c r="U186" s="410">
        <f>IF(T186="","",IF(T186="Leve",0.2,IF(T186="Menor",0.4,IF(T186="Moderado",0.6,IF(T186="Mayor",0.8,IF(T186="Catastrófico",1,))))))</f>
        <v>0.6</v>
      </c>
      <c r="V186" s="413" t="str">
        <f>IF(OR(AND(P186="Muy Baja",T186="Leve"),AND(P186="Muy Baja",T186="Menor"),AND(P186="Baja",T186="Leve")),"Bajo",IF(OR(AND(P186="Muy baja",T186="Moderado"),AND(P186="Baja",T186="Menor"),AND(P186="Baja",T186="Moderado"),AND(P186="Media",T186="Leve"),AND(P186="Media",T186="Menor"),AND(P186="Media",T186="Moderado"),AND(P186="Alta",T186="Leve"),AND(P186="Alta",T186="Menor")),"Moderado",IF(OR(AND(P186="Muy Baja",T186="Mayor"),AND(P186="Baja",T186="Mayor"),AND(P186="Media",T186="Mayor"),AND(P186="Alta",T186="Moderado"),AND(P186="Alta",T186="Mayor"),AND(P186="Muy Alta",T186="Leve"),AND(P186="Muy Alta",T186="Menor"),AND(P186="Muy Alta",T186="Moderado"),AND(P186="Muy Alta",T186="Mayor")),"Alto",IF(OR(AND(P186="Muy Baja",T186="Catastrófico"),AND(P186="Baja",T186="Catastrófico"),AND(P186="Media",T186="Catastrófico"),AND(P186="Alta",T186="Catastrófico"),AND(P186="Muy Alta",T186="Catastrófico")),"Extremo",""))))</f>
        <v>Moderado</v>
      </c>
      <c r="W186" s="149">
        <v>1</v>
      </c>
      <c r="X186" s="182" t="s">
        <v>1248</v>
      </c>
      <c r="Y186" s="149" t="s">
        <v>37</v>
      </c>
      <c r="Z186" s="182" t="s">
        <v>1249</v>
      </c>
      <c r="AA186" s="304" t="str">
        <f t="shared" si="264"/>
        <v>El servidor público o contratista (profesional) del proceso GCON designado por la Gerencia de Contratación para adelantar el proceso de contratación directa Verifica Trimestralmente que el colaborador definido como punto de control por las dependencias realicen el seguimiento mensual al cargue de los documentos requeridos para el cargue en SECOP. Como evidencia se cuenta con un listado con la relación de procesos, personas responsables y remisión de los seguimientos. 
En el caso de que no se identifiquen seguimientos por las dependencias, se remitía correo electrónico al directivo responsable informando la situación.</v>
      </c>
      <c r="AB186" s="126" t="str">
        <f>IF(OR(AC186="Preventivo",AC186="Detectivo"),"Probabilidad",IF(AC186="Correctivo","Impacto",""))</f>
        <v>Probabilidad</v>
      </c>
      <c r="AC186" s="127" t="s">
        <v>398</v>
      </c>
      <c r="AD186" s="127" t="s">
        <v>394</v>
      </c>
      <c r="AE186" s="128" t="str">
        <f>IF(AND(AC186="Preventivo",AD186="Automático"),"50%",IF(AND(AC186="Preventivo",AD186="Manual"),"40%",IF(AND(AC186="Detectivo",AD186="Automático"),"40%",IF(AND(AC186="Detectivo",AD186="Manual"),"30%",IF(AND(AC186="Correctivo",AD186="Automático"),"35%",IF(AND(AC186="Correctivo",AD186="Manual"),"25%",""))))))</f>
        <v>40%</v>
      </c>
      <c r="AF186" s="127" t="s">
        <v>395</v>
      </c>
      <c r="AG186" s="127" t="s">
        <v>396</v>
      </c>
      <c r="AH186" s="127" t="s">
        <v>397</v>
      </c>
      <c r="AI186" s="129">
        <f>IFERROR(IF(AB186="Probabilidad",(Q186-(+Q186*AE186)),IF(AB186="Impacto",Q186,"")),"")</f>
        <v>0.36</v>
      </c>
      <c r="AJ186" s="130" t="str">
        <f>IFERROR(IF(AI186="","",IF(AI186&lt;=0.2,"Muy Baja",IF(AI186&lt;=0.4,"Baja",IF(AI186&lt;=0.6,"Media",IF(AI186&lt;=0.8,"Alta","Muy Alta"))))),"")</f>
        <v>Baja</v>
      </c>
      <c r="AK186" s="128">
        <f>+AI186</f>
        <v>0.36</v>
      </c>
      <c r="AL186" s="130" t="str">
        <f>IFERROR(IF(AM186="","",IF(AM186&lt;=0.2,"Leve",IF(AM186&lt;=0.4,"Menor",IF(AM186&lt;=0.6,"Moderado",IF(AM186&lt;=0.8,"Mayor","Catastrófico"))))),"")</f>
        <v>Moderado</v>
      </c>
      <c r="AM186" s="128">
        <f t="shared" ref="AM186" si="281">IFERROR(IF(AB186="Impacto",(U186-(+U186*AE186)),IF(AB186="Probabilidad",U186,"")),"")</f>
        <v>0.6</v>
      </c>
      <c r="AN186" s="131" t="str">
        <f>IFERROR(IF(OR(AND(AJ186="Muy Baja",AL186="Leve"),AND(AJ186="Muy Baja",AL186="Menor"),AND(AJ186="Baja",AL186="Leve")),"Bajo",IF(OR(AND(AJ186="Muy baja",AL186="Moderado"),AND(AJ186="Baja",AL186="Menor"),AND(AJ186="Baja",AL186="Moderado"),AND(AJ186="Media",AL186="Leve"),AND(AJ186="Media",AL186="Menor"),AND(AJ186="Media",AL186="Moderado"),AND(AJ186="Alta",AL186="Leve"),AND(AJ186="Alta",AL186="Menor")),"Moderado",IF(OR(AND(AJ186="Muy Baja",AL186="Mayor"),AND(AJ186="Baja",AL186="Mayor"),AND(AJ186="Media",AL186="Mayor"),AND(AJ186="Alta",AL186="Moderado"),AND(AJ186="Alta",AL186="Mayor"),AND(AJ186="Muy Alta",AL186="Leve"),AND(AJ186="Muy Alta",AL186="Menor"),AND(AJ186="Muy Alta",AL186="Moderado"),AND(AJ186="Muy Alta",AL186="Mayor")),"Alto",IF(OR(AND(AJ186="Muy Baja",AL186="Catastrófico"),AND(AJ186="Baja",AL186="Catastrófico"),AND(AJ186="Media",AL186="Catastrófico"),AND(AJ186="Alta",AL186="Catastrófico"),AND(AJ186="Muy Alta",AL186="Catastrófico")),"Extremo","")))),"")</f>
        <v>Moderado</v>
      </c>
      <c r="AO186" s="132" t="s">
        <v>43</v>
      </c>
      <c r="AP186" s="125" t="s">
        <v>1250</v>
      </c>
      <c r="AQ186" s="125" t="s">
        <v>1234</v>
      </c>
      <c r="AR186" s="125" t="s">
        <v>1235</v>
      </c>
      <c r="AS186" s="134">
        <v>45838</v>
      </c>
      <c r="AT186" s="400" t="s">
        <v>1251</v>
      </c>
      <c r="AU186" s="400" t="s">
        <v>1173</v>
      </c>
      <c r="AV186" s="400" t="s">
        <v>1252</v>
      </c>
    </row>
    <row r="187" spans="1:48" ht="48.75" customHeight="1" x14ac:dyDescent="0.2">
      <c r="A187" s="398"/>
      <c r="B187" s="399"/>
      <c r="C187" s="400"/>
      <c r="D187" s="400"/>
      <c r="E187" s="400"/>
      <c r="F187" s="400"/>
      <c r="G187" s="401"/>
      <c r="H187" s="400"/>
      <c r="I187" s="403"/>
      <c r="J187" s="403"/>
      <c r="K187" s="403"/>
      <c r="L187" s="403"/>
      <c r="M187" s="403"/>
      <c r="N187" s="403"/>
      <c r="O187" s="416"/>
      <c r="P187" s="417"/>
      <c r="Q187" s="405"/>
      <c r="R187" s="406"/>
      <c r="S187" s="405">
        <f>IF(NOT(ISERROR(MATCH(R187,_xlfn.ANCHORARRAY(G198),0))),Q200&amp;"Por favor no seleccionar los criterios de impacto",R187)</f>
        <v>0</v>
      </c>
      <c r="T187" s="408"/>
      <c r="U187" s="411"/>
      <c r="V187" s="414"/>
      <c r="W187" s="149">
        <v>2</v>
      </c>
      <c r="X187" s="345"/>
      <c r="Y187" s="149"/>
      <c r="Z187" s="346"/>
      <c r="AA187" s="304" t="str">
        <f t="shared" si="264"/>
        <v xml:space="preserve">  </v>
      </c>
      <c r="AB187" s="126" t="str">
        <f>IF(OR(AC187="Preventivo",AC187="Detectivo"),"Probabilidad",IF(AC187="Correctivo","Impacto",""))</f>
        <v/>
      </c>
      <c r="AC187" s="127"/>
      <c r="AD187" s="127"/>
      <c r="AE187" s="128" t="str">
        <f t="shared" ref="AE187:AE191" si="282">IF(AND(AC187="Preventivo",AD187="Automático"),"50%",IF(AND(AC187="Preventivo",AD187="Manual"),"40%",IF(AND(AC187="Detectivo",AD187="Automático"),"40%",IF(AND(AC187="Detectivo",AD187="Manual"),"30%",IF(AND(AC187="Correctivo",AD187="Automático"),"35%",IF(AND(AC187="Correctivo",AD187="Manual"),"25%",""))))))</f>
        <v/>
      </c>
      <c r="AF187" s="127"/>
      <c r="AG187" s="127"/>
      <c r="AH187" s="127"/>
      <c r="AI187" s="129" t="str">
        <f>IFERROR(IF(AND(AB186="Probabilidad",AB187="Probabilidad"),(AK186-(+AK186*AE187)),IF(AB187="Probabilidad",(Q186-(+Q186*AE187)),IF(AB187="Impacto",AK186,""))),"")</f>
        <v/>
      </c>
      <c r="AJ187" s="130" t="str">
        <f t="shared" ref="AJ187:AJ189" si="283">IFERROR(IF(AI187="","",IF(AI187&lt;=0.2,"Muy Baja",IF(AI187&lt;=0.4,"Baja",IF(AI187&lt;=0.6,"Media",IF(AI187&lt;=0.8,"Alta","Muy Alta"))))),"")</f>
        <v/>
      </c>
      <c r="AK187" s="128" t="str">
        <f t="shared" ref="AK187:AK191" si="284">+AI187</f>
        <v/>
      </c>
      <c r="AL187" s="130" t="str">
        <f t="shared" ref="AL187:AL191" si="285">IFERROR(IF(AM187="","",IF(AM187&lt;=0.2,"Leve",IF(AM187&lt;=0.4,"Menor",IF(AM187&lt;=0.6,"Moderado",IF(AM187&lt;=0.8,"Mayor","Catastrófico"))))),"")</f>
        <v/>
      </c>
      <c r="AM187" s="128" t="str">
        <f t="shared" ref="AM187" si="286">IFERROR(IF(AND(AB186="Impacto",AB187="Impacto"),(AM186-(+AM186*AE187)),IF(AB187="Impacto",($U$10-(+$U$10*AE187)),IF(AB187="Probabilidad",AM186,""))),"")</f>
        <v/>
      </c>
      <c r="AN187" s="131" t="str">
        <f t="shared" ref="AN187:AN188" si="287">IFERROR(IF(OR(AND(AJ187="Muy Baja",AL187="Leve"),AND(AJ187="Muy Baja",AL187="Menor"),AND(AJ187="Baja",AL187="Leve")),"Bajo",IF(OR(AND(AJ187="Muy baja",AL187="Moderado"),AND(AJ187="Baja",AL187="Menor"),AND(AJ187="Baja",AL187="Moderado"),AND(AJ187="Media",AL187="Leve"),AND(AJ187="Media",AL187="Menor"),AND(AJ187="Media",AL187="Moderado"),AND(AJ187="Alta",AL187="Leve"),AND(AJ187="Alta",AL187="Menor")),"Moderado",IF(OR(AND(AJ187="Muy Baja",AL187="Mayor"),AND(AJ187="Baja",AL187="Mayor"),AND(AJ187="Media",AL187="Mayor"),AND(AJ187="Alta",AL187="Moderado"),AND(AJ187="Alta",AL187="Mayor"),AND(AJ187="Muy Alta",AL187="Leve"),AND(AJ187="Muy Alta",AL187="Menor"),AND(AJ187="Muy Alta",AL187="Moderado"),AND(AJ187="Muy Alta",AL187="Mayor")),"Alto",IF(OR(AND(AJ187="Muy Baja",AL187="Catastrófico"),AND(AJ187="Baja",AL187="Catastrófico"),AND(AJ187="Media",AL187="Catastrófico"),AND(AJ187="Alta",AL187="Catastrófico"),AND(AJ187="Muy Alta",AL187="Catastrófico")),"Extremo","")))),"")</f>
        <v/>
      </c>
      <c r="AO187" s="132"/>
      <c r="AP187" s="125"/>
      <c r="AQ187" s="133"/>
      <c r="AR187" s="133"/>
      <c r="AS187" s="134"/>
      <c r="AT187" s="400"/>
      <c r="AU187" s="400"/>
      <c r="AV187" s="400"/>
    </row>
    <row r="188" spans="1:48" ht="14.25" customHeight="1" x14ac:dyDescent="0.2">
      <c r="A188" s="398"/>
      <c r="B188" s="399"/>
      <c r="C188" s="400"/>
      <c r="D188" s="400"/>
      <c r="E188" s="400"/>
      <c r="F188" s="400"/>
      <c r="G188" s="401"/>
      <c r="H188" s="400"/>
      <c r="I188" s="403"/>
      <c r="J188" s="403"/>
      <c r="K188" s="403"/>
      <c r="L188" s="403"/>
      <c r="M188" s="403"/>
      <c r="N188" s="403"/>
      <c r="O188" s="416"/>
      <c r="P188" s="417"/>
      <c r="Q188" s="405"/>
      <c r="R188" s="406"/>
      <c r="S188" s="405">
        <f>IF(NOT(ISERROR(MATCH(R188,_xlfn.ANCHORARRAY(G199),0))),Q201&amp;"Por favor no seleccionar los criterios de impacto",R188)</f>
        <v>0</v>
      </c>
      <c r="T188" s="408"/>
      <c r="U188" s="411"/>
      <c r="V188" s="414"/>
      <c r="W188" s="149">
        <v>3</v>
      </c>
      <c r="X188" s="182"/>
      <c r="Y188" s="149"/>
      <c r="Z188" s="149"/>
      <c r="AA188" s="304" t="str">
        <f t="shared" si="264"/>
        <v xml:space="preserve">  </v>
      </c>
      <c r="AB188" s="126" t="str">
        <f>IF(OR(AC188="Preventivo",AC188="Detectivo"),"Probabilidad",IF(AC188="Correctivo","Impacto",""))</f>
        <v/>
      </c>
      <c r="AC188" s="127"/>
      <c r="AD188" s="127"/>
      <c r="AE188" s="128" t="str">
        <f t="shared" si="282"/>
        <v/>
      </c>
      <c r="AF188" s="127"/>
      <c r="AG188" s="127"/>
      <c r="AH188" s="127"/>
      <c r="AI188" s="129" t="str">
        <f>IFERROR(IF(AND(AB187="Probabilidad",AB188="Probabilidad"),(AK187-(+AK187*AE188)),IF(AND(AB187="Impacto",AB188="Probabilidad"),(AK186-(+AK186*AE188)),IF(AB188="Impacto",AK187,""))),"")</f>
        <v/>
      </c>
      <c r="AJ188" s="130" t="str">
        <f t="shared" si="283"/>
        <v/>
      </c>
      <c r="AK188" s="128" t="str">
        <f t="shared" si="284"/>
        <v/>
      </c>
      <c r="AL188" s="130" t="str">
        <f t="shared" si="285"/>
        <v/>
      </c>
      <c r="AM188" s="128" t="str">
        <f t="shared" ref="AM188:AM191" si="288">IFERROR(IF(AND(AB187="Impacto",AB188="Impacto"),(AM187-(+AM187*AE188)),IF(AND(AB187="Probabilidad",AB188="Impacto"),(AM186-(+AM186*AE188)),IF(AB188="Probabilidad",AM187,""))),"")</f>
        <v/>
      </c>
      <c r="AN188" s="131" t="str">
        <f t="shared" si="287"/>
        <v/>
      </c>
      <c r="AO188" s="132"/>
      <c r="AP188" s="304"/>
      <c r="AQ188" s="304"/>
      <c r="AR188" s="304"/>
      <c r="AS188" s="304"/>
      <c r="AT188" s="400"/>
      <c r="AU188" s="400"/>
      <c r="AV188" s="400"/>
    </row>
    <row r="189" spans="1:48" ht="14.25" customHeight="1" x14ac:dyDescent="0.2">
      <c r="A189" s="398"/>
      <c r="B189" s="399"/>
      <c r="C189" s="400"/>
      <c r="D189" s="400"/>
      <c r="E189" s="400"/>
      <c r="F189" s="400"/>
      <c r="G189" s="401"/>
      <c r="H189" s="400"/>
      <c r="I189" s="403"/>
      <c r="J189" s="403"/>
      <c r="K189" s="403"/>
      <c r="L189" s="403"/>
      <c r="M189" s="403"/>
      <c r="N189" s="403"/>
      <c r="O189" s="416"/>
      <c r="P189" s="417"/>
      <c r="Q189" s="405"/>
      <c r="R189" s="406"/>
      <c r="S189" s="405">
        <f>IF(NOT(ISERROR(MATCH(R189,_xlfn.ANCHORARRAY(G200),0))),Q202&amp;"Por favor no seleccionar los criterios de impacto",R189)</f>
        <v>0</v>
      </c>
      <c r="T189" s="408"/>
      <c r="U189" s="411"/>
      <c r="V189" s="414"/>
      <c r="W189" s="149">
        <v>4</v>
      </c>
      <c r="X189" s="182"/>
      <c r="Y189" s="149"/>
      <c r="Z189" s="149"/>
      <c r="AA189" s="304" t="str">
        <f t="shared" si="264"/>
        <v xml:space="preserve">  </v>
      </c>
      <c r="AB189" s="126" t="str">
        <f t="shared" ref="AB189:AB197" si="289">IF(OR(AC189="Preventivo",AC189="Detectivo"),"Probabilidad",IF(AC189="Correctivo","Impacto",""))</f>
        <v/>
      </c>
      <c r="AC189" s="127"/>
      <c r="AD189" s="127"/>
      <c r="AE189" s="128" t="str">
        <f t="shared" si="282"/>
        <v/>
      </c>
      <c r="AF189" s="127"/>
      <c r="AG189" s="127"/>
      <c r="AH189" s="127"/>
      <c r="AI189" s="129" t="str">
        <f t="shared" ref="AI189:AI191" si="290">IFERROR(IF(AND(AB188="Probabilidad",AB189="Probabilidad"),(AK188-(+AK188*AE189)),IF(AND(AB188="Impacto",AB189="Probabilidad"),(AK187-(+AK187*AE189)),IF(AB189="Impacto",AK188,""))),"")</f>
        <v/>
      </c>
      <c r="AJ189" s="130" t="str">
        <f t="shared" si="283"/>
        <v/>
      </c>
      <c r="AK189" s="128" t="str">
        <f t="shared" si="284"/>
        <v/>
      </c>
      <c r="AL189" s="130" t="str">
        <f t="shared" si="285"/>
        <v/>
      </c>
      <c r="AM189" s="128" t="str">
        <f t="shared" si="288"/>
        <v/>
      </c>
      <c r="AN189" s="131" t="str">
        <f>IFERROR(IF(OR(AND(AJ189="Muy Baja",AL189="Leve"),AND(AJ189="Muy Baja",AL189="Menor"),AND(AJ189="Baja",AL189="Leve")),"Bajo",IF(OR(AND(AJ189="Muy baja",AL189="Moderado"),AND(AJ189="Baja",AL189="Menor"),AND(AJ189="Baja",AL189="Moderado"),AND(AJ189="Media",AL189="Leve"),AND(AJ189="Media",AL189="Menor"),AND(AJ189="Media",AL189="Moderado"),AND(AJ189="Alta",AL189="Leve"),AND(AJ189="Alta",AL189="Menor")),"Moderado",IF(OR(AND(AJ189="Muy Baja",AL189="Mayor"),AND(AJ189="Baja",AL189="Mayor"),AND(AJ189="Media",AL189="Mayor"),AND(AJ189="Alta",AL189="Moderado"),AND(AJ189="Alta",AL189="Mayor"),AND(AJ189="Muy Alta",AL189="Leve"),AND(AJ189="Muy Alta",AL189="Menor"),AND(AJ189="Muy Alta",AL189="Moderado"),AND(AJ189="Muy Alta",AL189="Mayor")),"Alto",IF(OR(AND(AJ189="Muy Baja",AL189="Catastrófico"),AND(AJ189="Baja",AL189="Catastrófico"),AND(AJ189="Media",AL189="Catastrófico"),AND(AJ189="Alta",AL189="Catastrófico"),AND(AJ189="Muy Alta",AL189="Catastrófico")),"Extremo","")))),"")</f>
        <v/>
      </c>
      <c r="AO189" s="132"/>
      <c r="AP189" s="304"/>
      <c r="AQ189" s="304"/>
      <c r="AR189" s="304"/>
      <c r="AS189" s="304"/>
      <c r="AT189" s="400"/>
      <c r="AU189" s="400"/>
      <c r="AV189" s="400"/>
    </row>
    <row r="190" spans="1:48" ht="14.25" customHeight="1" x14ac:dyDescent="0.2">
      <c r="A190" s="398"/>
      <c r="B190" s="399"/>
      <c r="C190" s="400"/>
      <c r="D190" s="400"/>
      <c r="E190" s="400"/>
      <c r="F190" s="400"/>
      <c r="G190" s="401"/>
      <c r="H190" s="400"/>
      <c r="I190" s="403"/>
      <c r="J190" s="403"/>
      <c r="K190" s="403"/>
      <c r="L190" s="403"/>
      <c r="M190" s="403"/>
      <c r="N190" s="403"/>
      <c r="O190" s="416"/>
      <c r="P190" s="417"/>
      <c r="Q190" s="405"/>
      <c r="R190" s="406"/>
      <c r="S190" s="405">
        <f>IF(NOT(ISERROR(MATCH(R190,_xlfn.ANCHORARRAY(G201),0))),Q203&amp;"Por favor no seleccionar los criterios de impacto",R190)</f>
        <v>0</v>
      </c>
      <c r="T190" s="408"/>
      <c r="U190" s="411"/>
      <c r="V190" s="414"/>
      <c r="W190" s="149">
        <v>5</v>
      </c>
      <c r="X190" s="182"/>
      <c r="Y190" s="149"/>
      <c r="Z190" s="149"/>
      <c r="AA190" s="304" t="str">
        <f t="shared" si="264"/>
        <v xml:space="preserve">  </v>
      </c>
      <c r="AB190" s="126" t="str">
        <f t="shared" si="289"/>
        <v/>
      </c>
      <c r="AC190" s="127"/>
      <c r="AD190" s="127"/>
      <c r="AE190" s="128" t="str">
        <f t="shared" si="282"/>
        <v/>
      </c>
      <c r="AF190" s="127"/>
      <c r="AG190" s="127"/>
      <c r="AH190" s="127"/>
      <c r="AI190" s="129" t="str">
        <f t="shared" si="290"/>
        <v/>
      </c>
      <c r="AJ190" s="130" t="str">
        <f>IFERROR(IF(AI190="","",IF(AI190&lt;=0.2,"Muy Baja",IF(AI190&lt;=0.4,"Baja",IF(AI190&lt;=0.6,"Media",IF(AI190&lt;=0.8,"Alta","Muy Alta"))))),"")</f>
        <v/>
      </c>
      <c r="AK190" s="128" t="str">
        <f t="shared" si="284"/>
        <v/>
      </c>
      <c r="AL190" s="130" t="str">
        <f t="shared" si="285"/>
        <v/>
      </c>
      <c r="AM190" s="128" t="str">
        <f t="shared" si="288"/>
        <v/>
      </c>
      <c r="AN190" s="131" t="str">
        <f t="shared" ref="AN190:AN191" si="291">IFERROR(IF(OR(AND(AJ190="Muy Baja",AL190="Leve"),AND(AJ190="Muy Baja",AL190="Menor"),AND(AJ190="Baja",AL190="Leve")),"Bajo",IF(OR(AND(AJ190="Muy baja",AL190="Moderado"),AND(AJ190="Baja",AL190="Menor"),AND(AJ190="Baja",AL190="Moderado"),AND(AJ190="Media",AL190="Leve"),AND(AJ190="Media",AL190="Menor"),AND(AJ190="Media",AL190="Moderado"),AND(AJ190="Alta",AL190="Leve"),AND(AJ190="Alta",AL190="Menor")),"Moderado",IF(OR(AND(AJ190="Muy Baja",AL190="Mayor"),AND(AJ190="Baja",AL190="Mayor"),AND(AJ190="Media",AL190="Mayor"),AND(AJ190="Alta",AL190="Moderado"),AND(AJ190="Alta",AL190="Mayor"),AND(AJ190="Muy Alta",AL190="Leve"),AND(AJ190="Muy Alta",AL190="Menor"),AND(AJ190="Muy Alta",AL190="Moderado"),AND(AJ190="Muy Alta",AL190="Mayor")),"Alto",IF(OR(AND(AJ190="Muy Baja",AL190="Catastrófico"),AND(AJ190="Baja",AL190="Catastrófico"),AND(AJ190="Media",AL190="Catastrófico"),AND(AJ190="Alta",AL190="Catastrófico"),AND(AJ190="Muy Alta",AL190="Catastrófico")),"Extremo","")))),"")</f>
        <v/>
      </c>
      <c r="AO190" s="132"/>
      <c r="AP190" s="304"/>
      <c r="AQ190" s="304"/>
      <c r="AR190" s="304"/>
      <c r="AS190" s="304"/>
      <c r="AT190" s="400"/>
      <c r="AU190" s="400"/>
      <c r="AV190" s="400"/>
    </row>
    <row r="191" spans="1:48" ht="14.25" customHeight="1" x14ac:dyDescent="0.2">
      <c r="A191" s="398"/>
      <c r="B191" s="399"/>
      <c r="C191" s="400"/>
      <c r="D191" s="400"/>
      <c r="E191" s="400"/>
      <c r="F191" s="400"/>
      <c r="G191" s="401"/>
      <c r="H191" s="400"/>
      <c r="I191" s="404"/>
      <c r="J191" s="404"/>
      <c r="K191" s="404"/>
      <c r="L191" s="404"/>
      <c r="M191" s="404"/>
      <c r="N191" s="404"/>
      <c r="O191" s="416"/>
      <c r="P191" s="417"/>
      <c r="Q191" s="405"/>
      <c r="R191" s="406"/>
      <c r="S191" s="405">
        <f>IF(NOT(ISERROR(MATCH(R191,_xlfn.ANCHORARRAY(G202),0))),Q204&amp;"Por favor no seleccionar los criterios de impacto",R191)</f>
        <v>0</v>
      </c>
      <c r="T191" s="409"/>
      <c r="U191" s="412"/>
      <c r="V191" s="415"/>
      <c r="W191" s="149">
        <v>6</v>
      </c>
      <c r="X191" s="149"/>
      <c r="Y191" s="149"/>
      <c r="Z191" s="149"/>
      <c r="AA191" s="304" t="str">
        <f t="shared" si="264"/>
        <v xml:space="preserve">  </v>
      </c>
      <c r="AB191" s="126" t="str">
        <f t="shared" si="289"/>
        <v/>
      </c>
      <c r="AC191" s="127"/>
      <c r="AD191" s="127"/>
      <c r="AE191" s="128" t="str">
        <f t="shared" si="282"/>
        <v/>
      </c>
      <c r="AF191" s="127"/>
      <c r="AG191" s="127"/>
      <c r="AH191" s="127"/>
      <c r="AI191" s="129" t="str">
        <f t="shared" si="290"/>
        <v/>
      </c>
      <c r="AJ191" s="130" t="str">
        <f t="shared" ref="AJ191" si="292">IFERROR(IF(AI191="","",IF(AI191&lt;=0.2,"Muy Baja",IF(AI191&lt;=0.4,"Baja",IF(AI191&lt;=0.6,"Media",IF(AI191&lt;=0.8,"Alta","Muy Alta"))))),"")</f>
        <v/>
      </c>
      <c r="AK191" s="128" t="str">
        <f t="shared" si="284"/>
        <v/>
      </c>
      <c r="AL191" s="130" t="str">
        <f t="shared" si="285"/>
        <v/>
      </c>
      <c r="AM191" s="128" t="str">
        <f t="shared" si="288"/>
        <v/>
      </c>
      <c r="AN191" s="131" t="str">
        <f t="shared" si="291"/>
        <v/>
      </c>
      <c r="AO191" s="132"/>
      <c r="AP191" s="304"/>
      <c r="AQ191" s="304"/>
      <c r="AR191" s="304"/>
      <c r="AS191" s="304"/>
      <c r="AT191" s="400"/>
      <c r="AU191" s="400"/>
      <c r="AV191" s="400"/>
    </row>
    <row r="192" spans="1:48" ht="48.75" customHeight="1" x14ac:dyDescent="0.2">
      <c r="A192" s="398">
        <v>31</v>
      </c>
      <c r="B192" s="399" t="s">
        <v>561</v>
      </c>
      <c r="C192" s="400" t="s">
        <v>36</v>
      </c>
      <c r="D192" s="400" t="s">
        <v>1253</v>
      </c>
      <c r="E192" s="490" t="s">
        <v>1254</v>
      </c>
      <c r="F192" s="400" t="s">
        <v>1255</v>
      </c>
      <c r="G192" s="491" t="str">
        <f>+CONCATENATE(C192," ",D192," ",E192)</f>
        <v>Posibilidad de afectación económica Por inadecuada disposición de los archivos de gestión en las dependencias y procesos de la Entidad,  Debido a que, la información documentada en los archivos de gestión se encuentra sin la aplicación de los lineamientos asociados a la organización, custodia y conservación de los documentos.</v>
      </c>
      <c r="H192" s="400" t="s">
        <v>391</v>
      </c>
      <c r="I192" s="402" t="s">
        <v>62</v>
      </c>
      <c r="J192" s="492" t="s">
        <v>1256</v>
      </c>
      <c r="K192" s="402" t="s">
        <v>1257</v>
      </c>
      <c r="L192" s="402" t="s">
        <v>1258</v>
      </c>
      <c r="M192" s="402" t="s">
        <v>77</v>
      </c>
      <c r="N192" s="402" t="s">
        <v>46</v>
      </c>
      <c r="O192" s="416">
        <v>3</v>
      </c>
      <c r="P192" s="417" t="str">
        <f>IF(O192&lt;=0,"",IF(O192&lt;=2,"Muy Baja",IF(O192&lt;=24,"Baja",IF(O192&lt;=500,"Media",IF(O192&lt;=5000,"Alta","Muy Alta")))))</f>
        <v>Baja</v>
      </c>
      <c r="Q192" s="405">
        <f>IF(P192="","",IF(P192="Muy Baja",0.2,IF(P192="Baja",0.4,IF(P192="Media",0.6,IF(P192="Alta",0.8,IF(P192="Muy Alta",1,))))))</f>
        <v>0.4</v>
      </c>
      <c r="R192" s="406" t="s">
        <v>1259</v>
      </c>
      <c r="S192" s="405" t="str">
        <f>IF(NOT(ISERROR(MATCH(R192,'[6]Tabla Impacto'!$B$245:$B$247,0))),'[6]Tabla Impacto'!$F$224&amp;"Por favor no seleccionar los criterios de impacto(Afectación Económica o presupuestal y Pérdida Reputacional)",R192)</f>
        <v xml:space="preserve">     Afectación menor a 130 SMLMV</v>
      </c>
      <c r="T192" s="417" t="s">
        <v>528</v>
      </c>
      <c r="U192" s="405">
        <f>IF(T192="","",IF(T192="Leve",0.2,IF(T192="Menor",0.4,IF(T192="Moderado",0.6,IF(T192="Mayor",0.8,IF(T192="Catastrófico",1,))))))</f>
        <v>0.2</v>
      </c>
      <c r="V192" s="418" t="str">
        <f>IF(OR(AND(P192="Muy Baja",T192="Leve"),AND(P192="Muy Baja",T192="Menor"),AND(P192="Baja",T192="Leve")),"Bajo",IF(OR(AND(P192="Muy baja",T192="Moderado"),AND(P192="Baja",T192="Menor"),AND(P192="Baja",T192="Moderado"),AND(P192="Media",T192="Leve"),AND(P192="Media",T192="Menor"),AND(P192="Media",T192="Moderado"),AND(P192="Alta",T192="Leve"),AND(P192="Alta",T192="Menor")),"Moderado",IF(OR(AND(P192="Muy Baja",T192="Mayor"),AND(P192="Baja",T192="Mayor"),AND(P192="Media",T192="Mayor"),AND(P192="Alta",T192="Moderado"),AND(P192="Alta",T192="Mayor"),AND(P192="Muy Alta",T192="Leve"),AND(P192="Muy Alta",T192="Menor"),AND(P192="Muy Alta",T192="Moderado"),AND(P192="Muy Alta",T192="Mayor")),"Alto",IF(OR(AND(P192="Muy Baja",T192="Catastrófico"),AND(P192="Baja",T192="Catastrófico"),AND(P192="Media",T192="Catastrófico"),AND(P192="Alta",T192="Catastrófico"),AND(P192="Muy Alta",T192="Catastrófico")),"Extremo",""))))</f>
        <v>Bajo</v>
      </c>
      <c r="W192" s="149">
        <v>1</v>
      </c>
      <c r="X192" s="182" t="s">
        <v>1260</v>
      </c>
      <c r="Y192" s="182" t="s">
        <v>52</v>
      </c>
      <c r="Z192" s="182" t="s">
        <v>1261</v>
      </c>
      <c r="AA192" s="174" t="str">
        <f>+CONCATENATE(X192," ",Y192," ",Z192)</f>
        <v>El colaborador designado por el lider del proceso Revisa cuatrimestralmente, que los inventarios recibidos por las dependencias estén alineados con las Tablas de Retención Documental (TRD) para su posterior publicación en la intranet de la entidad. La evidencia de esta actividad es la comunicación oficial enviada a las dependencias, en la que se solicita la actualización de los inventarios.
En caso de identificar falencias en los inventarios documentales recibidos, se procederá a notificar a los responsables de las dependencias por correo electrónico, solicitando los ajustes necesarios.</v>
      </c>
      <c r="AB192" s="126" t="str">
        <f t="shared" si="289"/>
        <v>Probabilidad</v>
      </c>
      <c r="AC192" s="127" t="s">
        <v>398</v>
      </c>
      <c r="AD192" s="127" t="s">
        <v>394</v>
      </c>
      <c r="AE192" s="128" t="str">
        <f>IF(AND(AC192="Preventivo",AD192="Automático"),"50%",IF(AND(AC192="Preventivo",AD192="Manual"),"40%",IF(AND(AC192="Detectivo",AD192="Automático"),"40%",IF(AND(AC192="Detectivo",AD192="Manual"),"30%",IF(AND(AC192="Correctivo",AD192="Automático"),"35%",IF(AND(AC192="Correctivo",AD192="Manual"),"25%",""))))))</f>
        <v>40%</v>
      </c>
      <c r="AF192" s="127" t="s">
        <v>395</v>
      </c>
      <c r="AG192" s="127" t="s">
        <v>396</v>
      </c>
      <c r="AH192" s="127" t="s">
        <v>397</v>
      </c>
      <c r="AI192" s="129">
        <f>IFERROR(IF(AB192="Probabilidad",(Q192-(+Q192*AE192)),IF(AB192="Impacto",Q192,"")),"")</f>
        <v>0.24</v>
      </c>
      <c r="AJ192" s="130" t="str">
        <f>IFERROR(IF(AI192="","",IF(AI192&lt;=0.2,"Muy Baja",IF(AI192&lt;=0.4,"Baja",IF(AI192&lt;=0.6,"Media",IF(AI192&lt;=0.8,"Alta","Muy Alta"))))),"")</f>
        <v>Baja</v>
      </c>
      <c r="AK192" s="128">
        <f>+AI192</f>
        <v>0.24</v>
      </c>
      <c r="AL192" s="130" t="str">
        <f>IFERROR(IF(AM192="","",IF(AM192&lt;=0.2,"Leve",IF(AM192&lt;=0.4,"Menor",IF(AM192&lt;=0.6,"Moderado",IF(AM192&lt;=0.8,"Mayor","Catastrófico"))))),"")</f>
        <v>Leve</v>
      </c>
      <c r="AM192" s="128">
        <f>IFERROR(IF(AB192="Impacto",(U192-(+U192*AE192)),IF(AB192="Probabilidad",U192,"")),"")</f>
        <v>0.2</v>
      </c>
      <c r="AN192" s="131" t="str">
        <f>IFERROR(IF(OR(AND(AJ192="Muy Baja",AL192="Leve"),AND(AJ192="Muy Baja",AL192="Menor"),AND(AJ192="Baja",AL192="Leve")),"Bajo",IF(OR(AND(AJ192="Muy baja",AL192="Moderado"),AND(AJ192="Baja",AL192="Menor"),AND(AJ192="Baja",AL192="Moderado"),AND(AJ192="Media",AL192="Leve"),AND(AJ192="Media",AL192="Menor"),AND(AJ192="Media",AL192="Moderado"),AND(AJ192="Alta",AL192="Leve"),AND(AJ192="Alta",AL192="Menor")),"Moderado",IF(OR(AND(AJ192="Muy Baja",AL192="Mayor"),AND(AJ192="Baja",AL192="Mayor"),AND(AJ192="Media",AL192="Mayor"),AND(AJ192="Alta",AL192="Moderado"),AND(AJ192="Alta",AL192="Mayor"),AND(AJ192="Muy Alta",AL192="Leve"),AND(AJ192="Muy Alta",AL192="Menor"),AND(AJ192="Muy Alta",AL192="Moderado"),AND(AJ192="Muy Alta",AL192="Mayor")),"Alto",IF(OR(AND(AJ192="Muy Baja",AL192="Catastrófico"),AND(AJ192="Baja",AL192="Catastrófico"),AND(AJ192="Media",AL192="Catastrófico"),AND(AJ192="Alta",AL192="Catastrófico"),AND(AJ192="Muy Alta",AL192="Catastrófico")),"Extremo","")))),"")</f>
        <v>Bajo</v>
      </c>
      <c r="AO192" s="132" t="s">
        <v>35</v>
      </c>
      <c r="AP192" s="125" t="s">
        <v>1262</v>
      </c>
      <c r="AQ192" s="125" t="s">
        <v>1263</v>
      </c>
      <c r="AR192" s="125" t="s">
        <v>1264</v>
      </c>
      <c r="AS192" s="134" t="s">
        <v>847</v>
      </c>
      <c r="AT192" s="400" t="s">
        <v>1265</v>
      </c>
      <c r="AU192" s="400" t="s">
        <v>1266</v>
      </c>
      <c r="AV192" s="400" t="s">
        <v>1267</v>
      </c>
    </row>
    <row r="193" spans="1:48" x14ac:dyDescent="0.2">
      <c r="A193" s="398"/>
      <c r="B193" s="399"/>
      <c r="C193" s="400"/>
      <c r="D193" s="400"/>
      <c r="E193" s="490"/>
      <c r="F193" s="400"/>
      <c r="G193" s="491"/>
      <c r="H193" s="400"/>
      <c r="I193" s="403"/>
      <c r="J193" s="493"/>
      <c r="K193" s="403"/>
      <c r="L193" s="403"/>
      <c r="M193" s="403"/>
      <c r="N193" s="403"/>
      <c r="O193" s="416"/>
      <c r="P193" s="417"/>
      <c r="Q193" s="405"/>
      <c r="R193" s="406"/>
      <c r="S193" s="405">
        <f>IF(NOT(ISERROR(MATCH(R193,_xlfn.ANCHORARRAY(G204),0))),Q206&amp;"Por favor no seleccionar los criterios de impacto",R193)</f>
        <v>0</v>
      </c>
      <c r="T193" s="417"/>
      <c r="U193" s="405"/>
      <c r="V193" s="418"/>
      <c r="W193" s="149">
        <v>2</v>
      </c>
      <c r="X193" s="182"/>
      <c r="Y193" s="149"/>
      <c r="Z193" s="149"/>
      <c r="AA193" s="174" t="str">
        <f t="shared" ref="AA193:AA227" si="293">+CONCATENATE(X193," ",Y193," ",Z193)</f>
        <v xml:space="preserve">  </v>
      </c>
      <c r="AB193" s="126" t="str">
        <f t="shared" si="289"/>
        <v/>
      </c>
      <c r="AC193" s="127"/>
      <c r="AD193" s="127"/>
      <c r="AE193" s="128" t="str">
        <f t="shared" ref="AE193:AE197" si="294">IF(AND(AC193="Preventivo",AD193="Automático"),"50%",IF(AND(AC193="Preventivo",AD193="Manual"),"40%",IF(AND(AC193="Detectivo",AD193="Automático"),"40%",IF(AND(AC193="Detectivo",AD193="Manual"),"30%",IF(AND(AC193="Correctivo",AD193="Automático"),"35%",IF(AND(AC193="Correctivo",AD193="Manual"),"25%",""))))))</f>
        <v/>
      </c>
      <c r="AF193" s="127"/>
      <c r="AG193" s="127"/>
      <c r="AH193" s="127"/>
      <c r="AI193" s="129" t="str">
        <f>IFERROR(IF(AND(AB192="Probabilidad",AB193="Probabilidad"),(AK192-(+AK192*AE193)),IF(AB193="Probabilidad",(Q192-(+Q192*AE193)),IF(AB193="Impacto",AK192,""))),"")</f>
        <v/>
      </c>
      <c r="AJ193" s="130" t="str">
        <f t="shared" ref="AJ193:AJ203" si="295">IFERROR(IF(AI193="","",IF(AI193&lt;=0.2,"Muy Baja",IF(AI193&lt;=0.4,"Baja",IF(AI193&lt;=0.6,"Media",IF(AI193&lt;=0.8,"Alta","Muy Alta"))))),"")</f>
        <v/>
      </c>
      <c r="AK193" s="128" t="str">
        <f t="shared" ref="AK193:AK197" si="296">+AI193</f>
        <v/>
      </c>
      <c r="AL193" s="130" t="str">
        <f t="shared" ref="AL193:AL203" si="297">IFERROR(IF(AM193="","",IF(AM193&lt;=0.2,"Leve",IF(AM193&lt;=0.4,"Menor",IF(AM193&lt;=0.6,"Moderado",IF(AM193&lt;=0.8,"Mayor","Catastrófico"))))),"")</f>
        <v/>
      </c>
      <c r="AM193" s="128" t="str">
        <f>IFERROR(IF(AND(AB192="Impacto",AB193="Impacto"),(AM192-(+AM192*AE193)),IF(AB193="Impacto",($T$13-(+$T$13*AE193)),IF(AB193="Probabilidad",AM192,""))),"")</f>
        <v/>
      </c>
      <c r="AN193" s="131" t="str">
        <f t="shared" ref="AN193:AN197" si="298">IFERROR(IF(OR(AND(AJ193="Muy Baja",AL193="Leve"),AND(AJ193="Muy Baja",AL193="Menor"),AND(AJ193="Baja",AL193="Leve")),"Bajo",IF(OR(AND(AJ193="Muy baja",AL193="Moderado"),AND(AJ193="Baja",AL193="Menor"),AND(AJ193="Baja",AL193="Moderado"),AND(AJ193="Media",AL193="Leve"),AND(AJ193="Media",AL193="Menor"),AND(AJ193="Media",AL193="Moderado"),AND(AJ193="Alta",AL193="Leve"),AND(AJ193="Alta",AL193="Menor")),"Moderado",IF(OR(AND(AJ193="Muy Baja",AL193="Mayor"),AND(AJ193="Baja",AL193="Mayor"),AND(AJ193="Media",AL193="Mayor"),AND(AJ193="Alta",AL193="Moderado"),AND(AJ193="Alta",AL193="Mayor"),AND(AJ193="Muy Alta",AL193="Leve"),AND(AJ193="Muy Alta",AL193="Menor"),AND(AJ193="Muy Alta",AL193="Moderado"),AND(AJ193="Muy Alta",AL193="Mayor")),"Alto",IF(OR(AND(AJ193="Muy Baja",AL193="Catastrófico"),AND(AJ193="Baja",AL193="Catastrófico"),AND(AJ193="Media",AL193="Catastrófico"),AND(AJ193="Alta",AL193="Catastrófico"),AND(AJ193="Muy Alta",AL193="Catastrófico")),"Extremo","")))),"")</f>
        <v/>
      </c>
      <c r="AO193" s="132"/>
      <c r="AP193" s="125"/>
      <c r="AQ193" s="133"/>
      <c r="AR193" s="125"/>
      <c r="AS193" s="134"/>
      <c r="AT193" s="400"/>
      <c r="AU193" s="400"/>
      <c r="AV193" s="400"/>
    </row>
    <row r="194" spans="1:48" ht="14.25" customHeight="1" x14ac:dyDescent="0.2">
      <c r="A194" s="398"/>
      <c r="B194" s="399"/>
      <c r="C194" s="400"/>
      <c r="D194" s="400"/>
      <c r="E194" s="490"/>
      <c r="F194" s="400"/>
      <c r="G194" s="491"/>
      <c r="H194" s="400"/>
      <c r="I194" s="403"/>
      <c r="J194" s="493"/>
      <c r="K194" s="403"/>
      <c r="L194" s="403"/>
      <c r="M194" s="403"/>
      <c r="N194" s="403"/>
      <c r="O194" s="416"/>
      <c r="P194" s="417"/>
      <c r="Q194" s="405"/>
      <c r="R194" s="406"/>
      <c r="S194" s="405">
        <f>IF(NOT(ISERROR(MATCH(R194,_xlfn.ANCHORARRAY(G205),0))),Q207&amp;"Por favor no seleccionar los criterios de impacto",R194)</f>
        <v>0</v>
      </c>
      <c r="T194" s="417"/>
      <c r="U194" s="405"/>
      <c r="V194" s="418"/>
      <c r="W194" s="149">
        <v>3</v>
      </c>
      <c r="X194" s="182"/>
      <c r="Y194" s="149"/>
      <c r="Z194" s="149"/>
      <c r="AA194" s="174" t="str">
        <f t="shared" si="293"/>
        <v xml:space="preserve">  </v>
      </c>
      <c r="AB194" s="126" t="str">
        <f t="shared" si="289"/>
        <v/>
      </c>
      <c r="AC194" s="127"/>
      <c r="AD194" s="127"/>
      <c r="AE194" s="128" t="str">
        <f t="shared" si="294"/>
        <v/>
      </c>
      <c r="AF194" s="127"/>
      <c r="AG194" s="127"/>
      <c r="AH194" s="127"/>
      <c r="AI194" s="129" t="str">
        <f>IFERROR(IF(AND(AB193="Probabilidad",AB194="Probabilidad"),(AK193-(+AK193*AE194)),IF(AND(AB193="Impacto",AB194="Probabilidad"),(AK192-(+AK192*AE194)),IF(AB194="Impacto",AK193,""))),"")</f>
        <v/>
      </c>
      <c r="AJ194" s="130" t="str">
        <f t="shared" si="295"/>
        <v/>
      </c>
      <c r="AK194" s="128" t="str">
        <f t="shared" si="296"/>
        <v/>
      </c>
      <c r="AL194" s="130" t="str">
        <f t="shared" si="297"/>
        <v/>
      </c>
      <c r="AM194" s="128" t="str">
        <f>IFERROR(IF(AND(AB193="Impacto",AB194="Impacto"),(AM193-(+AM193*AE194)),IF(AND(AB193="Probabilidad",AB194="Impacto"),(AM192-(+AM192*AE194)),IF(AB194="Probabilidad",AM193,""))),"")</f>
        <v/>
      </c>
      <c r="AN194" s="131" t="str">
        <f t="shared" si="298"/>
        <v/>
      </c>
      <c r="AO194" s="132"/>
      <c r="AP194" s="125"/>
      <c r="AQ194" s="133"/>
      <c r="AR194" s="133"/>
      <c r="AS194" s="134"/>
      <c r="AT194" s="400"/>
      <c r="AU194" s="400"/>
      <c r="AV194" s="400"/>
    </row>
    <row r="195" spans="1:48" ht="14.25" customHeight="1" x14ac:dyDescent="0.2">
      <c r="A195" s="398"/>
      <c r="B195" s="399"/>
      <c r="C195" s="400"/>
      <c r="D195" s="400"/>
      <c r="E195" s="490"/>
      <c r="F195" s="400"/>
      <c r="G195" s="491"/>
      <c r="H195" s="400"/>
      <c r="I195" s="403"/>
      <c r="J195" s="493"/>
      <c r="K195" s="403"/>
      <c r="L195" s="403"/>
      <c r="M195" s="403"/>
      <c r="N195" s="403"/>
      <c r="O195" s="416"/>
      <c r="P195" s="417"/>
      <c r="Q195" s="405"/>
      <c r="R195" s="406"/>
      <c r="S195" s="405">
        <f>IF(NOT(ISERROR(MATCH(R195,_xlfn.ANCHORARRAY(G206),0))),Q208&amp;"Por favor no seleccionar los criterios de impacto",R195)</f>
        <v>0</v>
      </c>
      <c r="T195" s="417"/>
      <c r="U195" s="405"/>
      <c r="V195" s="418"/>
      <c r="W195" s="149">
        <v>4</v>
      </c>
      <c r="X195" s="182"/>
      <c r="Y195" s="149"/>
      <c r="Z195" s="149"/>
      <c r="AA195" s="174" t="str">
        <f t="shared" si="293"/>
        <v xml:space="preserve">  </v>
      </c>
      <c r="AB195" s="126" t="str">
        <f t="shared" si="289"/>
        <v/>
      </c>
      <c r="AC195" s="127"/>
      <c r="AD195" s="127"/>
      <c r="AE195" s="128" t="str">
        <f t="shared" si="294"/>
        <v/>
      </c>
      <c r="AF195" s="127"/>
      <c r="AG195" s="127"/>
      <c r="AH195" s="127"/>
      <c r="AI195" s="129" t="str">
        <f t="shared" ref="AI195:AI197" si="299">IFERROR(IF(AND(AB194="Probabilidad",AB195="Probabilidad"),(AK194-(+AK194*AE195)),IF(AND(AB194="Impacto",AB195="Probabilidad"),(AK193-(+AK193*AE195)),IF(AB195="Impacto",AK194,""))),"")</f>
        <v/>
      </c>
      <c r="AJ195" s="130" t="str">
        <f t="shared" si="295"/>
        <v/>
      </c>
      <c r="AK195" s="128" t="str">
        <f t="shared" si="296"/>
        <v/>
      </c>
      <c r="AL195" s="130" t="str">
        <f t="shared" si="297"/>
        <v/>
      </c>
      <c r="AM195" s="128" t="str">
        <f t="shared" ref="AM195:AM197" si="300">IFERROR(IF(AND(AB194="Impacto",AB195="Impacto"),(AM194-(+AM194*AE195)),IF(AND(AB194="Probabilidad",AB195="Impacto"),(AM193-(+AM193*AE195)),IF(AB195="Probabilidad",AM194,""))),"")</f>
        <v/>
      </c>
      <c r="AN195" s="131" t="str">
        <f>IFERROR(IF(OR(AND(AJ195="Muy Baja",AL195="Leve"),AND(AJ195="Muy Baja",AL195="Menor"),AND(AJ195="Baja",AL195="Leve")),"Bajo",IF(OR(AND(AJ195="Muy baja",AL195="Moderado"),AND(AJ195="Baja",AL195="Menor"),AND(AJ195="Baja",AL195="Moderado"),AND(AJ195="Media",AL195="Leve"),AND(AJ195="Media",AL195="Menor"),AND(AJ195="Media",AL195="Moderado"),AND(AJ195="Alta",AL195="Leve"),AND(AJ195="Alta",AL195="Menor")),"Moderado",IF(OR(AND(AJ195="Muy Baja",AL195="Mayor"),AND(AJ195="Baja",AL195="Mayor"),AND(AJ195="Media",AL195="Mayor"),AND(AJ195="Alta",AL195="Moderado"),AND(AJ195="Alta",AL195="Mayor"),AND(AJ195="Muy Alta",AL195="Leve"),AND(AJ195="Muy Alta",AL195="Menor"),AND(AJ195="Muy Alta",AL195="Moderado"),AND(AJ195="Muy Alta",AL195="Mayor")),"Alto",IF(OR(AND(AJ195="Muy Baja",AL195="Catastrófico"),AND(AJ195="Baja",AL195="Catastrófico"),AND(AJ195="Media",AL195="Catastrófico"),AND(AJ195="Alta",AL195="Catastrófico"),AND(AJ195="Muy Alta",AL195="Catastrófico")),"Extremo","")))),"")</f>
        <v/>
      </c>
      <c r="AO195" s="132"/>
      <c r="AP195" s="125"/>
      <c r="AQ195" s="133"/>
      <c r="AR195" s="133"/>
      <c r="AS195" s="134"/>
      <c r="AT195" s="400"/>
      <c r="AU195" s="400"/>
      <c r="AV195" s="400"/>
    </row>
    <row r="196" spans="1:48" ht="14.25" customHeight="1" x14ac:dyDescent="0.2">
      <c r="A196" s="398"/>
      <c r="B196" s="399"/>
      <c r="C196" s="400"/>
      <c r="D196" s="400"/>
      <c r="E196" s="490"/>
      <c r="F196" s="400"/>
      <c r="G196" s="491"/>
      <c r="H196" s="400"/>
      <c r="I196" s="403"/>
      <c r="J196" s="493"/>
      <c r="K196" s="403"/>
      <c r="L196" s="403"/>
      <c r="M196" s="403"/>
      <c r="N196" s="403"/>
      <c r="O196" s="416"/>
      <c r="P196" s="417"/>
      <c r="Q196" s="405"/>
      <c r="R196" s="406"/>
      <c r="S196" s="405">
        <f>IF(NOT(ISERROR(MATCH(R196,_xlfn.ANCHORARRAY(G207),0))),Q209&amp;"Por favor no seleccionar los criterios de impacto",R196)</f>
        <v>0</v>
      </c>
      <c r="T196" s="417"/>
      <c r="U196" s="405"/>
      <c r="V196" s="418"/>
      <c r="W196" s="149">
        <v>5</v>
      </c>
      <c r="X196" s="182"/>
      <c r="Y196" s="149"/>
      <c r="Z196" s="149"/>
      <c r="AA196" s="174" t="str">
        <f t="shared" si="293"/>
        <v xml:space="preserve">  </v>
      </c>
      <c r="AB196" s="126" t="str">
        <f t="shared" si="289"/>
        <v/>
      </c>
      <c r="AC196" s="127"/>
      <c r="AD196" s="127"/>
      <c r="AE196" s="128" t="str">
        <f t="shared" si="294"/>
        <v/>
      </c>
      <c r="AF196" s="127"/>
      <c r="AG196" s="127"/>
      <c r="AH196" s="127"/>
      <c r="AI196" s="129" t="str">
        <f t="shared" si="299"/>
        <v/>
      </c>
      <c r="AJ196" s="130" t="str">
        <f t="shared" si="295"/>
        <v/>
      </c>
      <c r="AK196" s="128" t="str">
        <f t="shared" si="296"/>
        <v/>
      </c>
      <c r="AL196" s="130" t="str">
        <f t="shared" si="297"/>
        <v/>
      </c>
      <c r="AM196" s="128" t="str">
        <f t="shared" si="300"/>
        <v/>
      </c>
      <c r="AN196" s="131" t="str">
        <f t="shared" si="298"/>
        <v/>
      </c>
      <c r="AO196" s="132"/>
      <c r="AP196" s="125"/>
      <c r="AQ196" s="133"/>
      <c r="AR196" s="133"/>
      <c r="AS196" s="134"/>
      <c r="AT196" s="400"/>
      <c r="AU196" s="400"/>
      <c r="AV196" s="400"/>
    </row>
    <row r="197" spans="1:48" ht="14.25" customHeight="1" x14ac:dyDescent="0.2">
      <c r="A197" s="398"/>
      <c r="B197" s="399"/>
      <c r="C197" s="400"/>
      <c r="D197" s="400"/>
      <c r="E197" s="490"/>
      <c r="F197" s="400"/>
      <c r="G197" s="491"/>
      <c r="H197" s="400"/>
      <c r="I197" s="404"/>
      <c r="J197" s="494"/>
      <c r="K197" s="404"/>
      <c r="L197" s="404"/>
      <c r="M197" s="404"/>
      <c r="N197" s="404"/>
      <c r="O197" s="416"/>
      <c r="P197" s="417"/>
      <c r="Q197" s="405"/>
      <c r="R197" s="406"/>
      <c r="S197" s="405">
        <f>IF(NOT(ISERROR(MATCH(R197,_xlfn.ANCHORARRAY(G208),0))),Q210&amp;"Por favor no seleccionar los criterios de impacto",R197)</f>
        <v>0</v>
      </c>
      <c r="T197" s="417"/>
      <c r="U197" s="405"/>
      <c r="V197" s="418"/>
      <c r="W197" s="149">
        <v>6</v>
      </c>
      <c r="X197" s="182"/>
      <c r="Y197" s="149"/>
      <c r="Z197" s="149"/>
      <c r="AA197" s="174" t="str">
        <f t="shared" si="293"/>
        <v xml:space="preserve">  </v>
      </c>
      <c r="AB197" s="126" t="str">
        <f t="shared" si="289"/>
        <v/>
      </c>
      <c r="AC197" s="127"/>
      <c r="AD197" s="127"/>
      <c r="AE197" s="128" t="str">
        <f t="shared" si="294"/>
        <v/>
      </c>
      <c r="AF197" s="127"/>
      <c r="AG197" s="127"/>
      <c r="AH197" s="127"/>
      <c r="AI197" s="129" t="str">
        <f t="shared" si="299"/>
        <v/>
      </c>
      <c r="AJ197" s="130" t="str">
        <f t="shared" si="295"/>
        <v/>
      </c>
      <c r="AK197" s="128" t="str">
        <f t="shared" si="296"/>
        <v/>
      </c>
      <c r="AL197" s="130" t="str">
        <f t="shared" si="297"/>
        <v/>
      </c>
      <c r="AM197" s="128" t="str">
        <f t="shared" si="300"/>
        <v/>
      </c>
      <c r="AN197" s="131" t="str">
        <f t="shared" si="298"/>
        <v/>
      </c>
      <c r="AO197" s="132"/>
      <c r="AP197" s="125"/>
      <c r="AQ197" s="133"/>
      <c r="AR197" s="133"/>
      <c r="AS197" s="134"/>
      <c r="AT197" s="400"/>
      <c r="AU197" s="400"/>
      <c r="AV197" s="400"/>
    </row>
    <row r="198" spans="1:48" ht="48.75" customHeight="1" x14ac:dyDescent="0.2">
      <c r="A198" s="398">
        <v>32</v>
      </c>
      <c r="B198" s="399" t="s">
        <v>561</v>
      </c>
      <c r="C198" s="400" t="s">
        <v>44</v>
      </c>
      <c r="D198" s="400" t="s">
        <v>1268</v>
      </c>
      <c r="E198" s="400" t="s">
        <v>1269</v>
      </c>
      <c r="F198" s="400" t="s">
        <v>1270</v>
      </c>
      <c r="G198" s="401" t="str">
        <f t="shared" ref="G198" si="301">+CONCATENATE(C198," ",D198," ",E198)</f>
        <v>Posibilidad de afectación Económica y Reputacional Por perdida de confianza y credibilidad  Debido a fallas en el proceso de copias de seguridad del SGDEA, asi como  no aplicación del procedimiento establecido para el trámite de las comunicaciones en la Entidad.</v>
      </c>
      <c r="H198" s="400" t="s">
        <v>391</v>
      </c>
      <c r="I198" s="402" t="s">
        <v>62</v>
      </c>
      <c r="J198" s="402" t="s">
        <v>1271</v>
      </c>
      <c r="K198" s="402" t="s">
        <v>1257</v>
      </c>
      <c r="L198" s="402" t="s">
        <v>1272</v>
      </c>
      <c r="M198" s="402" t="s">
        <v>77</v>
      </c>
      <c r="N198" s="402" t="s">
        <v>46</v>
      </c>
      <c r="O198" s="416">
        <v>365</v>
      </c>
      <c r="P198" s="417" t="str">
        <f>IF(O198&lt;=0,"",IF(O198&lt;=2,"Muy Baja",IF(O198&lt;=24,"Baja",IF(O198&lt;=500,"Media",IF(O198&lt;=5000,"Alta","Muy Alta")))))</f>
        <v>Media</v>
      </c>
      <c r="Q198" s="405">
        <f>IF(P198="","",IF(P198="Muy Baja",0.2,IF(P198="Baja",0.4,IF(P198="Media",0.6,IF(P198="Alta",0.8,IF(P198="Muy Alta",1,))))))</f>
        <v>0.6</v>
      </c>
      <c r="R198" s="406" t="s">
        <v>513</v>
      </c>
      <c r="S198" s="405" t="str">
        <f>IF(NOT(ISERROR(MATCH(R198,'[6]Tabla Impacto'!$B$245:$B$247,0))),'[6]Tabla Impacto'!$F$224&amp;"Por favor no seleccionar los criterios de impacto(Afectación Económica o presupuestal y Pérdida Reputacional)",R198)</f>
        <v xml:space="preserve">     El riesgo afecta la imagen de la entidad internamente, de conocimiento general, nivel interno, de junta dircetiva y accionistas y/o de provedores</v>
      </c>
      <c r="T198" s="417" t="str">
        <f>IF(OR(S198='[6]Tabla Impacto'!$C$12,S198='[6]Tabla Impacto'!$D$12),"Leve",IF(OR(S198='[6]Tabla Impacto'!$C$13,S198='[6]Tabla Impacto'!$D$13),"Menor",IF(OR(S198='[6]Tabla Impacto'!$C$14,S198='[6]Tabla Impacto'!$D$14),"Moderado",IF(OR(S198='[6]Tabla Impacto'!$C$15,S198='[6]Tabla Impacto'!$D$15),"Mayor",IF(OR(S198='[6]Tabla Impacto'!$C$16,S198='[6]Tabla Impacto'!$D$16),"Catastrófico","")))))</f>
        <v>Menor</v>
      </c>
      <c r="U198" s="405">
        <f>IF(T198="","",IF(T198="Leve",0.2,IF(T198="Menor",0.4,IF(T198="Moderado",0.6,IF(T198="Mayor",0.8,IF(T198="Catastrófico",1,))))))</f>
        <v>0.4</v>
      </c>
      <c r="V198" s="418" t="str">
        <f>IF(OR(AND(P198="Muy Baja",T198="Leve"),AND(P198="Muy Baja",T198="Menor"),AND(P198="Baja",T198="Leve")),"Bajo",IF(OR(AND(P198="Muy baja",T198="Moderado"),AND(P198="Baja",T198="Menor"),AND(P198="Baja",T198="Moderado"),AND(P198="Media",T198="Leve"),AND(P198="Media",T198="Menor"),AND(P198="Media",T198="Moderado"),AND(P198="Alta",T198="Leve"),AND(P198="Alta",T198="Menor")),"Moderado",IF(OR(AND(P198="Muy Baja",T198="Mayor"),AND(P198="Baja",T198="Mayor"),AND(P198="Media",T198="Mayor"),AND(P198="Alta",T198="Moderado"),AND(P198="Alta",T198="Mayor"),AND(P198="Muy Alta",T198="Leve"),AND(P198="Muy Alta",T198="Menor"),AND(P198="Muy Alta",T198="Moderado"),AND(P198="Muy Alta",T198="Mayor")),"Alto",IF(OR(AND(P198="Muy Baja",T198="Catastrófico"),AND(P198="Baja",T198="Catastrófico"),AND(P198="Media",T198="Catastrófico"),AND(P198="Alta",T198="Catastrófico"),AND(P198="Muy Alta",T198="Catastrófico")),"Extremo",""))))</f>
        <v>Moderado</v>
      </c>
      <c r="W198" s="149">
        <v>1</v>
      </c>
      <c r="X198" s="182" t="s">
        <v>1273</v>
      </c>
      <c r="Y198" s="149" t="s">
        <v>52</v>
      </c>
      <c r="Z198" s="182" t="s">
        <v>1274</v>
      </c>
      <c r="AA198" s="174" t="str">
        <f>+CONCATENATE(X198," ",Y198," ",Z198)</f>
        <v>El colaborador designado del proceso gestión documental Revisa  trimestralmente el monitoreo de las condiciones ambientales del archivo central dando aplicación a los aspectos descritos dentro del plan de conservación documental en su estrategia No 3 "Realizar los procesos de monitoreo y control de las condiciones ambientales" del SIC, como evidencia de esta revisión quedará el informe de medición de condiciones ambientales en los diferentes espacios donde se conserva archivo, presentado a la Secretaria General. 
En caso de evidenciar inconsistencias que lleven a la perdida de información o documentos se generará las alertas correspondientes   a la Secretaria General, para proceder a la toma de decisiones y ajustes a que haya lugar.</v>
      </c>
      <c r="AB198" s="126" t="str">
        <f>IF(OR(AC198="Preventivo",AC198="Detectivo"),"Probabilidad",IF(AC198="Correctivo","Impacto",""))</f>
        <v>Probabilidad</v>
      </c>
      <c r="AC198" s="127" t="s">
        <v>398</v>
      </c>
      <c r="AD198" s="127" t="s">
        <v>394</v>
      </c>
      <c r="AE198" s="128" t="str">
        <f>IF(AND(AC198="Preventivo",AD198="Automático"),"50%",IF(AND(AC198="Preventivo",AD198="Manual"),"40%",IF(AND(AC198="Detectivo",AD198="Automático"),"40%",IF(AND(AC198="Detectivo",AD198="Manual"),"30%",IF(AND(AC198="Correctivo",AD198="Automático"),"35%",IF(AND(AC198="Correctivo",AD198="Manual"),"25%",""))))))</f>
        <v>40%</v>
      </c>
      <c r="AF198" s="127" t="s">
        <v>395</v>
      </c>
      <c r="AG198" s="127" t="s">
        <v>396</v>
      </c>
      <c r="AH198" s="127" t="s">
        <v>397</v>
      </c>
      <c r="AI198" s="129">
        <f>IFERROR(IF(AB198="Probabilidad",(Q198-(+Q198*AE198)),IF(AB198="Impacto",Q198,"")),"")</f>
        <v>0.36</v>
      </c>
      <c r="AJ198" s="130" t="str">
        <f>IFERROR(IF(AI198="","",IF(AI198&lt;=0.2,"Muy Baja",IF(AI198&lt;=0.4,"Baja",IF(AI198&lt;=0.6,"Media",IF(AI198&lt;=0.8,"Alta","Muy Alta"))))),"")</f>
        <v>Baja</v>
      </c>
      <c r="AK198" s="128">
        <f>+AI198</f>
        <v>0.36</v>
      </c>
      <c r="AL198" s="130" t="str">
        <f>IFERROR(IF(AM198="","",IF(AM198&lt;=0.2,"Leve",IF(AM198&lt;=0.4,"Menor",IF(AM198&lt;=0.6,"Moderado",IF(AM198&lt;=0.8,"Mayor","Catastrófico"))))),"")</f>
        <v>Menor</v>
      </c>
      <c r="AM198" s="128">
        <f t="shared" ref="AM198" si="302">IFERROR(IF(AB198="Impacto",(U198-(+U198*AE198)),IF(AB198="Probabilidad",U198,"")),"")</f>
        <v>0.4</v>
      </c>
      <c r="AN198" s="131" t="str">
        <f>IFERROR(IF(OR(AND(AJ198="Muy Baja",AL198="Leve"),AND(AJ198="Muy Baja",AL198="Menor"),AND(AJ198="Baja",AL198="Leve")),"Bajo",IF(OR(AND(AJ198="Muy baja",AL198="Moderado"),AND(AJ198="Baja",AL198="Menor"),AND(AJ198="Baja",AL198="Moderado"),AND(AJ198="Media",AL198="Leve"),AND(AJ198="Media",AL198="Menor"),AND(AJ198="Media",AL198="Moderado"),AND(AJ198="Alta",AL198="Leve"),AND(AJ198="Alta",AL198="Menor")),"Moderado",IF(OR(AND(AJ198="Muy Baja",AL198="Mayor"),AND(AJ198="Baja",AL198="Mayor"),AND(AJ198="Media",AL198="Mayor"),AND(AJ198="Alta",AL198="Moderado"),AND(AJ198="Alta",AL198="Mayor"),AND(AJ198="Muy Alta",AL198="Leve"),AND(AJ198="Muy Alta",AL198="Menor"),AND(AJ198="Muy Alta",AL198="Moderado"),AND(AJ198="Muy Alta",AL198="Mayor")),"Alto",IF(OR(AND(AJ198="Muy Baja",AL198="Catastrófico"),AND(AJ198="Baja",AL198="Catastrófico"),AND(AJ198="Media",AL198="Catastrófico"),AND(AJ198="Alta",AL198="Catastrófico"),AND(AJ198="Muy Alta",AL198="Catastrófico")),"Extremo","")))),"")</f>
        <v>Moderado</v>
      </c>
      <c r="AO198" s="132"/>
      <c r="AP198" s="125" t="s">
        <v>1275</v>
      </c>
      <c r="AQ198" s="125" t="s">
        <v>1263</v>
      </c>
      <c r="AR198" s="125" t="s">
        <v>1276</v>
      </c>
      <c r="AS198" s="134" t="s">
        <v>847</v>
      </c>
      <c r="AT198" s="400" t="s">
        <v>1265</v>
      </c>
      <c r="AU198" s="400" t="s">
        <v>1266</v>
      </c>
      <c r="AV198" s="400" t="s">
        <v>1267</v>
      </c>
    </row>
    <row r="199" spans="1:48" ht="48.75" customHeight="1" x14ac:dyDescent="0.2">
      <c r="A199" s="398"/>
      <c r="B199" s="399"/>
      <c r="C199" s="400"/>
      <c r="D199" s="400"/>
      <c r="E199" s="400"/>
      <c r="F199" s="400"/>
      <c r="G199" s="401"/>
      <c r="H199" s="400"/>
      <c r="I199" s="403"/>
      <c r="J199" s="403"/>
      <c r="K199" s="403"/>
      <c r="L199" s="403"/>
      <c r="M199" s="403"/>
      <c r="N199" s="403"/>
      <c r="O199" s="416"/>
      <c r="P199" s="417"/>
      <c r="Q199" s="405"/>
      <c r="R199" s="406"/>
      <c r="S199" s="405">
        <f>IF(NOT(ISERROR(MATCH(R199,_xlfn.ANCHORARRAY(G210),0))),Q212&amp;"Por favor no seleccionar los criterios de impacto",R199)</f>
        <v>0</v>
      </c>
      <c r="T199" s="417"/>
      <c r="U199" s="405"/>
      <c r="V199" s="418"/>
      <c r="W199" s="149">
        <v>2</v>
      </c>
      <c r="X199" s="182" t="s">
        <v>1277</v>
      </c>
      <c r="Y199" s="149" t="s">
        <v>37</v>
      </c>
      <c r="Z199" s="182" t="s">
        <v>1278</v>
      </c>
      <c r="AA199" s="174" t="str">
        <f t="shared" ref="AA199" si="303">+CONCATENATE(X199," ",Y199," ",Z199)</f>
        <v>El colaborador designado por el proceso Gestión documental Verifica cuatrimestralmente la generación automática de las copias de seguridad del aplicativo ORFEO por parte de la Oficina de Tecnologias de la Información solicitando  a través de correo electrónico (mesa de ayuda) la generación de las mismas; Así mismo, el colaborador designado por el proceso verifica  que la información se encuentre completa en relación  a las copias de seguridad de ORFEO , con el fin de garantizar el respaldo de la información electrónica almacenada en el aplicativo para evitar su pérdida. Como evidencia del control quedarán actas de reunión de la verificación del Back-Up  y  los correos remitidos a la mesa de ayuda y los pantallazos de los Backups realizados  aplicativo ORFEO.</v>
      </c>
      <c r="AB199" s="126" t="str">
        <f>IF(OR(AC199="Preventivo",AC199="Detectivo"),"Probabilidad",IF(AC199="Correctivo","Impacto",""))</f>
        <v>Probabilidad</v>
      </c>
      <c r="AC199" s="127" t="s">
        <v>398</v>
      </c>
      <c r="AD199" s="127" t="s">
        <v>420</v>
      </c>
      <c r="AE199" s="128" t="str">
        <f t="shared" ref="AE199:AE227" si="304">IF(AND(AC199="Preventivo",AD199="Automático"),"50%",IF(AND(AC199="Preventivo",AD199="Manual"),"40%",IF(AND(AC199="Detectivo",AD199="Automático"),"40%",IF(AND(AC199="Detectivo",AD199="Manual"),"30%",IF(AND(AC199="Correctivo",AD199="Automático"),"35%",IF(AND(AC199="Correctivo",AD199="Manual"),"25%",""))))))</f>
        <v>50%</v>
      </c>
      <c r="AF199" s="127" t="s">
        <v>395</v>
      </c>
      <c r="AG199" s="127" t="s">
        <v>541</v>
      </c>
      <c r="AH199" s="127" t="s">
        <v>397</v>
      </c>
      <c r="AI199" s="129">
        <f>IFERROR(IF(AND(AB198="Probabilidad",AB199="Probabilidad"),(AK198-(+AK198*AE199)),IF(AB199="Probabilidad",(Q198-(+Q198*AE199)),IF(AB199="Impacto",AK198,""))),"")</f>
        <v>0.18</v>
      </c>
      <c r="AJ199" s="130" t="str">
        <f t="shared" si="295"/>
        <v>Muy Baja</v>
      </c>
      <c r="AK199" s="128">
        <f t="shared" ref="AK199:AK203" si="305">+AI199</f>
        <v>0.18</v>
      </c>
      <c r="AL199" s="130" t="str">
        <f t="shared" si="297"/>
        <v>Menor</v>
      </c>
      <c r="AM199" s="128">
        <f t="shared" ref="AM199" si="306">IFERROR(IF(AND(AB198="Impacto",AB199="Impacto"),(AM198-(+AM198*AE199)),IF(AB199="Impacto",($T$13-(+$T$13*AE199)),IF(AB199="Probabilidad",AM198,""))),"")</f>
        <v>0.4</v>
      </c>
      <c r="AN199" s="131" t="str">
        <f t="shared" ref="AN199:AN200" si="307">IFERROR(IF(OR(AND(AJ199="Muy Baja",AL199="Leve"),AND(AJ199="Muy Baja",AL199="Menor"),AND(AJ199="Baja",AL199="Leve")),"Bajo",IF(OR(AND(AJ199="Muy baja",AL199="Moderado"),AND(AJ199="Baja",AL199="Menor"),AND(AJ199="Baja",AL199="Moderado"),AND(AJ199="Media",AL199="Leve"),AND(AJ199="Media",AL199="Menor"),AND(AJ199="Media",AL199="Moderado"),AND(AJ199="Alta",AL199="Leve"),AND(AJ199="Alta",AL199="Menor")),"Moderado",IF(OR(AND(AJ199="Muy Baja",AL199="Mayor"),AND(AJ199="Baja",AL199="Mayor"),AND(AJ199="Media",AL199="Mayor"),AND(AJ199="Alta",AL199="Moderado"),AND(AJ199="Alta",AL199="Mayor"),AND(AJ199="Muy Alta",AL199="Leve"),AND(AJ199="Muy Alta",AL199="Menor"),AND(AJ199="Muy Alta",AL199="Moderado"),AND(AJ199="Muy Alta",AL199="Mayor")),"Alto",IF(OR(AND(AJ199="Muy Baja",AL199="Catastrófico"),AND(AJ199="Baja",AL199="Catastrófico"),AND(AJ199="Media",AL199="Catastrófico"),AND(AJ199="Alta",AL199="Catastrófico"),AND(AJ199="Muy Alta",AL199="Catastrófico")),"Extremo","")))),"")</f>
        <v>Bajo</v>
      </c>
      <c r="AO199" s="132"/>
      <c r="AP199" s="125"/>
      <c r="AQ199" s="133"/>
      <c r="AR199" s="125"/>
      <c r="AS199" s="134"/>
      <c r="AT199" s="400"/>
      <c r="AU199" s="400"/>
      <c r="AV199" s="400"/>
    </row>
    <row r="200" spans="1:48" ht="44.25" customHeight="1" x14ac:dyDescent="0.2">
      <c r="A200" s="398"/>
      <c r="B200" s="399"/>
      <c r="C200" s="400"/>
      <c r="D200" s="400"/>
      <c r="E200" s="400"/>
      <c r="F200" s="400"/>
      <c r="G200" s="401"/>
      <c r="H200" s="400"/>
      <c r="I200" s="403"/>
      <c r="J200" s="403"/>
      <c r="K200" s="403"/>
      <c r="L200" s="403"/>
      <c r="M200" s="403"/>
      <c r="N200" s="403"/>
      <c r="O200" s="416"/>
      <c r="P200" s="417"/>
      <c r="Q200" s="405"/>
      <c r="R200" s="406"/>
      <c r="S200" s="405">
        <f>IF(NOT(ISERROR(MATCH(R200,_xlfn.ANCHORARRAY(G211),0))),Q213&amp;"Por favor no seleccionar los criterios de impacto",R200)</f>
        <v>0</v>
      </c>
      <c r="T200" s="417"/>
      <c r="U200" s="405"/>
      <c r="V200" s="418"/>
      <c r="W200" s="149">
        <v>3</v>
      </c>
      <c r="X200" s="182" t="s">
        <v>1279</v>
      </c>
      <c r="Y200" s="149" t="s">
        <v>52</v>
      </c>
      <c r="Z200" s="182" t="s">
        <v>1280</v>
      </c>
      <c r="AA200" s="182" t="s">
        <v>1281</v>
      </c>
      <c r="AB200" s="126" t="str">
        <f>IF(OR(AC200="Preventivo",AC200="Detectivo"),"Probabilidad",IF(AC200="Correctivo","Impacto",""))</f>
        <v>Probabilidad</v>
      </c>
      <c r="AC200" s="127" t="s">
        <v>393</v>
      </c>
      <c r="AD200" s="127" t="s">
        <v>394</v>
      </c>
      <c r="AE200" s="128" t="str">
        <f t="shared" si="304"/>
        <v>30%</v>
      </c>
      <c r="AF200" s="127" t="s">
        <v>395</v>
      </c>
      <c r="AG200" s="127" t="s">
        <v>396</v>
      </c>
      <c r="AH200" s="127" t="s">
        <v>397</v>
      </c>
      <c r="AI200" s="129">
        <f>IFERROR(IF(AND(AB199="Probabilidad",AB200="Probabilidad"),(AK199-(+AK199*AE200)),IF(AND(AB199="Impacto",AB200="Probabilidad"),(AK198-(+AK198*AE200)),IF(AB200="Impacto",AK199,""))),"")</f>
        <v>0.126</v>
      </c>
      <c r="AJ200" s="130" t="str">
        <f t="shared" si="295"/>
        <v>Muy Baja</v>
      </c>
      <c r="AK200" s="128">
        <f t="shared" si="305"/>
        <v>0.126</v>
      </c>
      <c r="AL200" s="130" t="str">
        <f t="shared" si="297"/>
        <v>Menor</v>
      </c>
      <c r="AM200" s="128">
        <f t="shared" ref="AM200:AM203" si="308">IFERROR(IF(AND(AB199="Impacto",AB200="Impacto"),(AM199-(+AM199*AE200)),IF(AND(AB199="Probabilidad",AB200="Impacto"),(AM198-(+AM198*AE200)),IF(AB200="Probabilidad",AM199,""))),"")</f>
        <v>0.4</v>
      </c>
      <c r="AN200" s="131" t="str">
        <f t="shared" si="307"/>
        <v>Bajo</v>
      </c>
      <c r="AO200" s="132"/>
      <c r="AP200" s="125"/>
      <c r="AQ200" s="133"/>
      <c r="AR200" s="133"/>
      <c r="AS200" s="134"/>
      <c r="AT200" s="400"/>
      <c r="AU200" s="400"/>
      <c r="AV200" s="400"/>
    </row>
    <row r="201" spans="1:48" ht="44.25" customHeight="1" x14ac:dyDescent="0.2">
      <c r="A201" s="398"/>
      <c r="B201" s="399"/>
      <c r="C201" s="400"/>
      <c r="D201" s="400"/>
      <c r="E201" s="400"/>
      <c r="F201" s="400"/>
      <c r="G201" s="401"/>
      <c r="H201" s="400"/>
      <c r="I201" s="403"/>
      <c r="J201" s="403"/>
      <c r="K201" s="403"/>
      <c r="L201" s="403"/>
      <c r="M201" s="403"/>
      <c r="N201" s="403"/>
      <c r="O201" s="416"/>
      <c r="P201" s="417"/>
      <c r="Q201" s="405"/>
      <c r="R201" s="406"/>
      <c r="S201" s="405">
        <f>IF(NOT(ISERROR(MATCH(R201,_xlfn.ANCHORARRAY(G212),0))),Q214&amp;"Por favor no seleccionar los criterios de impacto",R201)</f>
        <v>0</v>
      </c>
      <c r="T201" s="417"/>
      <c r="U201" s="405"/>
      <c r="V201" s="418"/>
      <c r="W201" s="149">
        <v>4</v>
      </c>
      <c r="X201" s="182" t="s">
        <v>1282</v>
      </c>
      <c r="Y201" s="149" t="s">
        <v>37</v>
      </c>
      <c r="Z201" s="182" t="s">
        <v>1283</v>
      </c>
      <c r="AA201" s="174" t="s">
        <v>1283</v>
      </c>
      <c r="AB201" s="126" t="str">
        <f t="shared" ref="AB201:AB203" si="309">IF(OR(AC201="Preventivo",AC201="Detectivo"),"Probabilidad",IF(AC201="Correctivo","Impacto",""))</f>
        <v>Probabilidad</v>
      </c>
      <c r="AC201" s="127" t="s">
        <v>398</v>
      </c>
      <c r="AD201" s="127" t="s">
        <v>394</v>
      </c>
      <c r="AE201" s="128" t="str">
        <f t="shared" si="304"/>
        <v>40%</v>
      </c>
      <c r="AF201" s="127" t="s">
        <v>395</v>
      </c>
      <c r="AG201" s="127" t="s">
        <v>396</v>
      </c>
      <c r="AH201" s="127" t="s">
        <v>397</v>
      </c>
      <c r="AI201" s="129">
        <f t="shared" ref="AI201:AI203" si="310">IFERROR(IF(AND(AB200="Probabilidad",AB201="Probabilidad"),(AK200-(+AK200*AE201)),IF(AND(AB200="Impacto",AB201="Probabilidad"),(AK199-(+AK199*AE201)),IF(AB201="Impacto",AK200,""))),"")</f>
        <v>7.5600000000000001E-2</v>
      </c>
      <c r="AJ201" s="130" t="str">
        <f t="shared" si="295"/>
        <v>Muy Baja</v>
      </c>
      <c r="AK201" s="128">
        <f t="shared" si="305"/>
        <v>7.5600000000000001E-2</v>
      </c>
      <c r="AL201" s="130" t="str">
        <f t="shared" si="297"/>
        <v>Menor</v>
      </c>
      <c r="AM201" s="128">
        <f t="shared" si="308"/>
        <v>0.4</v>
      </c>
      <c r="AN201" s="131" t="str">
        <f>IFERROR(IF(OR(AND(AJ201="Muy Baja",AL201="Leve"),AND(AJ201="Muy Baja",AL201="Menor"),AND(AJ201="Baja",AL201="Leve")),"Bajo",IF(OR(AND(AJ201="Muy baja",AL201="Moderado"),AND(AJ201="Baja",AL201="Menor"),AND(AJ201="Baja",AL201="Moderado"),AND(AJ201="Media",AL201="Leve"),AND(AJ201="Media",AL201="Menor"),AND(AJ201="Media",AL201="Moderado"),AND(AJ201="Alta",AL201="Leve"),AND(AJ201="Alta",AL201="Menor")),"Moderado",IF(OR(AND(AJ201="Muy Baja",AL201="Mayor"),AND(AJ201="Baja",AL201="Mayor"),AND(AJ201="Media",AL201="Mayor"),AND(AJ201="Alta",AL201="Moderado"),AND(AJ201="Alta",AL201="Mayor"),AND(AJ201="Muy Alta",AL201="Leve"),AND(AJ201="Muy Alta",AL201="Menor"),AND(AJ201="Muy Alta",AL201="Moderado"),AND(AJ201="Muy Alta",AL201="Mayor")),"Alto",IF(OR(AND(AJ201="Muy Baja",AL201="Catastrófico"),AND(AJ201="Baja",AL201="Catastrófico"),AND(AJ201="Media",AL201="Catastrófico"),AND(AJ201="Alta",AL201="Catastrófico"),AND(AJ201="Muy Alta",AL201="Catastrófico")),"Extremo","")))),"")</f>
        <v>Bajo</v>
      </c>
      <c r="AO201" s="132"/>
      <c r="AP201" s="125"/>
      <c r="AQ201" s="133"/>
      <c r="AR201" s="133"/>
      <c r="AS201" s="134"/>
      <c r="AT201" s="400"/>
      <c r="AU201" s="400"/>
      <c r="AV201" s="400"/>
    </row>
    <row r="202" spans="1:48" ht="44.25" customHeight="1" x14ac:dyDescent="0.2">
      <c r="A202" s="398"/>
      <c r="B202" s="399"/>
      <c r="C202" s="400"/>
      <c r="D202" s="400"/>
      <c r="E202" s="400"/>
      <c r="F202" s="400"/>
      <c r="G202" s="401"/>
      <c r="H202" s="400"/>
      <c r="I202" s="403"/>
      <c r="J202" s="403"/>
      <c r="K202" s="403"/>
      <c r="L202" s="403"/>
      <c r="M202" s="403"/>
      <c r="N202" s="403"/>
      <c r="O202" s="416"/>
      <c r="P202" s="417"/>
      <c r="Q202" s="405"/>
      <c r="R202" s="406"/>
      <c r="S202" s="405">
        <f>IF(NOT(ISERROR(MATCH(R202,_xlfn.ANCHORARRAY(G213),0))),Q215&amp;"Por favor no seleccionar los criterios de impacto",R202)</f>
        <v>0</v>
      </c>
      <c r="T202" s="417"/>
      <c r="U202" s="405"/>
      <c r="V202" s="418"/>
      <c r="W202" s="149">
        <v>5</v>
      </c>
      <c r="X202" s="182" t="s">
        <v>1284</v>
      </c>
      <c r="Y202" s="149" t="s">
        <v>37</v>
      </c>
      <c r="Z202" s="182" t="s">
        <v>1285</v>
      </c>
      <c r="AA202" s="174" t="s">
        <v>1286</v>
      </c>
      <c r="AB202" s="126" t="str">
        <f t="shared" si="309"/>
        <v>Probabilidad</v>
      </c>
      <c r="AC202" s="127" t="s">
        <v>398</v>
      </c>
      <c r="AD202" s="127" t="s">
        <v>394</v>
      </c>
      <c r="AE202" s="128" t="str">
        <f t="shared" si="304"/>
        <v>40%</v>
      </c>
      <c r="AF202" s="127" t="s">
        <v>395</v>
      </c>
      <c r="AG202" s="127" t="s">
        <v>396</v>
      </c>
      <c r="AH202" s="127" t="s">
        <v>397</v>
      </c>
      <c r="AI202" s="129">
        <f t="shared" si="310"/>
        <v>4.5359999999999998E-2</v>
      </c>
      <c r="AJ202" s="130" t="str">
        <f t="shared" si="295"/>
        <v>Muy Baja</v>
      </c>
      <c r="AK202" s="128">
        <f t="shared" si="305"/>
        <v>4.5359999999999998E-2</v>
      </c>
      <c r="AL202" s="130" t="str">
        <f t="shared" si="297"/>
        <v>Menor</v>
      </c>
      <c r="AM202" s="128">
        <f t="shared" si="308"/>
        <v>0.4</v>
      </c>
      <c r="AN202" s="131" t="str">
        <f t="shared" ref="AN202:AN203" si="311">IFERROR(IF(OR(AND(AJ202="Muy Baja",AL202="Leve"),AND(AJ202="Muy Baja",AL202="Menor"),AND(AJ202="Baja",AL202="Leve")),"Bajo",IF(OR(AND(AJ202="Muy baja",AL202="Moderado"),AND(AJ202="Baja",AL202="Menor"),AND(AJ202="Baja",AL202="Moderado"),AND(AJ202="Media",AL202="Leve"),AND(AJ202="Media",AL202="Menor"),AND(AJ202="Media",AL202="Moderado"),AND(AJ202="Alta",AL202="Leve"),AND(AJ202="Alta",AL202="Menor")),"Moderado",IF(OR(AND(AJ202="Muy Baja",AL202="Mayor"),AND(AJ202="Baja",AL202="Mayor"),AND(AJ202="Media",AL202="Mayor"),AND(AJ202="Alta",AL202="Moderado"),AND(AJ202="Alta",AL202="Mayor"),AND(AJ202="Muy Alta",AL202="Leve"),AND(AJ202="Muy Alta",AL202="Menor"),AND(AJ202="Muy Alta",AL202="Moderado"),AND(AJ202="Muy Alta",AL202="Mayor")),"Alto",IF(OR(AND(AJ202="Muy Baja",AL202="Catastrófico"),AND(AJ202="Baja",AL202="Catastrófico"),AND(AJ202="Media",AL202="Catastrófico"),AND(AJ202="Alta",AL202="Catastrófico"),AND(AJ202="Muy Alta",AL202="Catastrófico")),"Extremo","")))),"")</f>
        <v>Bajo</v>
      </c>
      <c r="AO202" s="132" t="s">
        <v>35</v>
      </c>
      <c r="AP202" s="125"/>
      <c r="AQ202" s="133"/>
      <c r="AR202" s="133"/>
      <c r="AS202" s="134"/>
      <c r="AT202" s="400"/>
      <c r="AU202" s="400"/>
      <c r="AV202" s="400"/>
    </row>
    <row r="203" spans="1:48" ht="14.25" customHeight="1" x14ac:dyDescent="0.2">
      <c r="A203" s="398"/>
      <c r="B203" s="399"/>
      <c r="C203" s="400"/>
      <c r="D203" s="400"/>
      <c r="E203" s="400"/>
      <c r="F203" s="400"/>
      <c r="G203" s="401"/>
      <c r="H203" s="400"/>
      <c r="I203" s="404"/>
      <c r="J203" s="404"/>
      <c r="K203" s="404"/>
      <c r="L203" s="404"/>
      <c r="M203" s="404"/>
      <c r="N203" s="404"/>
      <c r="O203" s="416"/>
      <c r="P203" s="417"/>
      <c r="Q203" s="405"/>
      <c r="R203" s="406"/>
      <c r="S203" s="405">
        <f>IF(NOT(ISERROR(MATCH(R203,_xlfn.ANCHORARRAY(G214),0))),Q216&amp;"Por favor no seleccionar los criterios de impacto",R203)</f>
        <v>0</v>
      </c>
      <c r="T203" s="417"/>
      <c r="U203" s="405"/>
      <c r="V203" s="418"/>
      <c r="W203" s="149">
        <v>6</v>
      </c>
      <c r="X203" s="149"/>
      <c r="Y203" s="149"/>
      <c r="Z203" s="149"/>
      <c r="AA203" s="174" t="str">
        <f t="shared" si="293"/>
        <v xml:space="preserve">  </v>
      </c>
      <c r="AB203" s="126" t="str">
        <f t="shared" si="309"/>
        <v/>
      </c>
      <c r="AC203" s="127"/>
      <c r="AD203" s="127"/>
      <c r="AE203" s="128" t="str">
        <f t="shared" si="304"/>
        <v/>
      </c>
      <c r="AF203" s="127"/>
      <c r="AG203" s="127"/>
      <c r="AH203" s="127"/>
      <c r="AI203" s="129" t="str">
        <f t="shared" si="310"/>
        <v/>
      </c>
      <c r="AJ203" s="130" t="str">
        <f t="shared" si="295"/>
        <v/>
      </c>
      <c r="AK203" s="128" t="str">
        <f t="shared" si="305"/>
        <v/>
      </c>
      <c r="AL203" s="130" t="str">
        <f t="shared" si="297"/>
        <v/>
      </c>
      <c r="AM203" s="128" t="str">
        <f t="shared" si="308"/>
        <v/>
      </c>
      <c r="AN203" s="131" t="str">
        <f t="shared" si="311"/>
        <v/>
      </c>
      <c r="AO203" s="132"/>
      <c r="AP203" s="125"/>
      <c r="AQ203" s="133"/>
      <c r="AR203" s="133"/>
      <c r="AS203" s="134"/>
      <c r="AT203" s="400"/>
      <c r="AU203" s="400"/>
      <c r="AV203" s="400"/>
    </row>
    <row r="204" spans="1:48" ht="48.75" customHeight="1" x14ac:dyDescent="0.2">
      <c r="A204" s="398">
        <v>33</v>
      </c>
      <c r="B204" s="399" t="s">
        <v>562</v>
      </c>
      <c r="C204" s="400" t="s">
        <v>40</v>
      </c>
      <c r="D204" s="400" t="s">
        <v>1287</v>
      </c>
      <c r="E204" s="400" t="s">
        <v>1288</v>
      </c>
      <c r="F204" s="400" t="s">
        <v>1289</v>
      </c>
      <c r="G204" s="401" t="str">
        <f>+CONCATENATE(C204," ",D204," ",E204)</f>
        <v>Posibilidad de afectación reputacional  Por inconformidad de los servidores públicos Debido a la liquidación de la nómina fuera de los tiempos establecidos.</v>
      </c>
      <c r="H204" s="400" t="s">
        <v>391</v>
      </c>
      <c r="I204" s="402" t="s">
        <v>62</v>
      </c>
      <c r="J204" s="402" t="s">
        <v>1290</v>
      </c>
      <c r="K204" s="402" t="s">
        <v>1291</v>
      </c>
      <c r="L204" s="402" t="s">
        <v>1292</v>
      </c>
      <c r="M204" s="402" t="s">
        <v>77</v>
      </c>
      <c r="N204" s="402" t="s">
        <v>46</v>
      </c>
      <c r="O204" s="416">
        <v>12</v>
      </c>
      <c r="P204" s="417" t="str">
        <f>IF(O204&lt;=0,"",IF(O204&lt;=2,"Muy Baja",IF(O204&lt;=24,"Baja",IF(O204&lt;=500,"Media",IF(O204&lt;=5000,"Alta","Muy Alta")))))</f>
        <v>Baja</v>
      </c>
      <c r="Q204" s="405">
        <f>IF(P204="","",IF(P204="Muy Baja",0.2,IF(P204="Baja",0.4,IF(P204="Media",0.6,IF(P204="Alta",0.8,IF(P204="Muy Alta",1,))))))</f>
        <v>0.4</v>
      </c>
      <c r="R204" s="406" t="s">
        <v>392</v>
      </c>
      <c r="S204" s="405" t="str">
        <f>IF(NOT(ISERROR(MATCH(R204,'[7]Tabla Impacto'!$B$245:$B$247,0))),'[7]Tabla Impacto'!$F$224&amp;"Por favor no seleccionar los criterios de impacto(Afectación Económica o presupuestal y Pérdida Reputacional)",R204)</f>
        <v xml:space="preserve">     El riesgo afecta la imagen de alguna área de la organización</v>
      </c>
      <c r="T204" s="417" t="str">
        <f>IF(OR(S204='[7]Tabla Impacto'!$C$12,S204='[7]Tabla Impacto'!$D$12),"Leve",IF(OR(S204='[7]Tabla Impacto'!$C$13,S204='[7]Tabla Impacto'!$D$13),"Menor",IF(OR(S204='[7]Tabla Impacto'!$C$14,S204='[7]Tabla Impacto'!$D$14),"Moderado",IF(OR(S204='[7]Tabla Impacto'!$C$15,S204='[7]Tabla Impacto'!$D$15),"Mayor",IF(OR(S204='[7]Tabla Impacto'!$C$16,S204='[7]Tabla Impacto'!$D$16),"Catastrófico","")))))</f>
        <v>Leve</v>
      </c>
      <c r="U204" s="405">
        <f>IF(T204="","",IF(T204="Leve",0.2,IF(T204="Menor",0.4,IF(T204="Moderado",0.6,IF(T204="Mayor",0.8,IF(T204="Catastrófico",1,))))))</f>
        <v>0.2</v>
      </c>
      <c r="V204" s="418" t="str">
        <f>IF(OR(AND(P204="Muy Baja",T204="Leve"),AND(P204="Muy Baja",T204="Menor"),AND(P204="Baja",T204="Leve")),"Bajo",IF(OR(AND(P204="Muy baja",T204="Moderado"),AND(P204="Baja",T204="Menor"),AND(P204="Baja",T204="Moderado"),AND(P204="Media",T204="Leve"),AND(P204="Media",T204="Menor"),AND(P204="Media",T204="Moderado"),AND(P204="Alta",T204="Leve"),AND(P204="Alta",T204="Menor")),"Moderado",IF(OR(AND(P204="Muy Baja",T204="Mayor"),AND(P204="Baja",T204="Mayor"),AND(P204="Media",T204="Mayor"),AND(P204="Alta",T204="Moderado"),AND(P204="Alta",T204="Mayor"),AND(P204="Muy Alta",T204="Leve"),AND(P204="Muy Alta",T204="Menor"),AND(P204="Muy Alta",T204="Moderado"),AND(P204="Muy Alta",T204="Mayor")),"Alto",IF(OR(AND(P204="Muy Baja",T204="Catastrófico"),AND(P204="Baja",T204="Catastrófico"),AND(P204="Media",T204="Catastrófico"),AND(P204="Alta",T204="Catastrófico"),AND(P204="Muy Alta",T204="Catastrófico")),"Extremo",""))))</f>
        <v>Bajo</v>
      </c>
      <c r="W204" s="149">
        <v>1</v>
      </c>
      <c r="X204" s="182" t="s">
        <v>1293</v>
      </c>
      <c r="Y204" s="149" t="s">
        <v>37</v>
      </c>
      <c r="Z204" s="182" t="s">
        <v>1294</v>
      </c>
      <c r="AA204" s="174" t="str">
        <f t="shared" si="293"/>
        <v>El Servidor público designado Verifica Mensualmente al momento de ejecutar la liquidación de la nómina que su contenido corresponda con las situaciones administrativas (devengados y deducidos por concepto de salud, pensión y retención en la fuente) y demás novedades, a través de una comparación de los reportes generados por el aplicativo de nómina People Net – SIGEP,  frente al cálculo realizado en una matriz de Excel para la liquidación de la nómina, la cual reposará como evidencia de la verificación realizada, con el fin de corroborar que los registros de las situaciones administrativas incluidos en el aplicativo sean correctos.</v>
      </c>
      <c r="AB204" s="126" t="str">
        <f>IF(OR(AC204="Preventivo",AC204="Detectivo"),"Probabilidad",IF(AC204="Correctivo","Impacto",""))</f>
        <v>Probabilidad</v>
      </c>
      <c r="AC204" s="127" t="s">
        <v>398</v>
      </c>
      <c r="AD204" s="127" t="s">
        <v>394</v>
      </c>
      <c r="AE204" s="128" t="str">
        <f t="shared" si="304"/>
        <v>40%</v>
      </c>
      <c r="AF204" s="127" t="s">
        <v>395</v>
      </c>
      <c r="AG204" s="127" t="s">
        <v>396</v>
      </c>
      <c r="AH204" s="127" t="s">
        <v>397</v>
      </c>
      <c r="AI204" s="129">
        <f>IFERROR(IF(AB204="Probabilidad",(Q204-(+Q204*AE204)),IF(AB204="Impacto",Q204,"")),"")</f>
        <v>0.24</v>
      </c>
      <c r="AJ204" s="130" t="str">
        <f>IFERROR(IF(AI204="","",IF(AI204&lt;=0.2,"Muy Baja",IF(AI204&lt;=0.4,"Baja",IF(AI204&lt;=0.6,"Media",IF(AI204&lt;=0.8,"Alta","Muy Alta"))))),"")</f>
        <v>Baja</v>
      </c>
      <c r="AK204" s="128">
        <f>+AI204</f>
        <v>0.24</v>
      </c>
      <c r="AL204" s="130" t="str">
        <f>IFERROR(IF(AM204="","",IF(AM204&lt;=0.2,"Leve",IF(AM204&lt;=0.4,"Menor",IF(AM204&lt;=0.6,"Moderado",IF(AM204&lt;=0.8,"Mayor","Catastrófico"))))),"")</f>
        <v>Leve</v>
      </c>
      <c r="AM204" s="128">
        <f t="shared" ref="AM204" si="312">IFERROR(IF(AB204="Impacto",(U204-(+U204*AE204)),IF(AB204="Probabilidad",U204,"")),"")</f>
        <v>0.2</v>
      </c>
      <c r="AN204" s="131" t="str">
        <f>IFERROR(IF(OR(AND(AJ204="Muy Baja",AL204="Leve"),AND(AJ204="Muy Baja",AL204="Menor"),AND(AJ204="Baja",AL204="Leve")),"Bajo",IF(OR(AND(AJ204="Muy baja",AL204="Moderado"),AND(AJ204="Baja",AL204="Menor"),AND(AJ204="Baja",AL204="Moderado"),AND(AJ204="Media",AL204="Leve"),AND(AJ204="Media",AL204="Menor"),AND(AJ204="Media",AL204="Moderado"),AND(AJ204="Alta",AL204="Leve"),AND(AJ204="Alta",AL204="Menor")),"Moderado",IF(OR(AND(AJ204="Muy Baja",AL204="Mayor"),AND(AJ204="Baja",AL204="Mayor"),AND(AJ204="Media",AL204="Mayor"),AND(AJ204="Alta",AL204="Moderado"),AND(AJ204="Alta",AL204="Mayor"),AND(AJ204="Muy Alta",AL204="Leve"),AND(AJ204="Muy Alta",AL204="Menor"),AND(AJ204="Muy Alta",AL204="Moderado"),AND(AJ204="Muy Alta",AL204="Mayor")),"Alto",IF(OR(AND(AJ204="Muy Baja",AL204="Catastrófico"),AND(AJ204="Baja",AL204="Catastrófico"),AND(AJ204="Media",AL204="Catastrófico"),AND(AJ204="Alta",AL204="Catastrófico"),AND(AJ204="Muy Alta",AL204="Catastrófico")),"Extremo","")))),"")</f>
        <v>Bajo</v>
      </c>
      <c r="AO204" s="132" t="s">
        <v>35</v>
      </c>
      <c r="AP204" s="125"/>
      <c r="AQ204" s="133"/>
      <c r="AR204" s="133"/>
      <c r="AS204" s="134"/>
      <c r="AT204" s="402" t="s">
        <v>1295</v>
      </c>
      <c r="AU204" s="402" t="s">
        <v>1009</v>
      </c>
      <c r="AV204" s="402" t="s">
        <v>791</v>
      </c>
    </row>
    <row r="205" spans="1:48" ht="48.75" customHeight="1" x14ac:dyDescent="0.2">
      <c r="A205" s="398"/>
      <c r="B205" s="399"/>
      <c r="C205" s="400"/>
      <c r="D205" s="400"/>
      <c r="E205" s="400"/>
      <c r="F205" s="400"/>
      <c r="G205" s="401"/>
      <c r="H205" s="400"/>
      <c r="I205" s="403"/>
      <c r="J205" s="403"/>
      <c r="K205" s="403"/>
      <c r="L205" s="403"/>
      <c r="M205" s="403"/>
      <c r="N205" s="403"/>
      <c r="O205" s="416"/>
      <c r="P205" s="417"/>
      <c r="Q205" s="405"/>
      <c r="R205" s="406"/>
      <c r="S205" s="405">
        <f>IF(NOT(ISERROR(MATCH(R205,_xlfn.ANCHORARRAY(G216),0))),Q218&amp;"Por favor no seleccionar los criterios de impacto",R205)</f>
        <v>0</v>
      </c>
      <c r="T205" s="417"/>
      <c r="U205" s="405"/>
      <c r="V205" s="418"/>
      <c r="W205" s="149">
        <v>2</v>
      </c>
      <c r="X205" s="182" t="s">
        <v>1293</v>
      </c>
      <c r="Y205" s="149" t="s">
        <v>37</v>
      </c>
      <c r="Z205" s="182" t="s">
        <v>1296</v>
      </c>
      <c r="AA205" s="174" t="str">
        <f t="shared" si="293"/>
        <v>El Servidor público designado Verifica Mensualmente el reporte general de deducidos generado por el sistema People Net- SIGEP, frente al reporte individual de descuentos y soportes de libranza u embargos, con el fin de que operen de manera correcta; en caso de encontrar una diferencia se revisará nuevamente la inclusión de las novedades, quedando como evidencia cada uno de los reportes generados y los soportes de las libranzas y embargos.</v>
      </c>
      <c r="AB205" s="126" t="str">
        <f>IF(OR(AC205="Preventivo",AC205="Detectivo"),"Probabilidad",IF(AC205="Correctivo","Impacto",""))</f>
        <v>Probabilidad</v>
      </c>
      <c r="AC205" s="127" t="s">
        <v>398</v>
      </c>
      <c r="AD205" s="127" t="s">
        <v>394</v>
      </c>
      <c r="AE205" s="128" t="str">
        <f t="shared" si="304"/>
        <v>40%</v>
      </c>
      <c r="AF205" s="127" t="s">
        <v>395</v>
      </c>
      <c r="AG205" s="127" t="s">
        <v>396</v>
      </c>
      <c r="AH205" s="127" t="s">
        <v>397</v>
      </c>
      <c r="AI205" s="129">
        <f>IFERROR(IF(AND(AB204="Probabilidad",AB205="Probabilidad"),(AK204-(+AK204*AE205)),IF(AB205="Probabilidad",(Q204-(+Q204*AE205)),IF(AB205="Impacto",AK204,""))),"")</f>
        <v>0.14399999999999999</v>
      </c>
      <c r="AJ205" s="130" t="str">
        <f t="shared" ref="AJ205:AJ227" si="313">IFERROR(IF(AI205="","",IF(AI205&lt;=0.2,"Muy Baja",IF(AI205&lt;=0.4,"Baja",IF(AI205&lt;=0.6,"Media",IF(AI205&lt;=0.8,"Alta","Muy Alta"))))),"")</f>
        <v>Muy Baja</v>
      </c>
      <c r="AK205" s="128">
        <f t="shared" ref="AK205:AK209" si="314">+AI205</f>
        <v>0.14399999999999999</v>
      </c>
      <c r="AL205" s="130" t="str">
        <f t="shared" ref="AL205:AL227" si="315">IFERROR(IF(AM205="","",IF(AM205&lt;=0.2,"Leve",IF(AM205&lt;=0.4,"Menor",IF(AM205&lt;=0.6,"Moderado",IF(AM205&lt;=0.8,"Mayor","Catastrófico"))))),"")</f>
        <v>Leve</v>
      </c>
      <c r="AM205" s="128">
        <f>IFERROR(IF(AND(AB204="Impacto",AB205="Impacto"),(AM204-(+AM204*AE205)),IF(AB205="Impacto",(#REF!-(+#REF!*AE205)),IF(AB205="Probabilidad",AM204,""))),"")</f>
        <v>0.2</v>
      </c>
      <c r="AN205" s="131" t="str">
        <f t="shared" ref="AN205:AN206" si="316">IFERROR(IF(OR(AND(AJ205="Muy Baja",AL205="Leve"),AND(AJ205="Muy Baja",AL205="Menor"),AND(AJ205="Baja",AL205="Leve")),"Bajo",IF(OR(AND(AJ205="Muy baja",AL205="Moderado"),AND(AJ205="Baja",AL205="Menor"),AND(AJ205="Baja",AL205="Moderado"),AND(AJ205="Media",AL205="Leve"),AND(AJ205="Media",AL205="Menor"),AND(AJ205="Media",AL205="Moderado"),AND(AJ205="Alta",AL205="Leve"),AND(AJ205="Alta",AL205="Menor")),"Moderado",IF(OR(AND(AJ205="Muy Baja",AL205="Mayor"),AND(AJ205="Baja",AL205="Mayor"),AND(AJ205="Media",AL205="Mayor"),AND(AJ205="Alta",AL205="Moderado"),AND(AJ205="Alta",AL205="Mayor"),AND(AJ205="Muy Alta",AL205="Leve"),AND(AJ205="Muy Alta",AL205="Menor"),AND(AJ205="Muy Alta",AL205="Moderado"),AND(AJ205="Muy Alta",AL205="Mayor")),"Alto",IF(OR(AND(AJ205="Muy Baja",AL205="Catastrófico"),AND(AJ205="Baja",AL205="Catastrófico"),AND(AJ205="Media",AL205="Catastrófico"),AND(AJ205="Alta",AL205="Catastrófico"),AND(AJ205="Muy Alta",AL205="Catastrófico")),"Extremo","")))),"")</f>
        <v>Bajo</v>
      </c>
      <c r="AO205" s="132" t="s">
        <v>35</v>
      </c>
      <c r="AP205" s="125"/>
      <c r="AQ205" s="133"/>
      <c r="AR205" s="133"/>
      <c r="AS205" s="134"/>
      <c r="AT205" s="403"/>
      <c r="AU205" s="403"/>
      <c r="AV205" s="403"/>
    </row>
    <row r="206" spans="1:48" ht="52.5" customHeight="1" x14ac:dyDescent="0.2">
      <c r="A206" s="398"/>
      <c r="B206" s="399"/>
      <c r="C206" s="400"/>
      <c r="D206" s="400"/>
      <c r="E206" s="400"/>
      <c r="F206" s="400"/>
      <c r="G206" s="401"/>
      <c r="H206" s="400"/>
      <c r="I206" s="403"/>
      <c r="J206" s="403"/>
      <c r="K206" s="403"/>
      <c r="L206" s="403"/>
      <c r="M206" s="403"/>
      <c r="N206" s="403"/>
      <c r="O206" s="416"/>
      <c r="P206" s="417"/>
      <c r="Q206" s="405"/>
      <c r="R206" s="406"/>
      <c r="S206" s="405">
        <f>IF(NOT(ISERROR(MATCH(R206,_xlfn.ANCHORARRAY(G217),0))),Q219&amp;"Por favor no seleccionar los criterios de impacto",R206)</f>
        <v>0</v>
      </c>
      <c r="T206" s="417"/>
      <c r="U206" s="405"/>
      <c r="V206" s="418"/>
      <c r="W206" s="149">
        <v>3</v>
      </c>
      <c r="X206" s="182" t="s">
        <v>1293</v>
      </c>
      <c r="Y206" s="149" t="s">
        <v>37</v>
      </c>
      <c r="Z206" s="182" t="s">
        <v>1297</v>
      </c>
      <c r="AA206" s="174" t="str">
        <f t="shared" si="293"/>
        <v>El Servidor público designado Verifica Anualmente proyecta la circular con el cronograma de apertura y cierre de novedades que afectan la nomina, con el propósito de dar cumplimiento a la liquidación de la nomina en cada periodo de forma oportuna. Como evidencia se encuentra la circular de apertura y cierre de novedades que afectan la nomina.</v>
      </c>
      <c r="AB206" s="126" t="str">
        <f>IF(OR(AC206="Preventivo",AC206="Detectivo"),"Probabilidad",IF(AC206="Correctivo","Impacto",""))</f>
        <v>Probabilidad</v>
      </c>
      <c r="AC206" s="127" t="s">
        <v>398</v>
      </c>
      <c r="AD206" s="127" t="s">
        <v>394</v>
      </c>
      <c r="AE206" s="128" t="str">
        <f t="shared" si="304"/>
        <v>40%</v>
      </c>
      <c r="AF206" s="127" t="s">
        <v>395</v>
      </c>
      <c r="AG206" s="127" t="s">
        <v>396</v>
      </c>
      <c r="AH206" s="127" t="s">
        <v>397</v>
      </c>
      <c r="AI206" s="129">
        <f>IFERROR(IF(AND(AB205="Probabilidad",AB206="Probabilidad"),(AK205-(+AK205*AE206)),IF(AND(AB205="Impacto",AB206="Probabilidad"),(AK204-(+AK204*AE206)),IF(AB206="Impacto",AK205,""))),"")</f>
        <v>8.6399999999999991E-2</v>
      </c>
      <c r="AJ206" s="130" t="str">
        <f t="shared" si="313"/>
        <v>Muy Baja</v>
      </c>
      <c r="AK206" s="128">
        <f t="shared" si="314"/>
        <v>8.6399999999999991E-2</v>
      </c>
      <c r="AL206" s="130" t="str">
        <f t="shared" si="315"/>
        <v>Leve</v>
      </c>
      <c r="AM206" s="128">
        <f t="shared" ref="AM206:AM227" si="317">IFERROR(IF(AND(AB205="Impacto",AB206="Impacto"),(AM205-(+AM205*AE206)),IF(AND(AB205="Probabilidad",AB206="Impacto"),(AM204-(+AM204*AE206)),IF(AB206="Probabilidad",AM205,""))),"")</f>
        <v>0.2</v>
      </c>
      <c r="AN206" s="131" t="str">
        <f t="shared" si="316"/>
        <v>Bajo</v>
      </c>
      <c r="AO206" s="132" t="s">
        <v>35</v>
      </c>
      <c r="AP206" s="125"/>
      <c r="AQ206" s="133"/>
      <c r="AR206" s="133"/>
      <c r="AS206" s="134"/>
      <c r="AT206" s="403"/>
      <c r="AU206" s="403"/>
      <c r="AV206" s="403"/>
    </row>
    <row r="207" spans="1:48" ht="14.25" customHeight="1" x14ac:dyDescent="0.2">
      <c r="A207" s="398"/>
      <c r="B207" s="399"/>
      <c r="C207" s="400"/>
      <c r="D207" s="400"/>
      <c r="E207" s="400"/>
      <c r="F207" s="400"/>
      <c r="G207" s="401"/>
      <c r="H207" s="400"/>
      <c r="I207" s="403"/>
      <c r="J207" s="403"/>
      <c r="K207" s="403"/>
      <c r="L207" s="403"/>
      <c r="M207" s="403"/>
      <c r="N207" s="403"/>
      <c r="O207" s="416"/>
      <c r="P207" s="417"/>
      <c r="Q207" s="405"/>
      <c r="R207" s="406"/>
      <c r="S207" s="405">
        <f>IF(NOT(ISERROR(MATCH(R207,_xlfn.ANCHORARRAY(G218),0))),Q220&amp;"Por favor no seleccionar los criterios de impacto",R207)</f>
        <v>0</v>
      </c>
      <c r="T207" s="417"/>
      <c r="U207" s="405"/>
      <c r="V207" s="418"/>
      <c r="W207" s="149">
        <v>4</v>
      </c>
      <c r="X207" s="149"/>
      <c r="Y207" s="149"/>
      <c r="Z207" s="149"/>
      <c r="AA207" s="174" t="str">
        <f t="shared" si="293"/>
        <v xml:space="preserve">  </v>
      </c>
      <c r="AB207" s="126" t="str">
        <f t="shared" ref="AB207:AB209" si="318">IF(OR(AC207="Preventivo",AC207="Detectivo"),"Probabilidad",IF(AC207="Correctivo","Impacto",""))</f>
        <v/>
      </c>
      <c r="AC207" s="127"/>
      <c r="AD207" s="127"/>
      <c r="AE207" s="128" t="str">
        <f t="shared" si="304"/>
        <v/>
      </c>
      <c r="AF207" s="127"/>
      <c r="AG207" s="127"/>
      <c r="AH207" s="127"/>
      <c r="AI207" s="129" t="str">
        <f t="shared" ref="AI207:AI209" si="319">IFERROR(IF(AND(AB206="Probabilidad",AB207="Probabilidad"),(AK206-(+AK206*AE207)),IF(AND(AB206="Impacto",AB207="Probabilidad"),(AK205-(+AK205*AE207)),IF(AB207="Impacto",AK206,""))),"")</f>
        <v/>
      </c>
      <c r="AJ207" s="130" t="str">
        <f t="shared" si="313"/>
        <v/>
      </c>
      <c r="AK207" s="128" t="str">
        <f t="shared" si="314"/>
        <v/>
      </c>
      <c r="AL207" s="130" t="str">
        <f t="shared" si="315"/>
        <v/>
      </c>
      <c r="AM207" s="128" t="str">
        <f t="shared" si="317"/>
        <v/>
      </c>
      <c r="AN207" s="131" t="str">
        <f>IFERROR(IF(OR(AND(AJ207="Muy Baja",AL207="Leve"),AND(AJ207="Muy Baja",AL207="Menor"),AND(AJ207="Baja",AL207="Leve")),"Bajo",IF(OR(AND(AJ207="Muy baja",AL207="Moderado"),AND(AJ207="Baja",AL207="Menor"),AND(AJ207="Baja",AL207="Moderado"),AND(AJ207="Media",AL207="Leve"),AND(AJ207="Media",AL207="Menor"),AND(AJ207="Media",AL207="Moderado"),AND(AJ207="Alta",AL207="Leve"),AND(AJ207="Alta",AL207="Menor")),"Moderado",IF(OR(AND(AJ207="Muy Baja",AL207="Mayor"),AND(AJ207="Baja",AL207="Mayor"),AND(AJ207="Media",AL207="Mayor"),AND(AJ207="Alta",AL207="Moderado"),AND(AJ207="Alta",AL207="Mayor"),AND(AJ207="Muy Alta",AL207="Leve"),AND(AJ207="Muy Alta",AL207="Menor"),AND(AJ207="Muy Alta",AL207="Moderado"),AND(AJ207="Muy Alta",AL207="Mayor")),"Alto",IF(OR(AND(AJ207="Muy Baja",AL207="Catastrófico"),AND(AJ207="Baja",AL207="Catastrófico"),AND(AJ207="Media",AL207="Catastrófico"),AND(AJ207="Alta",AL207="Catastrófico"),AND(AJ207="Muy Alta",AL207="Catastrófico")),"Extremo","")))),"")</f>
        <v/>
      </c>
      <c r="AO207" s="132"/>
      <c r="AP207" s="125"/>
      <c r="AQ207" s="133"/>
      <c r="AR207" s="133"/>
      <c r="AS207" s="134"/>
      <c r="AT207" s="403"/>
      <c r="AU207" s="403"/>
      <c r="AV207" s="403"/>
    </row>
    <row r="208" spans="1:48" ht="14.25" customHeight="1" x14ac:dyDescent="0.2">
      <c r="A208" s="398"/>
      <c r="B208" s="399"/>
      <c r="C208" s="400"/>
      <c r="D208" s="400"/>
      <c r="E208" s="400"/>
      <c r="F208" s="400"/>
      <c r="G208" s="401"/>
      <c r="H208" s="400"/>
      <c r="I208" s="403"/>
      <c r="J208" s="403"/>
      <c r="K208" s="403"/>
      <c r="L208" s="403"/>
      <c r="M208" s="403"/>
      <c r="N208" s="403"/>
      <c r="O208" s="416"/>
      <c r="P208" s="417"/>
      <c r="Q208" s="405"/>
      <c r="R208" s="406"/>
      <c r="S208" s="405">
        <f>IF(NOT(ISERROR(MATCH(R208,_xlfn.ANCHORARRAY(G219),0))),Q221&amp;"Por favor no seleccionar los criterios de impacto",R208)</f>
        <v>0</v>
      </c>
      <c r="T208" s="417"/>
      <c r="U208" s="405"/>
      <c r="V208" s="418"/>
      <c r="W208" s="149">
        <v>5</v>
      </c>
      <c r="X208" s="149"/>
      <c r="Y208" s="149"/>
      <c r="Z208" s="149"/>
      <c r="AA208" s="174" t="str">
        <f t="shared" si="293"/>
        <v xml:space="preserve">  </v>
      </c>
      <c r="AB208" s="126" t="str">
        <f t="shared" si="318"/>
        <v/>
      </c>
      <c r="AC208" s="127"/>
      <c r="AD208" s="127"/>
      <c r="AE208" s="128" t="str">
        <f t="shared" si="304"/>
        <v/>
      </c>
      <c r="AF208" s="127"/>
      <c r="AG208" s="127"/>
      <c r="AH208" s="127"/>
      <c r="AI208" s="129" t="str">
        <f t="shared" si="319"/>
        <v/>
      </c>
      <c r="AJ208" s="130" t="str">
        <f>IFERROR(IF(AI208="","",IF(AI208&lt;=0.2,"Muy Baja",IF(AI208&lt;=0.4,"Baja",IF(AI208&lt;=0.6,"Media",IF(AI208&lt;=0.8,"Alta","Muy Alta"))))),"")</f>
        <v/>
      </c>
      <c r="AK208" s="128" t="str">
        <f t="shared" si="314"/>
        <v/>
      </c>
      <c r="AL208" s="130" t="str">
        <f t="shared" si="315"/>
        <v/>
      </c>
      <c r="AM208" s="128" t="str">
        <f t="shared" si="317"/>
        <v/>
      </c>
      <c r="AN208" s="131" t="str">
        <f t="shared" ref="AN208:AN209" si="320">IFERROR(IF(OR(AND(AJ208="Muy Baja",AL208="Leve"),AND(AJ208="Muy Baja",AL208="Menor"),AND(AJ208="Baja",AL208="Leve")),"Bajo",IF(OR(AND(AJ208="Muy baja",AL208="Moderado"),AND(AJ208="Baja",AL208="Menor"),AND(AJ208="Baja",AL208="Moderado"),AND(AJ208="Media",AL208="Leve"),AND(AJ208="Media",AL208="Menor"),AND(AJ208="Media",AL208="Moderado"),AND(AJ208="Alta",AL208="Leve"),AND(AJ208="Alta",AL208="Menor")),"Moderado",IF(OR(AND(AJ208="Muy Baja",AL208="Mayor"),AND(AJ208="Baja",AL208="Mayor"),AND(AJ208="Media",AL208="Mayor"),AND(AJ208="Alta",AL208="Moderado"),AND(AJ208="Alta",AL208="Mayor"),AND(AJ208="Muy Alta",AL208="Leve"),AND(AJ208="Muy Alta",AL208="Menor"),AND(AJ208="Muy Alta",AL208="Moderado"),AND(AJ208="Muy Alta",AL208="Mayor")),"Alto",IF(OR(AND(AJ208="Muy Baja",AL208="Catastrófico"),AND(AJ208="Baja",AL208="Catastrófico"),AND(AJ208="Media",AL208="Catastrófico"),AND(AJ208="Alta",AL208="Catastrófico"),AND(AJ208="Muy Alta",AL208="Catastrófico")),"Extremo","")))),"")</f>
        <v/>
      </c>
      <c r="AO208" s="132"/>
      <c r="AP208" s="125"/>
      <c r="AQ208" s="133"/>
      <c r="AR208" s="133"/>
      <c r="AS208" s="134"/>
      <c r="AT208" s="403"/>
      <c r="AU208" s="403"/>
      <c r="AV208" s="403"/>
    </row>
    <row r="209" spans="1:48" ht="14.25" customHeight="1" x14ac:dyDescent="0.2">
      <c r="A209" s="398"/>
      <c r="B209" s="399"/>
      <c r="C209" s="400"/>
      <c r="D209" s="400"/>
      <c r="E209" s="400"/>
      <c r="F209" s="400"/>
      <c r="G209" s="401"/>
      <c r="H209" s="400"/>
      <c r="I209" s="404"/>
      <c r="J209" s="404"/>
      <c r="K209" s="404"/>
      <c r="L209" s="404"/>
      <c r="M209" s="404"/>
      <c r="N209" s="404"/>
      <c r="O209" s="416"/>
      <c r="P209" s="417"/>
      <c r="Q209" s="405"/>
      <c r="R209" s="406"/>
      <c r="S209" s="405">
        <f>IF(NOT(ISERROR(MATCH(R209,_xlfn.ANCHORARRAY(G220),0))),Q222&amp;"Por favor no seleccionar los criterios de impacto",R209)</f>
        <v>0</v>
      </c>
      <c r="T209" s="417"/>
      <c r="U209" s="405"/>
      <c r="V209" s="418"/>
      <c r="W209" s="149">
        <v>6</v>
      </c>
      <c r="X209" s="149"/>
      <c r="Y209" s="149"/>
      <c r="Z209" s="149"/>
      <c r="AA209" s="174" t="str">
        <f t="shared" si="293"/>
        <v xml:space="preserve">  </v>
      </c>
      <c r="AB209" s="126" t="str">
        <f t="shared" si="318"/>
        <v/>
      </c>
      <c r="AC209" s="127"/>
      <c r="AD209" s="127"/>
      <c r="AE209" s="128" t="str">
        <f t="shared" si="304"/>
        <v/>
      </c>
      <c r="AF209" s="127"/>
      <c r="AG209" s="127"/>
      <c r="AH209" s="127"/>
      <c r="AI209" s="129" t="str">
        <f t="shared" si="319"/>
        <v/>
      </c>
      <c r="AJ209" s="130" t="str">
        <f t="shared" si="313"/>
        <v/>
      </c>
      <c r="AK209" s="128" t="str">
        <f t="shared" si="314"/>
        <v/>
      </c>
      <c r="AL209" s="130" t="str">
        <f t="shared" si="315"/>
        <v/>
      </c>
      <c r="AM209" s="128" t="str">
        <f t="shared" si="317"/>
        <v/>
      </c>
      <c r="AN209" s="131" t="str">
        <f t="shared" si="320"/>
        <v/>
      </c>
      <c r="AO209" s="132"/>
      <c r="AP209" s="125"/>
      <c r="AQ209" s="133"/>
      <c r="AR209" s="133"/>
      <c r="AS209" s="134"/>
      <c r="AT209" s="404"/>
      <c r="AU209" s="404"/>
      <c r="AV209" s="404"/>
    </row>
    <row r="210" spans="1:48" ht="48.75" customHeight="1" x14ac:dyDescent="0.2">
      <c r="A210" s="398">
        <v>34</v>
      </c>
      <c r="B210" s="399" t="s">
        <v>562</v>
      </c>
      <c r="C210" s="400" t="s">
        <v>40</v>
      </c>
      <c r="D210" s="400" t="s">
        <v>1298</v>
      </c>
      <c r="E210" s="400" t="s">
        <v>1299</v>
      </c>
      <c r="F210" s="400" t="s">
        <v>1300</v>
      </c>
      <c r="G210" s="401" t="str">
        <f t="shared" ref="G210" si="321">+CONCATENATE(C210," ",D210," ",E210)</f>
        <v>Posibilidad de afectación reputacional Por perdida de credibilidad y confianza de las partes interesadas Debido a la ejecución del Sistema de Gestión de  Seguridad y Salud en el Trabajo SG-SST sin el cumplimiento de los  requisitos mínimos establecidos por la normatividad vigente.</v>
      </c>
      <c r="H210" s="400" t="s">
        <v>391</v>
      </c>
      <c r="I210" s="402" t="s">
        <v>62</v>
      </c>
      <c r="J210" s="402" t="s">
        <v>1301</v>
      </c>
      <c r="K210" s="402" t="s">
        <v>1302</v>
      </c>
      <c r="L210" s="402" t="s">
        <v>1303</v>
      </c>
      <c r="M210" s="402" t="s">
        <v>77</v>
      </c>
      <c r="N210" s="402" t="s">
        <v>46</v>
      </c>
      <c r="O210" s="416">
        <v>365</v>
      </c>
      <c r="P210" s="417" t="str">
        <f>IF(O210&lt;=0,"",IF(O210&lt;=2,"Muy Baja",IF(O210&lt;=24,"Baja",IF(O210&lt;=500,"Media",IF(O210&lt;=5000,"Alta","Muy Alta")))))</f>
        <v>Media</v>
      </c>
      <c r="Q210" s="405">
        <f>IF(P210="","",IF(P210="Muy Baja",0.2,IF(P210="Baja",0.4,IF(P210="Media",0.6,IF(P210="Alta",0.8,IF(P210="Muy Alta",1,))))))</f>
        <v>0.6</v>
      </c>
      <c r="R210" s="406" t="s">
        <v>428</v>
      </c>
      <c r="S210" s="405" t="str">
        <f>IF(NOT(ISERROR(MATCH(R210,'[7]Tabla Impacto'!$B$245:$B$247,0))),'[7]Tabla Impacto'!$F$224&amp;"Por favor no seleccionar los criterios de impacto(Afectación Económica o presupuestal y Pérdida Reputacional)",R210)</f>
        <v xml:space="preserve">     El riesgo afecta la imagen de la entidad con algunos usuarios de relevancia frente al logro de los objetivos</v>
      </c>
      <c r="T210" s="417" t="str">
        <f>IF(OR(S210='[7]Tabla Impacto'!$C$12,S210='[7]Tabla Impacto'!$D$12),"Leve",IF(OR(S210='[7]Tabla Impacto'!$C$13,S210='[7]Tabla Impacto'!$D$13),"Menor",IF(OR(S210='[7]Tabla Impacto'!$C$14,S210='[7]Tabla Impacto'!$D$14),"Moderado",IF(OR(S210='[7]Tabla Impacto'!$C$15,S210='[7]Tabla Impacto'!$D$15),"Mayor",IF(OR(S210='[7]Tabla Impacto'!$C$16,S210='[7]Tabla Impacto'!$D$16),"Catastrófico","")))))</f>
        <v>Moderado</v>
      </c>
      <c r="U210" s="405">
        <f>IF(T210="","",IF(T210="Leve",0.2,IF(T210="Menor",0.4,IF(T210="Moderado",0.6,IF(T210="Mayor",0.8,IF(T210="Catastrófico",1,))))))</f>
        <v>0.6</v>
      </c>
      <c r="V210" s="418" t="str">
        <f>IF(OR(AND(P210="Muy Baja",T210="Leve"),AND(P210="Muy Baja",T210="Menor"),AND(P210="Baja",T210="Leve")),"Bajo",IF(OR(AND(P210="Muy baja",T210="Moderado"),AND(P210="Baja",T210="Menor"),AND(P210="Baja",T210="Moderado"),AND(P210="Media",T210="Leve"),AND(P210="Media",T210="Menor"),AND(P210="Media",T210="Moderado"),AND(P210="Alta",T210="Leve"),AND(P210="Alta",T210="Menor")),"Moderado",IF(OR(AND(P210="Muy Baja",T210="Mayor"),AND(P210="Baja",T210="Mayor"),AND(P210="Media",T210="Mayor"),AND(P210="Alta",T210="Moderado"),AND(P210="Alta",T210="Mayor"),AND(P210="Muy Alta",T210="Leve"),AND(P210="Muy Alta",T210="Menor"),AND(P210="Muy Alta",T210="Moderado"),AND(P210="Muy Alta",T210="Mayor")),"Alto",IF(OR(AND(P210="Muy Baja",T210="Catastrófico"),AND(P210="Baja",T210="Catastrófico"),AND(P210="Media",T210="Catastrófico"),AND(P210="Alta",T210="Catastrófico"),AND(P210="Muy Alta",T210="Catastrófico")),"Extremo",""))))</f>
        <v>Moderado</v>
      </c>
      <c r="W210" s="149">
        <v>1</v>
      </c>
      <c r="X210" s="182" t="s">
        <v>1304</v>
      </c>
      <c r="Y210" s="149" t="s">
        <v>52</v>
      </c>
      <c r="Z210" s="182" t="s">
        <v>1305</v>
      </c>
      <c r="AA210" s="304" t="str">
        <f t="shared" si="293"/>
        <v>El Líder asignado por la Dirección General como responsable de coordinar el desarrollo del SG-SST,  Revisa a través de reuniones trimestralmente con su equipo de trabajo para revisar el nivel de avance de ejecución del Plan Anual de Seguridad y salud en el Trabajo -PASST, dejando como evidencia un acta de reunión y el cronograma de seguimiento del PASST que presenta el porcentaje de avance.
En caso de evidenciar incumplimientos en las actividades definidas en el Plan Anual de Seguridad y salud en el Trabajo -PASST, se ejecutarán reuniones extraordinarias con el personal encargado del área de SST, para ser informado al Comité de Seguridad y salud en el Trabajo, estableciendo alertas y determinando plazos para la ejecución de actividades, dejando como evidencia las actas de reunión.</v>
      </c>
      <c r="AB210" s="126" t="str">
        <f>IF(OR(AC210="Preventivo",AC210="Detectivo"),"Probabilidad",IF(AC210="Correctivo","Impacto",""))</f>
        <v>Probabilidad</v>
      </c>
      <c r="AC210" s="127" t="s">
        <v>398</v>
      </c>
      <c r="AD210" s="127" t="s">
        <v>394</v>
      </c>
      <c r="AE210" s="128" t="str">
        <f t="shared" si="304"/>
        <v>40%</v>
      </c>
      <c r="AF210" s="127" t="s">
        <v>395</v>
      </c>
      <c r="AG210" s="127" t="s">
        <v>396</v>
      </c>
      <c r="AH210" s="127" t="s">
        <v>397</v>
      </c>
      <c r="AI210" s="129">
        <f>IFERROR(IF(AB210="Probabilidad",(Q210-(+Q210*AE210)),IF(AB210="Impacto",Q210,"")),"")</f>
        <v>0.36</v>
      </c>
      <c r="AJ210" s="130" t="str">
        <f>IFERROR(IF(AI210="","",IF(AI210&lt;=0.2,"Muy Baja",IF(AI210&lt;=0.4,"Baja",IF(AI210&lt;=0.6,"Media",IF(AI210&lt;=0.8,"Alta","Muy Alta"))))),"")</f>
        <v>Baja</v>
      </c>
      <c r="AK210" s="128">
        <f>+AI210</f>
        <v>0.36</v>
      </c>
      <c r="AL210" s="130" t="str">
        <f>IFERROR(IF(AM210="","",IF(AM210&lt;=0.2,"Leve",IF(AM210&lt;=0.4,"Menor",IF(AM210&lt;=0.6,"Moderado",IF(AM210&lt;=0.8,"Mayor","Catastrófico"))))),"")</f>
        <v>Moderado</v>
      </c>
      <c r="AM210" s="128">
        <f t="shared" ref="AM210" si="322">IFERROR(IF(AB210="Impacto",(U210-(+U210*AE210)),IF(AB210="Probabilidad",U210,"")),"")</f>
        <v>0.6</v>
      </c>
      <c r="AN210" s="131" t="str">
        <f>IFERROR(IF(OR(AND(AJ210="Muy Baja",AL210="Leve"),AND(AJ210="Muy Baja",AL210="Menor"),AND(AJ210="Baja",AL210="Leve")),"Bajo",IF(OR(AND(AJ210="Muy baja",AL210="Moderado"),AND(AJ210="Baja",AL210="Menor"),AND(AJ210="Baja",AL210="Moderado"),AND(AJ210="Media",AL210="Leve"),AND(AJ210="Media",AL210="Menor"),AND(AJ210="Media",AL210="Moderado"),AND(AJ210="Alta",AL210="Leve"),AND(AJ210="Alta",AL210="Menor")),"Moderado",IF(OR(AND(AJ210="Muy Baja",AL210="Mayor"),AND(AJ210="Baja",AL210="Mayor"),AND(AJ210="Media",AL210="Mayor"),AND(AJ210="Alta",AL210="Moderado"),AND(AJ210="Alta",AL210="Mayor"),AND(AJ210="Muy Alta",AL210="Leve"),AND(AJ210="Muy Alta",AL210="Menor"),AND(AJ210="Muy Alta",AL210="Moderado"),AND(AJ210="Muy Alta",AL210="Mayor")),"Alto",IF(OR(AND(AJ210="Muy Baja",AL210="Catastrófico"),AND(AJ210="Baja",AL210="Catastrófico"),AND(AJ210="Media",AL210="Catastrófico"),AND(AJ210="Alta",AL210="Catastrófico"),AND(AJ210="Muy Alta",AL210="Catastrófico")),"Extremo","")))),"")</f>
        <v>Moderado</v>
      </c>
      <c r="AO210" s="132" t="s">
        <v>47</v>
      </c>
      <c r="AP210" s="125" t="s">
        <v>1306</v>
      </c>
      <c r="AQ210" s="125" t="s">
        <v>1307</v>
      </c>
      <c r="AR210" s="125" t="s">
        <v>1308</v>
      </c>
      <c r="AS210" s="335" t="s">
        <v>1309</v>
      </c>
      <c r="AT210" s="400" t="s">
        <v>1310</v>
      </c>
      <c r="AU210" s="400" t="s">
        <v>1311</v>
      </c>
      <c r="AV210" s="400" t="s">
        <v>791</v>
      </c>
    </row>
    <row r="211" spans="1:48" ht="48.75" customHeight="1" x14ac:dyDescent="0.2">
      <c r="A211" s="398"/>
      <c r="B211" s="399"/>
      <c r="C211" s="400"/>
      <c r="D211" s="400"/>
      <c r="E211" s="400"/>
      <c r="F211" s="400"/>
      <c r="G211" s="401"/>
      <c r="H211" s="400"/>
      <c r="I211" s="403"/>
      <c r="J211" s="403"/>
      <c r="K211" s="403"/>
      <c r="L211" s="403"/>
      <c r="M211" s="403"/>
      <c r="N211" s="403"/>
      <c r="O211" s="416"/>
      <c r="P211" s="417"/>
      <c r="Q211" s="405"/>
      <c r="R211" s="406"/>
      <c r="S211" s="405">
        <f>IF(NOT(ISERROR(MATCH(R211,_xlfn.ANCHORARRAY(G222),0))),Q224&amp;"Por favor no seleccionar los criterios de impacto",R211)</f>
        <v>0</v>
      </c>
      <c r="T211" s="417"/>
      <c r="U211" s="405"/>
      <c r="V211" s="418"/>
      <c r="W211" s="149">
        <v>2</v>
      </c>
      <c r="X211" s="182" t="s">
        <v>1304</v>
      </c>
      <c r="Y211" s="149" t="s">
        <v>52</v>
      </c>
      <c r="Z211" s="182" t="s">
        <v>1312</v>
      </c>
      <c r="AA211" s="174" t="str">
        <f t="shared" si="293"/>
        <v>El Líder asignado por la Dirección General como responsable de coordinar el desarrollo del SG-SST,  Revisa a través de reunión trimestral con el (Gerente Administrativo y Financiero Gerente GASA, Profesional Especializado del Proceso de Talento Humano y colaboradores de SST) con el propósito de verificar el estado de implementación, novedades y oportunidades de mejora para articular y socializar las directrices en materia de seguridad y salud en el trabajo. Se deja como evidencia un acta de reunión con los temas relevantes de la reunión.
En caso de evidenciar retrasos en la implementación de acciones a cargo de las dependencias se procederá a concertar compromisos con los jefes de las mismas, para su cierre respectivo, dejando como evidencia los compromisos en el acta de reunión."</v>
      </c>
      <c r="AB211" s="126" t="str">
        <f>IF(OR(AC211="Preventivo",AC211="Detectivo"),"Probabilidad",IF(AC211="Correctivo","Impacto",""))</f>
        <v>Probabilidad</v>
      </c>
      <c r="AC211" s="127" t="s">
        <v>398</v>
      </c>
      <c r="AD211" s="127" t="s">
        <v>394</v>
      </c>
      <c r="AE211" s="128" t="str">
        <f t="shared" si="304"/>
        <v>40%</v>
      </c>
      <c r="AF211" s="127" t="s">
        <v>395</v>
      </c>
      <c r="AG211" s="127" t="s">
        <v>396</v>
      </c>
      <c r="AH211" s="127" t="s">
        <v>397</v>
      </c>
      <c r="AI211" s="129">
        <f>IFERROR(IF(AND(AB210="Probabilidad",AB211="Probabilidad"),(AK210-(+AK210*AE211)),IF(AB211="Probabilidad",(Q210-(+Q210*AE211)),IF(AB211="Impacto",AK210,""))),"")</f>
        <v>0.216</v>
      </c>
      <c r="AJ211" s="130" t="str">
        <f t="shared" si="313"/>
        <v>Baja</v>
      </c>
      <c r="AK211" s="128">
        <f t="shared" ref="AK211:AK215" si="323">+AI211</f>
        <v>0.216</v>
      </c>
      <c r="AL211" s="130" t="str">
        <f t="shared" si="315"/>
        <v>Moderado</v>
      </c>
      <c r="AM211" s="128">
        <f>IFERROR(IF(AND(AB210="Impacto",AB211="Impacto"),(AM210-(+AM210*AE211)),IF(AB211="Impacto",(#REF!-(+#REF!*AE211)),IF(AB211="Probabilidad",AM210,""))),"")</f>
        <v>0.6</v>
      </c>
      <c r="AN211" s="131" t="str">
        <f t="shared" ref="AN211:AN212" si="324">IFERROR(IF(OR(AND(AJ211="Muy Baja",AL211="Leve"),AND(AJ211="Muy Baja",AL211="Menor"),AND(AJ211="Baja",AL211="Leve")),"Bajo",IF(OR(AND(AJ211="Muy baja",AL211="Moderado"),AND(AJ211="Baja",AL211="Menor"),AND(AJ211="Baja",AL211="Moderado"),AND(AJ211="Media",AL211="Leve"),AND(AJ211="Media",AL211="Menor"),AND(AJ211="Media",AL211="Moderado"),AND(AJ211="Alta",AL211="Leve"),AND(AJ211="Alta",AL211="Menor")),"Moderado",IF(OR(AND(AJ211="Muy Baja",AL211="Mayor"),AND(AJ211="Baja",AL211="Mayor"),AND(AJ211="Media",AL211="Mayor"),AND(AJ211="Alta",AL211="Moderado"),AND(AJ211="Alta",AL211="Mayor"),AND(AJ211="Muy Alta",AL211="Leve"),AND(AJ211="Muy Alta",AL211="Menor"),AND(AJ211="Muy Alta",AL211="Moderado"),AND(AJ211="Muy Alta",AL211="Mayor")),"Alto",IF(OR(AND(AJ211="Muy Baja",AL211="Catastrófico"),AND(AJ211="Baja",AL211="Catastrófico"),AND(AJ211="Media",AL211="Catastrófico"),AND(AJ211="Alta",AL211="Catastrófico"),AND(AJ211="Muy Alta",AL211="Catastrófico")),"Extremo","")))),"")</f>
        <v>Moderado</v>
      </c>
      <c r="AO211" s="132" t="s">
        <v>47</v>
      </c>
      <c r="AP211" s="125" t="s">
        <v>1306</v>
      </c>
      <c r="AQ211" s="125" t="s">
        <v>1307</v>
      </c>
      <c r="AR211" s="125" t="s">
        <v>1308</v>
      </c>
      <c r="AS211" s="335" t="s">
        <v>1309</v>
      </c>
      <c r="AT211" s="400"/>
      <c r="AU211" s="400"/>
      <c r="AV211" s="400"/>
    </row>
    <row r="212" spans="1:48" ht="14.25" customHeight="1" x14ac:dyDescent="0.2">
      <c r="A212" s="398"/>
      <c r="B212" s="399"/>
      <c r="C212" s="400"/>
      <c r="D212" s="400"/>
      <c r="E212" s="400"/>
      <c r="F212" s="400"/>
      <c r="G212" s="401"/>
      <c r="H212" s="400"/>
      <c r="I212" s="403"/>
      <c r="J212" s="403"/>
      <c r="K212" s="403"/>
      <c r="L212" s="403"/>
      <c r="M212" s="403"/>
      <c r="N212" s="403"/>
      <c r="O212" s="416"/>
      <c r="P212" s="417"/>
      <c r="Q212" s="405"/>
      <c r="R212" s="406"/>
      <c r="S212" s="405">
        <f>IF(NOT(ISERROR(MATCH(R212,_xlfn.ANCHORARRAY(G223),0))),Q225&amp;"Por favor no seleccionar los criterios de impacto",R212)</f>
        <v>0</v>
      </c>
      <c r="T212" s="417"/>
      <c r="U212" s="405"/>
      <c r="V212" s="418"/>
      <c r="W212" s="149">
        <v>3</v>
      </c>
      <c r="X212" s="149"/>
      <c r="Y212" s="149"/>
      <c r="Z212" s="149"/>
      <c r="AA212" s="174" t="str">
        <f t="shared" si="293"/>
        <v xml:space="preserve">  </v>
      </c>
      <c r="AB212" s="126" t="str">
        <f>IF(OR(AC212="Preventivo",AC212="Detectivo"),"Probabilidad",IF(AC212="Correctivo","Impacto",""))</f>
        <v/>
      </c>
      <c r="AC212" s="127"/>
      <c r="AD212" s="127"/>
      <c r="AE212" s="128" t="str">
        <f t="shared" si="304"/>
        <v/>
      </c>
      <c r="AF212" s="127"/>
      <c r="AG212" s="127"/>
      <c r="AH212" s="127"/>
      <c r="AI212" s="129" t="str">
        <f>IFERROR(IF(AND(AB211="Probabilidad",AB212="Probabilidad"),(AK211-(+AK211*AE212)),IF(AND(AB211="Impacto",AB212="Probabilidad"),(AK210-(+AK210*AE212)),IF(AB212="Impacto",AK211,""))),"")</f>
        <v/>
      </c>
      <c r="AJ212" s="130" t="str">
        <f t="shared" si="313"/>
        <v/>
      </c>
      <c r="AK212" s="128" t="str">
        <f t="shared" si="323"/>
        <v/>
      </c>
      <c r="AL212" s="130" t="str">
        <f t="shared" si="315"/>
        <v/>
      </c>
      <c r="AM212" s="128" t="str">
        <f t="shared" ref="AM212" si="325">IFERROR(IF(AND(AB211="Impacto",AB212="Impacto"),(AM211-(+AM211*AE212)),IF(AND(AB211="Probabilidad",AB212="Impacto"),(AM210-(+AM210*AE212)),IF(AB212="Probabilidad",AM211,""))),"")</f>
        <v/>
      </c>
      <c r="AN212" s="131" t="str">
        <f t="shared" si="324"/>
        <v/>
      </c>
      <c r="AO212" s="132"/>
      <c r="AP212" s="125"/>
      <c r="AQ212" s="133"/>
      <c r="AR212" s="133"/>
      <c r="AS212" s="134"/>
      <c r="AT212" s="400"/>
      <c r="AU212" s="400"/>
      <c r="AV212" s="400"/>
    </row>
    <row r="213" spans="1:48" ht="14.25" customHeight="1" x14ac:dyDescent="0.2">
      <c r="A213" s="398"/>
      <c r="B213" s="399"/>
      <c r="C213" s="400"/>
      <c r="D213" s="400"/>
      <c r="E213" s="400"/>
      <c r="F213" s="400"/>
      <c r="G213" s="401"/>
      <c r="H213" s="400"/>
      <c r="I213" s="403"/>
      <c r="J213" s="403"/>
      <c r="K213" s="403"/>
      <c r="L213" s="403"/>
      <c r="M213" s="403"/>
      <c r="N213" s="403"/>
      <c r="O213" s="416"/>
      <c r="P213" s="417"/>
      <c r="Q213" s="405"/>
      <c r="R213" s="406"/>
      <c r="S213" s="405">
        <f>IF(NOT(ISERROR(MATCH(R213,_xlfn.ANCHORARRAY(G224),0))),Q226&amp;"Por favor no seleccionar los criterios de impacto",R213)</f>
        <v>0</v>
      </c>
      <c r="T213" s="417"/>
      <c r="U213" s="405"/>
      <c r="V213" s="418"/>
      <c r="W213" s="149">
        <v>4</v>
      </c>
      <c r="X213" s="149"/>
      <c r="Y213" s="149"/>
      <c r="Z213" s="149"/>
      <c r="AA213" s="174" t="str">
        <f t="shared" si="293"/>
        <v xml:space="preserve">  </v>
      </c>
      <c r="AB213" s="126" t="str">
        <f t="shared" ref="AB213:AB215" si="326">IF(OR(AC213="Preventivo",AC213="Detectivo"),"Probabilidad",IF(AC213="Correctivo","Impacto",""))</f>
        <v/>
      </c>
      <c r="AC213" s="127"/>
      <c r="AD213" s="127"/>
      <c r="AE213" s="128" t="str">
        <f t="shared" si="304"/>
        <v/>
      </c>
      <c r="AF213" s="127"/>
      <c r="AG213" s="127"/>
      <c r="AH213" s="127"/>
      <c r="AI213" s="129" t="str">
        <f t="shared" ref="AI213:AI215" si="327">IFERROR(IF(AND(AB212="Probabilidad",AB213="Probabilidad"),(AK212-(+AK212*AE213)),IF(AND(AB212="Impacto",AB213="Probabilidad"),(AK211-(+AK211*AE213)),IF(AB213="Impacto",AK212,""))),"")</f>
        <v/>
      </c>
      <c r="AJ213" s="130" t="str">
        <f t="shared" si="313"/>
        <v/>
      </c>
      <c r="AK213" s="128" t="str">
        <f t="shared" si="323"/>
        <v/>
      </c>
      <c r="AL213" s="130" t="str">
        <f t="shared" si="315"/>
        <v/>
      </c>
      <c r="AM213" s="128" t="str">
        <f t="shared" si="317"/>
        <v/>
      </c>
      <c r="AN213" s="131" t="str">
        <f>IFERROR(IF(OR(AND(AJ213="Muy Baja",AL213="Leve"),AND(AJ213="Muy Baja",AL213="Menor"),AND(AJ213="Baja",AL213="Leve")),"Bajo",IF(OR(AND(AJ213="Muy baja",AL213="Moderado"),AND(AJ213="Baja",AL213="Menor"),AND(AJ213="Baja",AL213="Moderado"),AND(AJ213="Media",AL213="Leve"),AND(AJ213="Media",AL213="Menor"),AND(AJ213="Media",AL213="Moderado"),AND(AJ213="Alta",AL213="Leve"),AND(AJ213="Alta",AL213="Menor")),"Moderado",IF(OR(AND(AJ213="Muy Baja",AL213="Mayor"),AND(AJ213="Baja",AL213="Mayor"),AND(AJ213="Media",AL213="Mayor"),AND(AJ213="Alta",AL213="Moderado"),AND(AJ213="Alta",AL213="Mayor"),AND(AJ213="Muy Alta",AL213="Leve"),AND(AJ213="Muy Alta",AL213="Menor"),AND(AJ213="Muy Alta",AL213="Moderado"),AND(AJ213="Muy Alta",AL213="Mayor")),"Alto",IF(OR(AND(AJ213="Muy Baja",AL213="Catastrófico"),AND(AJ213="Baja",AL213="Catastrófico"),AND(AJ213="Media",AL213="Catastrófico"),AND(AJ213="Alta",AL213="Catastrófico"),AND(AJ213="Muy Alta",AL213="Catastrófico")),"Extremo","")))),"")</f>
        <v/>
      </c>
      <c r="AO213" s="132"/>
      <c r="AP213" s="125"/>
      <c r="AQ213" s="133"/>
      <c r="AR213" s="133"/>
      <c r="AS213" s="134"/>
      <c r="AT213" s="400"/>
      <c r="AU213" s="400"/>
      <c r="AV213" s="400"/>
    </row>
    <row r="214" spans="1:48" ht="14.25" customHeight="1" x14ac:dyDescent="0.2">
      <c r="A214" s="398"/>
      <c r="B214" s="399"/>
      <c r="C214" s="400"/>
      <c r="D214" s="400"/>
      <c r="E214" s="400"/>
      <c r="F214" s="400"/>
      <c r="G214" s="401"/>
      <c r="H214" s="400"/>
      <c r="I214" s="403"/>
      <c r="J214" s="403"/>
      <c r="K214" s="403"/>
      <c r="L214" s="403"/>
      <c r="M214" s="403"/>
      <c r="N214" s="403"/>
      <c r="O214" s="416"/>
      <c r="P214" s="417"/>
      <c r="Q214" s="405"/>
      <c r="R214" s="406"/>
      <c r="S214" s="405">
        <f>IF(NOT(ISERROR(MATCH(R214,_xlfn.ANCHORARRAY(G225),0))),Q227&amp;"Por favor no seleccionar los criterios de impacto",R214)</f>
        <v>0</v>
      </c>
      <c r="T214" s="417"/>
      <c r="U214" s="405"/>
      <c r="V214" s="418"/>
      <c r="W214" s="149">
        <v>5</v>
      </c>
      <c r="X214" s="149"/>
      <c r="Y214" s="149"/>
      <c r="Z214" s="149"/>
      <c r="AA214" s="174" t="str">
        <f t="shared" si="293"/>
        <v xml:space="preserve">  </v>
      </c>
      <c r="AB214" s="126" t="str">
        <f t="shared" si="326"/>
        <v/>
      </c>
      <c r="AC214" s="127"/>
      <c r="AD214" s="127"/>
      <c r="AE214" s="128" t="str">
        <f t="shared" si="304"/>
        <v/>
      </c>
      <c r="AF214" s="127"/>
      <c r="AG214" s="127"/>
      <c r="AH214" s="127"/>
      <c r="AI214" s="129" t="str">
        <f t="shared" si="327"/>
        <v/>
      </c>
      <c r="AJ214" s="130" t="str">
        <f t="shared" si="313"/>
        <v/>
      </c>
      <c r="AK214" s="128" t="str">
        <f t="shared" si="323"/>
        <v/>
      </c>
      <c r="AL214" s="130" t="str">
        <f t="shared" si="315"/>
        <v/>
      </c>
      <c r="AM214" s="128" t="str">
        <f t="shared" si="317"/>
        <v/>
      </c>
      <c r="AN214" s="131" t="str">
        <f t="shared" ref="AN214:AN215" si="328">IFERROR(IF(OR(AND(AJ214="Muy Baja",AL214="Leve"),AND(AJ214="Muy Baja",AL214="Menor"),AND(AJ214="Baja",AL214="Leve")),"Bajo",IF(OR(AND(AJ214="Muy baja",AL214="Moderado"),AND(AJ214="Baja",AL214="Menor"),AND(AJ214="Baja",AL214="Moderado"),AND(AJ214="Media",AL214="Leve"),AND(AJ214="Media",AL214="Menor"),AND(AJ214="Media",AL214="Moderado"),AND(AJ214="Alta",AL214="Leve"),AND(AJ214="Alta",AL214="Menor")),"Moderado",IF(OR(AND(AJ214="Muy Baja",AL214="Mayor"),AND(AJ214="Baja",AL214="Mayor"),AND(AJ214="Media",AL214="Mayor"),AND(AJ214="Alta",AL214="Moderado"),AND(AJ214="Alta",AL214="Mayor"),AND(AJ214="Muy Alta",AL214="Leve"),AND(AJ214="Muy Alta",AL214="Menor"),AND(AJ214="Muy Alta",AL214="Moderado"),AND(AJ214="Muy Alta",AL214="Mayor")),"Alto",IF(OR(AND(AJ214="Muy Baja",AL214="Catastrófico"),AND(AJ214="Baja",AL214="Catastrófico"),AND(AJ214="Media",AL214="Catastrófico"),AND(AJ214="Alta",AL214="Catastrófico"),AND(AJ214="Muy Alta",AL214="Catastrófico")),"Extremo","")))),"")</f>
        <v/>
      </c>
      <c r="AO214" s="132"/>
      <c r="AP214" s="125"/>
      <c r="AQ214" s="133"/>
      <c r="AR214" s="133"/>
      <c r="AS214" s="134"/>
      <c r="AT214" s="400"/>
      <c r="AU214" s="400"/>
      <c r="AV214" s="400"/>
    </row>
    <row r="215" spans="1:48" ht="14.25" customHeight="1" x14ac:dyDescent="0.2">
      <c r="A215" s="398"/>
      <c r="B215" s="399"/>
      <c r="C215" s="400"/>
      <c r="D215" s="400"/>
      <c r="E215" s="400"/>
      <c r="F215" s="400"/>
      <c r="G215" s="401"/>
      <c r="H215" s="400"/>
      <c r="I215" s="404"/>
      <c r="J215" s="404"/>
      <c r="K215" s="404"/>
      <c r="L215" s="404"/>
      <c r="M215" s="404"/>
      <c r="N215" s="404"/>
      <c r="O215" s="416"/>
      <c r="P215" s="417"/>
      <c r="Q215" s="405"/>
      <c r="R215" s="406"/>
      <c r="S215" s="405">
        <f>IF(NOT(ISERROR(MATCH(R215,_xlfn.ANCHORARRAY(G226),0))),Q228&amp;"Por favor no seleccionar los criterios de impacto",R215)</f>
        <v>0</v>
      </c>
      <c r="T215" s="417"/>
      <c r="U215" s="405"/>
      <c r="V215" s="418"/>
      <c r="W215" s="149">
        <v>6</v>
      </c>
      <c r="X215" s="149"/>
      <c r="Y215" s="149"/>
      <c r="Z215" s="149"/>
      <c r="AA215" s="174" t="str">
        <f t="shared" si="293"/>
        <v xml:space="preserve">  </v>
      </c>
      <c r="AB215" s="126" t="str">
        <f t="shared" si="326"/>
        <v/>
      </c>
      <c r="AC215" s="127"/>
      <c r="AD215" s="127"/>
      <c r="AE215" s="128" t="str">
        <f t="shared" si="304"/>
        <v/>
      </c>
      <c r="AF215" s="127"/>
      <c r="AG215" s="127"/>
      <c r="AH215" s="127"/>
      <c r="AI215" s="129" t="str">
        <f t="shared" si="327"/>
        <v/>
      </c>
      <c r="AJ215" s="130" t="str">
        <f t="shared" si="313"/>
        <v/>
      </c>
      <c r="AK215" s="128" t="str">
        <f t="shared" si="323"/>
        <v/>
      </c>
      <c r="AL215" s="130" t="str">
        <f t="shared" si="315"/>
        <v/>
      </c>
      <c r="AM215" s="128" t="str">
        <f t="shared" si="317"/>
        <v/>
      </c>
      <c r="AN215" s="131" t="str">
        <f t="shared" si="328"/>
        <v/>
      </c>
      <c r="AO215" s="132"/>
      <c r="AP215" s="125"/>
      <c r="AQ215" s="133"/>
      <c r="AR215" s="364"/>
      <c r="AS215" s="365"/>
      <c r="AT215" s="402"/>
      <c r="AU215" s="402"/>
      <c r="AV215" s="402"/>
    </row>
    <row r="216" spans="1:48" ht="48.75" customHeight="1" x14ac:dyDescent="0.2">
      <c r="A216" s="398">
        <v>35</v>
      </c>
      <c r="B216" s="399" t="s">
        <v>562</v>
      </c>
      <c r="C216" s="400" t="s">
        <v>40</v>
      </c>
      <c r="D216" s="400" t="s">
        <v>1298</v>
      </c>
      <c r="E216" s="400" t="s">
        <v>1313</v>
      </c>
      <c r="F216" s="400" t="s">
        <v>1314</v>
      </c>
      <c r="G216" s="401" t="str">
        <f t="shared" ref="G216" si="329">+CONCATENATE(C216," ",D216," ",E216)</f>
        <v>Posibilidad de afectación reputacional Por perdida de credibilidad y confianza de las partes interesadas Debido al Incumplimiento en el cronograma de los planes que integran en Plan Estratégico de Talento Humano PETH.</v>
      </c>
      <c r="H216" s="400" t="s">
        <v>391</v>
      </c>
      <c r="I216" s="402" t="s">
        <v>62</v>
      </c>
      <c r="J216" s="402" t="s">
        <v>1315</v>
      </c>
      <c r="K216" s="402" t="s">
        <v>1316</v>
      </c>
      <c r="L216" s="402" t="s">
        <v>1317</v>
      </c>
      <c r="M216" s="402" t="s">
        <v>77</v>
      </c>
      <c r="N216" s="402" t="s">
        <v>46</v>
      </c>
      <c r="O216" s="416">
        <v>365</v>
      </c>
      <c r="P216" s="417" t="str">
        <f>IF(O216&lt;=0,"",IF(O216&lt;=2,"Muy Baja",IF(O216&lt;=24,"Baja",IF(O216&lt;=500,"Media",IF(O216&lt;=5000,"Alta","Muy Alta")))))</f>
        <v>Media</v>
      </c>
      <c r="Q216" s="405">
        <f>IF(P216="","",IF(P216="Muy Baja",0.2,IF(P216="Baja",0.4,IF(P216="Media",0.6,IF(P216="Alta",0.8,IF(P216="Muy Alta",1,))))))</f>
        <v>0.6</v>
      </c>
      <c r="R216" s="406" t="s">
        <v>428</v>
      </c>
      <c r="S216" s="405" t="str">
        <f>IF(NOT(ISERROR(MATCH(R216,'[7]Tabla Impacto'!$B$245:$B$247,0))),'[7]Tabla Impacto'!$F$224&amp;"Por favor no seleccionar los criterios de impacto(Afectación Económica o presupuestal y Pérdida Reputacional)",R216)</f>
        <v xml:space="preserve">     El riesgo afecta la imagen de la entidad con algunos usuarios de relevancia frente al logro de los objetivos</v>
      </c>
      <c r="T216" s="417" t="str">
        <f>IF(OR(S216='[7]Tabla Impacto'!$C$12,S216='[7]Tabla Impacto'!$D$12),"Leve",IF(OR(S216='[7]Tabla Impacto'!$C$13,S216='[7]Tabla Impacto'!$D$13),"Menor",IF(OR(S216='[7]Tabla Impacto'!$C$14,S216='[7]Tabla Impacto'!$D$14),"Moderado",IF(OR(S216='[7]Tabla Impacto'!$C$15,S216='[7]Tabla Impacto'!$D$15),"Mayor",IF(OR(S216='[7]Tabla Impacto'!$C$16,S216='[7]Tabla Impacto'!$D$16),"Catastrófico","")))))</f>
        <v>Moderado</v>
      </c>
      <c r="U216" s="405">
        <f>IF(T216="","",IF(T216="Leve",0.2,IF(T216="Menor",0.4,IF(T216="Moderado",0.6,IF(T216="Mayor",0.8,IF(T216="Catastrófico",1,))))))</f>
        <v>0.6</v>
      </c>
      <c r="V216" s="418" t="str">
        <f>IF(OR(AND(P216="Muy Baja",T216="Leve"),AND(P216="Muy Baja",T216="Menor"),AND(P216="Baja",T216="Leve")),"Bajo",IF(OR(AND(P216="Muy baja",T216="Moderado"),AND(P216="Baja",T216="Menor"),AND(P216="Baja",T216="Moderado"),AND(P216="Media",T216="Leve"),AND(P216="Media",T216="Menor"),AND(P216="Media",T216="Moderado"),AND(P216="Alta",T216="Leve"),AND(P216="Alta",T216="Menor")),"Moderado",IF(OR(AND(P216="Muy Baja",T216="Mayor"),AND(P216="Baja",T216="Mayor"),AND(P216="Media",T216="Mayor"),AND(P216="Alta",T216="Moderado"),AND(P216="Alta",T216="Mayor"),AND(P216="Muy Alta",T216="Leve"),AND(P216="Muy Alta",T216="Menor"),AND(P216="Muy Alta",T216="Moderado"),AND(P216="Muy Alta",T216="Mayor")),"Alto",IF(OR(AND(P216="Muy Baja",T216="Catastrófico"),AND(P216="Baja",T216="Catastrófico"),AND(P216="Media",T216="Catastrófico"),AND(P216="Alta",T216="Catastrófico"),AND(P216="Muy Alta",T216="Catastrófico")),"Extremo",""))))</f>
        <v>Moderado</v>
      </c>
      <c r="W216" s="149">
        <v>1</v>
      </c>
      <c r="X216" s="182" t="s">
        <v>1318</v>
      </c>
      <c r="Y216" s="149" t="s">
        <v>52</v>
      </c>
      <c r="Z216" s="182" t="s">
        <v>1319</v>
      </c>
      <c r="AA216" s="174" t="str">
        <f t="shared" si="293"/>
        <v>El Profesional Universitario del proceso de Gestión de Talento Humano a cargo de la implementación del Plan Institucional de Formación y Capacitación – PIFC, y el Plan de Estímulos e incentivos Revisa a través de reunión trimestral con colaboradores del proceso el estado de avance de la ejecución de los planes con el propósito de encontrar acciones de mejorar que permitan armonizar y articular el desarrollo de las actividades en los tiempos programados, se deja como evidencia un acta de la reunión con los temas relevantes o notas de la reunión.  
En caso de evidenciar retrasos o necesidades de modificación de los mismos, se presentan las solicitudes ante el equipo de trabajo o el Gerente Administrativo y Financiero realizando la correspondiente modificación de los planes, dejando como evidencia un acta de reunión."</v>
      </c>
      <c r="AB216" s="126" t="str">
        <f>IF(OR(AC216="Preventivo",AC216="Detectivo"),"Probabilidad",IF(AC216="Correctivo","Impacto",""))</f>
        <v>Probabilidad</v>
      </c>
      <c r="AC216" s="127" t="s">
        <v>398</v>
      </c>
      <c r="AD216" s="127" t="s">
        <v>394</v>
      </c>
      <c r="AE216" s="128" t="str">
        <f t="shared" si="304"/>
        <v>40%</v>
      </c>
      <c r="AF216" s="127" t="s">
        <v>395</v>
      </c>
      <c r="AG216" s="127" t="s">
        <v>396</v>
      </c>
      <c r="AH216" s="127" t="s">
        <v>397</v>
      </c>
      <c r="AI216" s="129">
        <f>IFERROR(IF(AB216="Probabilidad",(Q216-(+Q216*AE216)),IF(AB216="Impacto",Q216,"")),"")</f>
        <v>0.36</v>
      </c>
      <c r="AJ216" s="130" t="str">
        <f>IFERROR(IF(AI216="","",IF(AI216&lt;=0.2,"Muy Baja",IF(AI216&lt;=0.4,"Baja",IF(AI216&lt;=0.6,"Media",IF(AI216&lt;=0.8,"Alta","Muy Alta"))))),"")</f>
        <v>Baja</v>
      </c>
      <c r="AK216" s="128">
        <f>+AI216</f>
        <v>0.36</v>
      </c>
      <c r="AL216" s="130" t="str">
        <f>IFERROR(IF(AM216="","",IF(AM216&lt;=0.2,"Leve",IF(AM216&lt;=0.4,"Menor",IF(AM216&lt;=0.6,"Moderado",IF(AM216&lt;=0.8,"Mayor","Catastrófico"))))),"")</f>
        <v>Moderado</v>
      </c>
      <c r="AM216" s="128">
        <f t="shared" ref="AM216" si="330">IFERROR(IF(AB216="Impacto",(U216-(+U216*AE216)),IF(AB216="Probabilidad",U216,"")),"")</f>
        <v>0.6</v>
      </c>
      <c r="AN216" s="131" t="str">
        <f>IFERROR(IF(OR(AND(AJ216="Muy Baja",AL216="Leve"),AND(AJ216="Muy Baja",AL216="Menor"),AND(AJ216="Baja",AL216="Leve")),"Bajo",IF(OR(AND(AJ216="Muy baja",AL216="Moderado"),AND(AJ216="Baja",AL216="Menor"),AND(AJ216="Baja",AL216="Moderado"),AND(AJ216="Media",AL216="Leve"),AND(AJ216="Media",AL216="Menor"),AND(AJ216="Media",AL216="Moderado"),AND(AJ216="Alta",AL216="Leve"),AND(AJ216="Alta",AL216="Menor")),"Moderado",IF(OR(AND(AJ216="Muy Baja",AL216="Mayor"),AND(AJ216="Baja",AL216="Mayor"),AND(AJ216="Media",AL216="Mayor"),AND(AJ216="Alta",AL216="Moderado"),AND(AJ216="Alta",AL216="Mayor"),AND(AJ216="Muy Alta",AL216="Leve"),AND(AJ216="Muy Alta",AL216="Menor"),AND(AJ216="Muy Alta",AL216="Moderado"),AND(AJ216="Muy Alta",AL216="Mayor")),"Alto",IF(OR(AND(AJ216="Muy Baja",AL216="Catastrófico"),AND(AJ216="Baja",AL216="Catastrófico"),AND(AJ216="Media",AL216="Catastrófico"),AND(AJ216="Alta",AL216="Catastrófico"),AND(AJ216="Muy Alta",AL216="Catastrófico")),"Extremo","")))),"")</f>
        <v>Moderado</v>
      </c>
      <c r="AO216" s="132" t="s">
        <v>43</v>
      </c>
      <c r="AP216" s="402" t="s">
        <v>1320</v>
      </c>
      <c r="AQ216" s="125" t="s">
        <v>1321</v>
      </c>
      <c r="AR216" s="125" t="s">
        <v>1322</v>
      </c>
      <c r="AS216" s="125" t="s">
        <v>1309</v>
      </c>
      <c r="AT216" s="400" t="s">
        <v>1323</v>
      </c>
      <c r="AU216" s="400" t="s">
        <v>1324</v>
      </c>
      <c r="AV216" s="400" t="s">
        <v>791</v>
      </c>
    </row>
    <row r="217" spans="1:48" ht="48.75" customHeight="1" x14ac:dyDescent="0.2">
      <c r="A217" s="398"/>
      <c r="B217" s="399"/>
      <c r="C217" s="400"/>
      <c r="D217" s="400"/>
      <c r="E217" s="400"/>
      <c r="F217" s="400"/>
      <c r="G217" s="401"/>
      <c r="H217" s="400"/>
      <c r="I217" s="403"/>
      <c r="J217" s="403"/>
      <c r="K217" s="403"/>
      <c r="L217" s="403"/>
      <c r="M217" s="403"/>
      <c r="N217" s="403"/>
      <c r="O217" s="416"/>
      <c r="P217" s="417"/>
      <c r="Q217" s="405"/>
      <c r="R217" s="406"/>
      <c r="S217" s="405">
        <f>IF(NOT(ISERROR(MATCH(R217,_xlfn.ANCHORARRAY(G228),0))),Q230&amp;"Por favor no seleccionar los criterios de impacto",R217)</f>
        <v>0</v>
      </c>
      <c r="T217" s="417"/>
      <c r="U217" s="405"/>
      <c r="V217" s="418"/>
      <c r="W217" s="149">
        <v>2</v>
      </c>
      <c r="X217" s="182" t="s">
        <v>1325</v>
      </c>
      <c r="Y217" s="149" t="s">
        <v>52</v>
      </c>
      <c r="Z217" s="182" t="s">
        <v>1326</v>
      </c>
      <c r="AA217" s="174" t="str">
        <f t="shared" si="293"/>
        <v>El Gerente Administrativo y Financiero  Revisa a través de una reunión trimestral con el equipo de trabajo del Proceso de Gestión de Talento Humano, el estado de avance de las actividades que hacen parte del Plan Estratégico de Talento humano y temas transversales del proceso, con el fin de conocer las situaciones imprevistas que puedan afectar el cumplimiento oportuno de las actividades programadas, e impartir directrices para resolver las situaciones presentadas, dejando como evidencia un acta con los temas relevantes o notas de la reunión.  
En caso de evidenciar retrasos en la implementación de acciones, se procederá a dejar compromisos con los integrantes del proceso, para su cierre respectivo, dejando como evidencia los compromisos en el acta de reunión.</v>
      </c>
      <c r="AB217" s="126" t="str">
        <f>IF(OR(AC217="Preventivo",AC217="Detectivo"),"Probabilidad",IF(AC217="Correctivo","Impacto",""))</f>
        <v>Probabilidad</v>
      </c>
      <c r="AC217" s="127" t="s">
        <v>398</v>
      </c>
      <c r="AD217" s="127" t="s">
        <v>394</v>
      </c>
      <c r="AE217" s="128" t="str">
        <f t="shared" si="304"/>
        <v>40%</v>
      </c>
      <c r="AF217" s="127" t="s">
        <v>395</v>
      </c>
      <c r="AG217" s="127" t="s">
        <v>396</v>
      </c>
      <c r="AH217" s="127" t="s">
        <v>397</v>
      </c>
      <c r="AI217" s="129">
        <f>IFERROR(IF(AND(AB216="Probabilidad",AB217="Probabilidad"),(AK216-(+AK216*AE217)),IF(AB217="Probabilidad",(Q216-(+Q216*AE217)),IF(AB217="Impacto",AK216,""))),"")</f>
        <v>0.216</v>
      </c>
      <c r="AJ217" s="130" t="str">
        <f t="shared" si="313"/>
        <v>Baja</v>
      </c>
      <c r="AK217" s="128">
        <f t="shared" ref="AK217:AK221" si="331">+AI217</f>
        <v>0.216</v>
      </c>
      <c r="AL217" s="130" t="str">
        <f t="shared" si="315"/>
        <v>Moderado</v>
      </c>
      <c r="AM217" s="128">
        <f>IFERROR(IF(AND(AB216="Impacto",AB217="Impacto"),(AM216-(+AM216*AE217)),IF(AB217="Impacto",(#REF!-(+#REF!*AE217)),IF(AB217="Probabilidad",AM216,""))),"")</f>
        <v>0.6</v>
      </c>
      <c r="AN217" s="131" t="str">
        <f t="shared" ref="AN217:AN218" si="332">IFERROR(IF(OR(AND(AJ217="Muy Baja",AL217="Leve"),AND(AJ217="Muy Baja",AL217="Menor"),AND(AJ217="Baja",AL217="Leve")),"Bajo",IF(OR(AND(AJ217="Muy baja",AL217="Moderado"),AND(AJ217="Baja",AL217="Menor"),AND(AJ217="Baja",AL217="Moderado"),AND(AJ217="Media",AL217="Leve"),AND(AJ217="Media",AL217="Menor"),AND(AJ217="Media",AL217="Moderado"),AND(AJ217="Alta",AL217="Leve"),AND(AJ217="Alta",AL217="Menor")),"Moderado",IF(OR(AND(AJ217="Muy Baja",AL217="Mayor"),AND(AJ217="Baja",AL217="Mayor"),AND(AJ217="Media",AL217="Mayor"),AND(AJ217="Alta",AL217="Moderado"),AND(AJ217="Alta",AL217="Mayor"),AND(AJ217="Muy Alta",AL217="Leve"),AND(AJ217="Muy Alta",AL217="Menor"),AND(AJ217="Muy Alta",AL217="Moderado"),AND(AJ217="Muy Alta",AL217="Mayor")),"Alto",IF(OR(AND(AJ217="Muy Baja",AL217="Catastrófico"),AND(AJ217="Baja",AL217="Catastrófico"),AND(AJ217="Media",AL217="Catastrófico"),AND(AJ217="Alta",AL217="Catastrófico"),AND(AJ217="Muy Alta",AL217="Catastrófico")),"Extremo","")))),"")</f>
        <v>Moderado</v>
      </c>
      <c r="AO217" s="132" t="s">
        <v>43</v>
      </c>
      <c r="AP217" s="404"/>
      <c r="AQ217" s="125"/>
      <c r="AR217" s="125"/>
      <c r="AS217" s="125"/>
      <c r="AT217" s="400"/>
      <c r="AU217" s="400"/>
      <c r="AV217" s="400"/>
    </row>
    <row r="218" spans="1:48" ht="14.25" customHeight="1" x14ac:dyDescent="0.2">
      <c r="A218" s="398"/>
      <c r="B218" s="399"/>
      <c r="C218" s="400"/>
      <c r="D218" s="400"/>
      <c r="E218" s="400"/>
      <c r="F218" s="400"/>
      <c r="G218" s="401"/>
      <c r="H218" s="400"/>
      <c r="I218" s="403"/>
      <c r="J218" s="403"/>
      <c r="K218" s="403"/>
      <c r="L218" s="403"/>
      <c r="M218" s="403"/>
      <c r="N218" s="403"/>
      <c r="O218" s="416"/>
      <c r="P218" s="417"/>
      <c r="Q218" s="405"/>
      <c r="R218" s="406"/>
      <c r="S218" s="405">
        <f>IF(NOT(ISERROR(MATCH(R218,_xlfn.ANCHORARRAY(G229),0))),Q231&amp;"Por favor no seleccionar los criterios de impacto",R218)</f>
        <v>0</v>
      </c>
      <c r="T218" s="417"/>
      <c r="U218" s="405"/>
      <c r="V218" s="418"/>
      <c r="W218" s="149">
        <v>3</v>
      </c>
      <c r="X218" s="149"/>
      <c r="Y218" s="149"/>
      <c r="Z218" s="149"/>
      <c r="AA218" s="174" t="str">
        <f t="shared" si="293"/>
        <v xml:space="preserve">  </v>
      </c>
      <c r="AB218" s="126" t="str">
        <f>IF(OR(AC218="Preventivo",AC218="Detectivo"),"Probabilidad",IF(AC218="Correctivo","Impacto",""))</f>
        <v/>
      </c>
      <c r="AC218" s="127"/>
      <c r="AD218" s="127"/>
      <c r="AE218" s="128" t="str">
        <f t="shared" si="304"/>
        <v/>
      </c>
      <c r="AF218" s="127"/>
      <c r="AG218" s="127"/>
      <c r="AH218" s="127"/>
      <c r="AI218" s="129" t="str">
        <f>IFERROR(IF(AND(AB217="Probabilidad",AB218="Probabilidad"),(AK217-(+AK217*AE218)),IF(AND(AB217="Impacto",AB218="Probabilidad"),(AK216-(+AK216*AE218)),IF(AB218="Impacto",AK217,""))),"")</f>
        <v/>
      </c>
      <c r="AJ218" s="130" t="str">
        <f t="shared" si="313"/>
        <v/>
      </c>
      <c r="AK218" s="128" t="str">
        <f t="shared" si="331"/>
        <v/>
      </c>
      <c r="AL218" s="130" t="str">
        <f t="shared" si="315"/>
        <v/>
      </c>
      <c r="AM218" s="128" t="str">
        <f t="shared" ref="AM218" si="333">IFERROR(IF(AND(AB217="Impacto",AB218="Impacto"),(AM217-(+AM217*AE218)),IF(AND(AB217="Probabilidad",AB218="Impacto"),(AM216-(+AM216*AE218)),IF(AB218="Probabilidad",AM217,""))),"")</f>
        <v/>
      </c>
      <c r="AN218" s="131" t="str">
        <f t="shared" si="332"/>
        <v/>
      </c>
      <c r="AO218" s="372"/>
      <c r="AP218" s="372"/>
      <c r="AQ218" s="378"/>
      <c r="AR218" s="133"/>
      <c r="AS218" s="134"/>
      <c r="AT218" s="400"/>
      <c r="AU218" s="400"/>
      <c r="AV218" s="400"/>
    </row>
    <row r="219" spans="1:48" ht="14.25" customHeight="1" x14ac:dyDescent="0.2">
      <c r="A219" s="398"/>
      <c r="B219" s="399"/>
      <c r="C219" s="400"/>
      <c r="D219" s="400"/>
      <c r="E219" s="400"/>
      <c r="F219" s="400"/>
      <c r="G219" s="401"/>
      <c r="H219" s="400"/>
      <c r="I219" s="403"/>
      <c r="J219" s="403"/>
      <c r="K219" s="403"/>
      <c r="L219" s="403"/>
      <c r="M219" s="403"/>
      <c r="N219" s="403"/>
      <c r="O219" s="416"/>
      <c r="P219" s="417"/>
      <c r="Q219" s="405"/>
      <c r="R219" s="406"/>
      <c r="S219" s="405">
        <f>IF(NOT(ISERROR(MATCH(R219,_xlfn.ANCHORARRAY(G230),0))),Q232&amp;"Por favor no seleccionar los criterios de impacto",R219)</f>
        <v>0</v>
      </c>
      <c r="T219" s="417"/>
      <c r="U219" s="405"/>
      <c r="V219" s="418"/>
      <c r="W219" s="149">
        <v>4</v>
      </c>
      <c r="X219" s="149"/>
      <c r="Y219" s="149"/>
      <c r="Z219" s="149"/>
      <c r="AA219" s="174" t="str">
        <f t="shared" si="293"/>
        <v xml:space="preserve">  </v>
      </c>
      <c r="AB219" s="126" t="str">
        <f t="shared" ref="AB219:AB221" si="334">IF(OR(AC219="Preventivo",AC219="Detectivo"),"Probabilidad",IF(AC219="Correctivo","Impacto",""))</f>
        <v/>
      </c>
      <c r="AC219" s="127"/>
      <c r="AD219" s="127"/>
      <c r="AE219" s="128" t="str">
        <f t="shared" si="304"/>
        <v/>
      </c>
      <c r="AF219" s="127"/>
      <c r="AG219" s="127"/>
      <c r="AH219" s="127"/>
      <c r="AI219" s="129" t="str">
        <f t="shared" ref="AI219:AI221" si="335">IFERROR(IF(AND(AB218="Probabilidad",AB219="Probabilidad"),(AK218-(+AK218*AE219)),IF(AND(AB218="Impacto",AB219="Probabilidad"),(AK217-(+AK217*AE219)),IF(AB219="Impacto",AK218,""))),"")</f>
        <v/>
      </c>
      <c r="AJ219" s="130" t="str">
        <f t="shared" si="313"/>
        <v/>
      </c>
      <c r="AK219" s="128" t="str">
        <f t="shared" si="331"/>
        <v/>
      </c>
      <c r="AL219" s="130" t="str">
        <f t="shared" si="315"/>
        <v/>
      </c>
      <c r="AM219" s="128" t="str">
        <f t="shared" si="317"/>
        <v/>
      </c>
      <c r="AN219" s="131" t="str">
        <f>IFERROR(IF(OR(AND(AJ219="Muy Baja",AL219="Leve"),AND(AJ219="Muy Baja",AL219="Menor"),AND(AJ219="Baja",AL219="Leve")),"Bajo",IF(OR(AND(AJ219="Muy baja",AL219="Moderado"),AND(AJ219="Baja",AL219="Menor"),AND(AJ219="Baja",AL219="Moderado"),AND(AJ219="Media",AL219="Leve"),AND(AJ219="Media",AL219="Menor"),AND(AJ219="Media",AL219="Moderado"),AND(AJ219="Alta",AL219="Leve"),AND(AJ219="Alta",AL219="Menor")),"Moderado",IF(OR(AND(AJ219="Muy Baja",AL219="Mayor"),AND(AJ219="Baja",AL219="Mayor"),AND(AJ219="Media",AL219="Mayor"),AND(AJ219="Alta",AL219="Moderado"),AND(AJ219="Alta",AL219="Mayor"),AND(AJ219="Muy Alta",AL219="Leve"),AND(AJ219="Muy Alta",AL219="Menor"),AND(AJ219="Muy Alta",AL219="Moderado"),AND(AJ219="Muy Alta",AL219="Mayor")),"Alto",IF(OR(AND(AJ219="Muy Baja",AL219="Catastrófico"),AND(AJ219="Baja",AL219="Catastrófico"),AND(AJ219="Media",AL219="Catastrófico"),AND(AJ219="Alta",AL219="Catastrófico"),AND(AJ219="Muy Alta",AL219="Catastrófico")),"Extremo","")))),"")</f>
        <v/>
      </c>
      <c r="AO219" s="402"/>
      <c r="AP219" s="402"/>
      <c r="AQ219" s="402"/>
      <c r="AR219" s="133"/>
      <c r="AS219" s="134"/>
      <c r="AT219" s="400"/>
      <c r="AU219" s="400"/>
      <c r="AV219" s="400"/>
    </row>
    <row r="220" spans="1:48" ht="14.25" customHeight="1" x14ac:dyDescent="0.2">
      <c r="A220" s="398"/>
      <c r="B220" s="399"/>
      <c r="C220" s="400"/>
      <c r="D220" s="400"/>
      <c r="E220" s="400"/>
      <c r="F220" s="400"/>
      <c r="G220" s="401"/>
      <c r="H220" s="400"/>
      <c r="I220" s="403"/>
      <c r="J220" s="403"/>
      <c r="K220" s="403"/>
      <c r="L220" s="403"/>
      <c r="M220" s="403"/>
      <c r="N220" s="403"/>
      <c r="O220" s="416"/>
      <c r="P220" s="417"/>
      <c r="Q220" s="405"/>
      <c r="R220" s="406"/>
      <c r="S220" s="405">
        <f>IF(NOT(ISERROR(MATCH(R220,_xlfn.ANCHORARRAY(G231),0))),Q233&amp;"Por favor no seleccionar los criterios de impacto",R220)</f>
        <v>0</v>
      </c>
      <c r="T220" s="417"/>
      <c r="U220" s="405"/>
      <c r="V220" s="418"/>
      <c r="W220" s="149">
        <v>5</v>
      </c>
      <c r="X220" s="149"/>
      <c r="Y220" s="149"/>
      <c r="Z220" s="149"/>
      <c r="AA220" s="174" t="str">
        <f t="shared" si="293"/>
        <v xml:space="preserve">  </v>
      </c>
      <c r="AB220" s="126" t="str">
        <f t="shared" si="334"/>
        <v/>
      </c>
      <c r="AC220" s="127"/>
      <c r="AD220" s="127"/>
      <c r="AE220" s="128" t="str">
        <f t="shared" si="304"/>
        <v/>
      </c>
      <c r="AF220" s="127"/>
      <c r="AG220" s="127"/>
      <c r="AH220" s="127"/>
      <c r="AI220" s="129" t="str">
        <f t="shared" si="335"/>
        <v/>
      </c>
      <c r="AJ220" s="130" t="str">
        <f t="shared" si="313"/>
        <v/>
      </c>
      <c r="AK220" s="128" t="str">
        <f t="shared" si="331"/>
        <v/>
      </c>
      <c r="AL220" s="130" t="str">
        <f t="shared" si="315"/>
        <v/>
      </c>
      <c r="AM220" s="128" t="str">
        <f t="shared" si="317"/>
        <v/>
      </c>
      <c r="AN220" s="131" t="str">
        <f t="shared" ref="AN220" si="336">IFERROR(IF(OR(AND(AJ220="Muy Baja",AL220="Leve"),AND(AJ220="Muy Baja",AL220="Menor"),AND(AJ220="Baja",AL220="Leve")),"Bajo",IF(OR(AND(AJ220="Muy baja",AL220="Moderado"),AND(AJ220="Baja",AL220="Menor"),AND(AJ220="Baja",AL220="Moderado"),AND(AJ220="Media",AL220="Leve"),AND(AJ220="Media",AL220="Menor"),AND(AJ220="Media",AL220="Moderado"),AND(AJ220="Alta",AL220="Leve"),AND(AJ220="Alta",AL220="Menor")),"Moderado",IF(OR(AND(AJ220="Muy Baja",AL220="Mayor"),AND(AJ220="Baja",AL220="Mayor"),AND(AJ220="Media",AL220="Mayor"),AND(AJ220="Alta",AL220="Moderado"),AND(AJ220="Alta",AL220="Mayor"),AND(AJ220="Muy Alta",AL220="Leve"),AND(AJ220="Muy Alta",AL220="Menor"),AND(AJ220="Muy Alta",AL220="Moderado"),AND(AJ220="Muy Alta",AL220="Mayor")),"Alto",IF(OR(AND(AJ220="Muy Baja",AL220="Catastrófico"),AND(AJ220="Baja",AL220="Catastrófico"),AND(AJ220="Media",AL220="Catastrófico"),AND(AJ220="Alta",AL220="Catastrófico"),AND(AJ220="Muy Alta",AL220="Catastrófico")),"Extremo","")))),"")</f>
        <v/>
      </c>
      <c r="AO220" s="404"/>
      <c r="AP220" s="404"/>
      <c r="AQ220" s="404"/>
      <c r="AR220" s="133"/>
      <c r="AS220" s="134"/>
      <c r="AT220" s="400"/>
      <c r="AU220" s="400"/>
      <c r="AV220" s="400"/>
    </row>
    <row r="221" spans="1:48" ht="14.25" customHeight="1" x14ac:dyDescent="0.2">
      <c r="A221" s="398"/>
      <c r="B221" s="399"/>
      <c r="C221" s="400"/>
      <c r="D221" s="400"/>
      <c r="E221" s="400"/>
      <c r="F221" s="400"/>
      <c r="G221" s="401"/>
      <c r="H221" s="400"/>
      <c r="I221" s="404"/>
      <c r="J221" s="404"/>
      <c r="K221" s="404"/>
      <c r="L221" s="404"/>
      <c r="M221" s="404"/>
      <c r="N221" s="404"/>
      <c r="O221" s="416"/>
      <c r="P221" s="417"/>
      <c r="Q221" s="405"/>
      <c r="R221" s="406"/>
      <c r="S221" s="405">
        <f>IF(NOT(ISERROR(MATCH(R221,_xlfn.ANCHORARRAY(G232),0))),Q234&amp;"Por favor no seleccionar los criterios de impacto",R221)</f>
        <v>0</v>
      </c>
      <c r="T221" s="417"/>
      <c r="U221" s="405"/>
      <c r="V221" s="418"/>
      <c r="W221" s="149">
        <v>6</v>
      </c>
      <c r="X221" s="149"/>
      <c r="Y221" s="149"/>
      <c r="Z221" s="149"/>
      <c r="AA221" s="174" t="str">
        <f t="shared" si="293"/>
        <v xml:space="preserve">  </v>
      </c>
      <c r="AB221" s="126" t="str">
        <f t="shared" si="334"/>
        <v/>
      </c>
      <c r="AC221" s="127"/>
      <c r="AD221" s="127"/>
      <c r="AE221" s="128" t="str">
        <f t="shared" si="304"/>
        <v/>
      </c>
      <c r="AF221" s="127"/>
      <c r="AG221" s="127"/>
      <c r="AH221" s="127"/>
      <c r="AI221" s="129" t="str">
        <f t="shared" si="335"/>
        <v/>
      </c>
      <c r="AJ221" s="130" t="str">
        <f t="shared" si="313"/>
        <v/>
      </c>
      <c r="AK221" s="128" t="str">
        <f t="shared" si="331"/>
        <v/>
      </c>
      <c r="AL221" s="130" t="str">
        <f>IFERROR(IF(AM221="","",IF(AM221&lt;=0.2,"Leve",IF(AM221&lt;=0.4,"Menor",IF(AM221&lt;=0.6,"Moderado",IF(AM221&lt;=0.8,"Mayor","Catastrófico"))))),"")</f>
        <v/>
      </c>
      <c r="AM221" s="128" t="str">
        <f t="shared" si="317"/>
        <v/>
      </c>
      <c r="AN221" s="131" t="str">
        <f>IFERROR(IF(OR(AND(AJ221="Muy Baja",AL221="Leve"),AND(AJ221="Muy Baja",AL221="Menor"),AND(AJ221="Baja",AL221="Leve")),"Bajo",IF(OR(AND(AJ221="Muy baja",AL221="Moderado"),AND(AJ221="Baja",AL221="Menor"),AND(AJ221="Baja",AL221="Moderado"),AND(AJ221="Media",AL221="Leve"),AND(AJ221="Media",AL221="Menor"),AND(AJ221="Media",AL221="Moderado"),AND(AJ221="Alta",AL221="Leve"),AND(AJ221="Alta",AL221="Menor")),"Moderado",IF(OR(AND(AJ221="Muy Baja",AL221="Mayor"),AND(AJ221="Baja",AL221="Mayor"),AND(AJ221="Media",AL221="Mayor"),AND(AJ221="Alta",AL221="Moderado"),AND(AJ221="Alta",AL221="Mayor"),AND(AJ221="Muy Alta",AL221="Leve"),AND(AJ221="Muy Alta",AL221="Menor"),AND(AJ221="Muy Alta",AL221="Moderado"),AND(AJ221="Muy Alta",AL221="Mayor")),"Alto",IF(OR(AND(AJ221="Muy Baja",AL221="Catastrófico"),AND(AJ221="Baja",AL221="Catastrófico"),AND(AJ221="Media",AL221="Catastrófico"),AND(AJ221="Alta",AL221="Catastrófico"),AND(AJ221="Muy Alta",AL221="Catastrófico")),"Extremo","")))),"")</f>
        <v/>
      </c>
      <c r="AO221" s="372"/>
      <c r="AP221" s="372"/>
      <c r="AQ221" s="372"/>
      <c r="AR221" s="133"/>
      <c r="AS221" s="134"/>
      <c r="AT221" s="402"/>
      <c r="AU221" s="402"/>
      <c r="AV221" s="402"/>
    </row>
    <row r="222" spans="1:48" ht="36" customHeight="1" x14ac:dyDescent="0.2">
      <c r="A222" s="398">
        <v>36</v>
      </c>
      <c r="B222" s="399" t="s">
        <v>562</v>
      </c>
      <c r="C222" s="400" t="s">
        <v>40</v>
      </c>
      <c r="D222" s="400" t="s">
        <v>1327</v>
      </c>
      <c r="E222" s="400" t="s">
        <v>1328</v>
      </c>
      <c r="F222" s="400" t="s">
        <v>1329</v>
      </c>
      <c r="G222" s="401" t="str">
        <f t="shared" ref="G222" si="337">+CONCATENATE(C222," ",D222," ",E222)</f>
        <v>Posibilidad de afectación reputacional por perdida de credibilidad y confianza de las partes interesadas  debido a Ia identificación de conflictos de interés que no cumplan con la normatividad vigente.</v>
      </c>
      <c r="H222" s="400" t="s">
        <v>391</v>
      </c>
      <c r="I222" s="402" t="s">
        <v>62</v>
      </c>
      <c r="J222" s="402" t="s">
        <v>1330</v>
      </c>
      <c r="K222" s="402" t="s">
        <v>1331</v>
      </c>
      <c r="L222" s="402" t="s">
        <v>1332</v>
      </c>
      <c r="M222" s="402" t="s">
        <v>77</v>
      </c>
      <c r="N222" s="402" t="s">
        <v>46</v>
      </c>
      <c r="O222" s="416">
        <v>365</v>
      </c>
      <c r="P222" s="417" t="str">
        <f>IF(O222&lt;=0,"",IF(O222&lt;=2,"Muy Baja",IF(O222&lt;=24,"Baja",IF(O222&lt;=500,"Media",IF(O222&lt;=5000,"Alta","Muy Alta")))))</f>
        <v>Media</v>
      </c>
      <c r="Q222" s="405">
        <f>IF(P222="","",IF(P222="Muy Baja",0.2,IF(P222="Baja",0.4,IF(P222="Media",0.6,IF(P222="Alta",0.8,IF(P222="Muy Alta",1,))))))</f>
        <v>0.6</v>
      </c>
      <c r="R222" s="406" t="s">
        <v>428</v>
      </c>
      <c r="S222" s="405" t="str">
        <f>IF(NOT(ISERROR(MATCH(R222,'[7]Tabla Impacto'!$B$245:$B$247,0))),'[7]Tabla Impacto'!$F$224&amp;"Por favor no seleccionar los criterios de impacto(Afectación Económica o presupuestal y Pérdida Reputacional)",R222)</f>
        <v xml:space="preserve">     El riesgo afecta la imagen de la entidad con algunos usuarios de relevancia frente al logro de los objetivos</v>
      </c>
      <c r="T222" s="417" t="str">
        <f>IF(OR(S222='[7]Tabla Impacto'!$C$12,S222='[7]Tabla Impacto'!$D$12),"Leve",IF(OR(S222='[7]Tabla Impacto'!$C$13,S222='[7]Tabla Impacto'!$D$13),"Menor",IF(OR(S222='[7]Tabla Impacto'!$C$14,S222='[7]Tabla Impacto'!$D$14),"Moderado",IF(OR(S222='[7]Tabla Impacto'!$C$15,S222='[7]Tabla Impacto'!$D$15),"Mayor",IF(OR(S222='[7]Tabla Impacto'!$C$16,S222='[7]Tabla Impacto'!$D$16),"Catastrófico","")))))</f>
        <v>Moderado</v>
      </c>
      <c r="U222" s="405">
        <f>IF(T222="","",IF(T222="Leve",0.2,IF(T222="Menor",0.4,IF(T222="Moderado",0.6,IF(T222="Mayor",0.8,IF(T222="Catastrófico",1,))))))</f>
        <v>0.6</v>
      </c>
      <c r="V222" s="418" t="str">
        <f>IF(OR(AND(P222="Muy Baja",T222="Leve"),AND(P222="Muy Baja",T222="Menor"),AND(P222="Baja",T222="Leve")),"Bajo",IF(OR(AND(P222="Muy baja",T222="Moderado"),AND(P222="Baja",T222="Menor"),AND(P222="Baja",T222="Moderado"),AND(P222="Media",T222="Leve"),AND(P222="Media",T222="Menor"),AND(P222="Media",T222="Moderado"),AND(P222="Alta",T222="Leve"),AND(P222="Alta",T222="Menor")),"Moderado",IF(OR(AND(P222="Muy Baja",T222="Mayor"),AND(P222="Baja",T222="Mayor"),AND(P222="Media",T222="Mayor"),AND(P222="Alta",T222="Moderado"),AND(P222="Alta",T222="Mayor"),AND(P222="Muy Alta",T222="Leve"),AND(P222="Muy Alta",T222="Menor"),AND(P222="Muy Alta",T222="Moderado"),AND(P222="Muy Alta",T222="Mayor")),"Alto",IF(OR(AND(P222="Muy Baja",T222="Catastrófico"),AND(P222="Baja",T222="Catastrófico"),AND(P222="Media",T222="Catastrófico"),AND(P222="Alta",T222="Catastrófico"),AND(P222="Muy Alta",T222="Catastrófico")),"Extremo",""))))</f>
        <v>Moderado</v>
      </c>
      <c r="W222" s="149">
        <v>1</v>
      </c>
      <c r="X222" s="182" t="s">
        <v>1333</v>
      </c>
      <c r="Y222" s="149" t="s">
        <v>37</v>
      </c>
      <c r="Z222" s="182" t="s">
        <v>1334</v>
      </c>
      <c r="AA222" s="174" t="str">
        <f t="shared" si="293"/>
        <v>El servidor publico o colaborador por parte del proceso de Gestión de Talento Humano, Verifica cuatrimestralmente en el aplicativo por la Integridad Pública - DAFP que los Directivos han diligenciado la declaración de conflicto de intereses en la plataforma. Como evidencia se cuenta con el reporte cuatrimestral del aplicativo por la Integridad Pública - DAFP donde se identifican los servidores faltantes por declarar.
En el caso que se identifique directivos pendientes de reporte, la Gerencia Administrativa y Financiera - Proceso de Gestión de Talento Humano, realiza un comunicado mediante correo electrónico solicitando la declaración del conflicto de interés.</v>
      </c>
      <c r="AB222" s="126" t="str">
        <f>IF(OR(AC222="Preventivo",AC222="Detectivo"),"Probabilidad",IF(AC222="Correctivo","Impacto",""))</f>
        <v>Probabilidad</v>
      </c>
      <c r="AC222" s="127" t="s">
        <v>398</v>
      </c>
      <c r="AD222" s="127" t="s">
        <v>394</v>
      </c>
      <c r="AE222" s="128" t="str">
        <f t="shared" si="304"/>
        <v>40%</v>
      </c>
      <c r="AF222" s="127" t="s">
        <v>395</v>
      </c>
      <c r="AG222" s="127" t="s">
        <v>396</v>
      </c>
      <c r="AH222" s="127" t="s">
        <v>397</v>
      </c>
      <c r="AI222" s="129">
        <f>IFERROR(IF(AB222="Probabilidad",(Q222-(+Q222*AE222)),IF(AB222="Impacto",Q222,"")),"")</f>
        <v>0.36</v>
      </c>
      <c r="AJ222" s="130" t="str">
        <f>IFERROR(IF(AI222="","",IF(AI222&lt;=0.2,"Muy Baja",IF(AI222&lt;=0.4,"Baja",IF(AI222&lt;=0.6,"Media",IF(AI222&lt;=0.8,"Alta","Muy Alta"))))),"")</f>
        <v>Baja</v>
      </c>
      <c r="AK222" s="128">
        <f>+AI222</f>
        <v>0.36</v>
      </c>
      <c r="AL222" s="130" t="str">
        <f>IFERROR(IF(AM222="","",IF(AM222&lt;=0.2,"Leve",IF(AM222&lt;=0.4,"Menor",IF(AM222&lt;=0.6,"Moderado",IF(AM222&lt;=0.8,"Mayor","Catastrófico"))))),"")</f>
        <v>Moderado</v>
      </c>
      <c r="AM222" s="128">
        <f t="shared" ref="AM222" si="338">IFERROR(IF(AB222="Impacto",(U222-(+U222*AE222)),IF(AB222="Probabilidad",U222,"")),"")</f>
        <v>0.6</v>
      </c>
      <c r="AN222" s="131" t="str">
        <f>IFERROR(IF(OR(AND(AJ222="Muy Baja",AL222="Leve"),AND(AJ222="Muy Baja",AL222="Menor"),AND(AJ222="Baja",AL222="Leve")),"Bajo",IF(OR(AND(AJ222="Muy baja",AL222="Moderado"),AND(AJ222="Baja",AL222="Menor"),AND(AJ222="Baja",AL222="Moderado"),AND(AJ222="Media",AL222="Leve"),AND(AJ222="Media",AL222="Menor"),AND(AJ222="Media",AL222="Moderado"),AND(AJ222="Alta",AL222="Leve"),AND(AJ222="Alta",AL222="Menor")),"Moderado",IF(OR(AND(AJ222="Muy Baja",AL222="Mayor"),AND(AJ222="Baja",AL222="Mayor"),AND(AJ222="Media",AL222="Mayor"),AND(AJ222="Alta",AL222="Moderado"),AND(AJ222="Alta",AL222="Mayor"),AND(AJ222="Muy Alta",AL222="Leve"),AND(AJ222="Muy Alta",AL222="Menor"),AND(AJ222="Muy Alta",AL222="Moderado"),AND(AJ222="Muy Alta",AL222="Mayor")),"Alto",IF(OR(AND(AJ222="Muy Baja",AL222="Catastrófico"),AND(AJ222="Baja",AL222="Catastrófico"),AND(AJ222="Media",AL222="Catastrófico"),AND(AJ222="Alta",AL222="Catastrófico"),AND(AJ222="Muy Alta",AL222="Catastrófico")),"Extremo","")))),"")</f>
        <v>Moderado</v>
      </c>
      <c r="AO222" s="132" t="s">
        <v>43</v>
      </c>
      <c r="AP222" s="402" t="s">
        <v>1335</v>
      </c>
      <c r="AQ222" s="402" t="s">
        <v>1336</v>
      </c>
      <c r="AR222" s="402" t="s">
        <v>1337</v>
      </c>
      <c r="AS222" s="402" t="s">
        <v>1309</v>
      </c>
      <c r="AT222" s="400" t="s">
        <v>1338</v>
      </c>
      <c r="AU222" s="400" t="s">
        <v>1337</v>
      </c>
      <c r="AV222" s="400" t="s">
        <v>791</v>
      </c>
    </row>
    <row r="223" spans="1:48" ht="38.25" customHeight="1" x14ac:dyDescent="0.2">
      <c r="A223" s="398"/>
      <c r="B223" s="399"/>
      <c r="C223" s="400"/>
      <c r="D223" s="400"/>
      <c r="E223" s="400"/>
      <c r="F223" s="400"/>
      <c r="G223" s="401"/>
      <c r="H223" s="400"/>
      <c r="I223" s="403"/>
      <c r="J223" s="403"/>
      <c r="K223" s="403"/>
      <c r="L223" s="403"/>
      <c r="M223" s="403"/>
      <c r="N223" s="403"/>
      <c r="O223" s="416"/>
      <c r="P223" s="417"/>
      <c r="Q223" s="405"/>
      <c r="R223" s="406"/>
      <c r="S223" s="405">
        <f>IF(NOT(ISERROR(MATCH(R223,_xlfn.ANCHORARRAY(G234),0))),Q236&amp;"Por favor no seleccionar los criterios de impacto",R223)</f>
        <v>0</v>
      </c>
      <c r="T223" s="417"/>
      <c r="U223" s="405"/>
      <c r="V223" s="418"/>
      <c r="W223" s="149">
        <v>2</v>
      </c>
      <c r="X223" s="182" t="s">
        <v>1339</v>
      </c>
      <c r="Y223" s="149" t="s">
        <v>37</v>
      </c>
      <c r="Z223" s="182" t="s">
        <v>1340</v>
      </c>
      <c r="AA223" s="174" t="str">
        <f t="shared" si="293"/>
        <v>El servidor publico o colaborador designado por el proceso de Gestión Contractual Verifica verifica  cada vez que se elabora un contrato de prestación de servicios que en el expediente este la totalidad de documentos definidos en la lista de chequeo, debidamente diligenciados y firmados. Dentro de los documentos se incluye la declaración de conflicto de interés en SIDEAP. Como evidencia se cuenta con el reporte cuatrimestral de la Plataforma SIDEAP donde se identifican los contratistas faltantes por declarar.
En el caso que se identifique documentos faltantes, mal diligenciados o sin firma, se devolverá a la dependencia correspondiente para su ajuste.</v>
      </c>
      <c r="AB223" s="126" t="str">
        <f>IF(OR(AC223="Preventivo",AC223="Detectivo"),"Probabilidad",IF(AC223="Correctivo","Impacto",""))</f>
        <v>Probabilidad</v>
      </c>
      <c r="AC223" s="127" t="s">
        <v>398</v>
      </c>
      <c r="AD223" s="127" t="s">
        <v>394</v>
      </c>
      <c r="AE223" s="128" t="str">
        <f t="shared" si="304"/>
        <v>40%</v>
      </c>
      <c r="AF223" s="127" t="s">
        <v>395</v>
      </c>
      <c r="AG223" s="127" t="s">
        <v>396</v>
      </c>
      <c r="AH223" s="127" t="s">
        <v>397</v>
      </c>
      <c r="AI223" s="129">
        <f>IFERROR(IF(AND(AB222="Probabilidad",AB223="Probabilidad"),(AK222-(+AK222*AE223)),IF(AB223="Probabilidad",(Q222-(+Q222*AE223)),IF(AB223="Impacto",AK222,""))),"")</f>
        <v>0.216</v>
      </c>
      <c r="AJ223" s="130" t="str">
        <f t="shared" si="313"/>
        <v>Baja</v>
      </c>
      <c r="AK223" s="128">
        <f t="shared" ref="AK223:AK227" si="339">+AI223</f>
        <v>0.216</v>
      </c>
      <c r="AL223" s="130" t="str">
        <f t="shared" si="315"/>
        <v>Moderado</v>
      </c>
      <c r="AM223" s="128">
        <f>IFERROR(IF(AND(AB222="Impacto",AB223="Impacto"),(AM222-(+AM222*AE223)),IF(AB223="Impacto",(#REF!-(+#REF!*AE223)),IF(AB223="Probabilidad",AM222,""))),"")</f>
        <v>0.6</v>
      </c>
      <c r="AN223" s="131" t="str">
        <f t="shared" ref="AN223:AN224" si="340">IFERROR(IF(OR(AND(AJ223="Muy Baja",AL223="Leve"),AND(AJ223="Muy Baja",AL223="Menor"),AND(AJ223="Baja",AL223="Leve")),"Bajo",IF(OR(AND(AJ223="Muy baja",AL223="Moderado"),AND(AJ223="Baja",AL223="Menor"),AND(AJ223="Baja",AL223="Moderado"),AND(AJ223="Media",AL223="Leve"),AND(AJ223="Media",AL223="Menor"),AND(AJ223="Media",AL223="Moderado"),AND(AJ223="Alta",AL223="Leve"),AND(AJ223="Alta",AL223="Menor")),"Moderado",IF(OR(AND(AJ223="Muy Baja",AL223="Mayor"),AND(AJ223="Baja",AL223="Mayor"),AND(AJ223="Media",AL223="Mayor"),AND(AJ223="Alta",AL223="Moderado"),AND(AJ223="Alta",AL223="Mayor"),AND(AJ223="Muy Alta",AL223="Leve"),AND(AJ223="Muy Alta",AL223="Menor"),AND(AJ223="Muy Alta",AL223="Moderado"),AND(AJ223="Muy Alta",AL223="Mayor")),"Alto",IF(OR(AND(AJ223="Muy Baja",AL223="Catastrófico"),AND(AJ223="Baja",AL223="Catastrófico"),AND(AJ223="Media",AL223="Catastrófico"),AND(AJ223="Alta",AL223="Catastrófico"),AND(AJ223="Muy Alta",AL223="Catastrófico")),"Extremo","")))),"")</f>
        <v>Moderado</v>
      </c>
      <c r="AO223" s="132" t="s">
        <v>43</v>
      </c>
      <c r="AP223" s="404"/>
      <c r="AQ223" s="404"/>
      <c r="AR223" s="404"/>
      <c r="AS223" s="404"/>
      <c r="AT223" s="400"/>
      <c r="AU223" s="400"/>
      <c r="AV223" s="400"/>
    </row>
    <row r="224" spans="1:48" ht="15" customHeight="1" x14ac:dyDescent="0.2">
      <c r="A224" s="398"/>
      <c r="B224" s="399"/>
      <c r="C224" s="400"/>
      <c r="D224" s="400"/>
      <c r="E224" s="400"/>
      <c r="F224" s="400"/>
      <c r="G224" s="401"/>
      <c r="H224" s="400"/>
      <c r="I224" s="403"/>
      <c r="J224" s="403"/>
      <c r="K224" s="403"/>
      <c r="L224" s="403"/>
      <c r="M224" s="403"/>
      <c r="N224" s="403"/>
      <c r="O224" s="416"/>
      <c r="P224" s="417"/>
      <c r="Q224" s="405"/>
      <c r="R224" s="406"/>
      <c r="S224" s="405">
        <f>IF(NOT(ISERROR(MATCH(R224,_xlfn.ANCHORARRAY(G235),0))),Q237&amp;"Por favor no seleccionar los criterios de impacto",R224)</f>
        <v>0</v>
      </c>
      <c r="T224" s="417"/>
      <c r="U224" s="405"/>
      <c r="V224" s="418"/>
      <c r="W224" s="149">
        <v>3</v>
      </c>
      <c r="X224" s="149"/>
      <c r="Y224" s="149"/>
      <c r="Z224" s="149"/>
      <c r="AA224" s="174" t="str">
        <f t="shared" si="293"/>
        <v xml:space="preserve">  </v>
      </c>
      <c r="AB224" s="126" t="str">
        <f>IF(OR(AC224="Preventivo",AC224="Detectivo"),"Probabilidad",IF(AC224="Correctivo","Impacto",""))</f>
        <v/>
      </c>
      <c r="AC224" s="127"/>
      <c r="AD224" s="127"/>
      <c r="AE224" s="128" t="str">
        <f t="shared" si="304"/>
        <v/>
      </c>
      <c r="AF224" s="127"/>
      <c r="AG224" s="127"/>
      <c r="AH224" s="127"/>
      <c r="AI224" s="129" t="str">
        <f>IFERROR(IF(AND(AB223="Probabilidad",AB224="Probabilidad"),(AK223-(+AK223*AE224)),IF(AND(AB223="Impacto",AB224="Probabilidad"),(AK222-(+AK222*AE224)),IF(AB224="Impacto",AK223,""))),"")</f>
        <v/>
      </c>
      <c r="AJ224" s="130" t="str">
        <f t="shared" si="313"/>
        <v/>
      </c>
      <c r="AK224" s="128" t="str">
        <f t="shared" si="339"/>
        <v/>
      </c>
      <c r="AL224" s="130" t="str">
        <f t="shared" si="315"/>
        <v/>
      </c>
      <c r="AM224" s="128" t="str">
        <f t="shared" ref="AM224" si="341">IFERROR(IF(AND(AB223="Impacto",AB224="Impacto"),(AM223-(+AM223*AE224)),IF(AND(AB223="Probabilidad",AB224="Impacto"),(AM222-(+AM222*AE224)),IF(AB224="Probabilidad",AM223,""))),"")</f>
        <v/>
      </c>
      <c r="AN224" s="131" t="str">
        <f t="shared" si="340"/>
        <v/>
      </c>
      <c r="AO224" s="132"/>
      <c r="AP224" s="125"/>
      <c r="AQ224" s="133"/>
      <c r="AR224" s="133"/>
      <c r="AS224" s="134"/>
      <c r="AT224" s="400"/>
      <c r="AU224" s="400"/>
      <c r="AV224" s="400"/>
    </row>
    <row r="225" spans="1:48" ht="15" customHeight="1" x14ac:dyDescent="0.2">
      <c r="A225" s="398"/>
      <c r="B225" s="399"/>
      <c r="C225" s="400"/>
      <c r="D225" s="400"/>
      <c r="E225" s="400"/>
      <c r="F225" s="400"/>
      <c r="G225" s="401"/>
      <c r="H225" s="400"/>
      <c r="I225" s="403"/>
      <c r="J225" s="403"/>
      <c r="K225" s="403"/>
      <c r="L225" s="403"/>
      <c r="M225" s="403"/>
      <c r="N225" s="403"/>
      <c r="O225" s="416"/>
      <c r="P225" s="417"/>
      <c r="Q225" s="405"/>
      <c r="R225" s="406"/>
      <c r="S225" s="405">
        <f>IF(NOT(ISERROR(MATCH(R225,_xlfn.ANCHORARRAY(G236),0))),Q238&amp;"Por favor no seleccionar los criterios de impacto",R225)</f>
        <v>0</v>
      </c>
      <c r="T225" s="417"/>
      <c r="U225" s="405"/>
      <c r="V225" s="418"/>
      <c r="W225" s="149">
        <v>4</v>
      </c>
      <c r="X225" s="149"/>
      <c r="Y225" s="149"/>
      <c r="Z225" s="149"/>
      <c r="AA225" s="174" t="str">
        <f t="shared" si="293"/>
        <v xml:space="preserve">  </v>
      </c>
      <c r="AB225" s="126" t="str">
        <f t="shared" ref="AB225:AB233" si="342">IF(OR(AC225="Preventivo",AC225="Detectivo"),"Probabilidad",IF(AC225="Correctivo","Impacto",""))</f>
        <v/>
      </c>
      <c r="AC225" s="127"/>
      <c r="AD225" s="127"/>
      <c r="AE225" s="128" t="str">
        <f t="shared" si="304"/>
        <v/>
      </c>
      <c r="AF225" s="127"/>
      <c r="AG225" s="127"/>
      <c r="AH225" s="127"/>
      <c r="AI225" s="129" t="str">
        <f t="shared" ref="AI225:AI227" si="343">IFERROR(IF(AND(AB224="Probabilidad",AB225="Probabilidad"),(AK224-(+AK224*AE225)),IF(AND(AB224="Impacto",AB225="Probabilidad"),(AK223-(+AK223*AE225)),IF(AB225="Impacto",AK224,""))),"")</f>
        <v/>
      </c>
      <c r="AJ225" s="130" t="str">
        <f t="shared" si="313"/>
        <v/>
      </c>
      <c r="AK225" s="128" t="str">
        <f t="shared" si="339"/>
        <v/>
      </c>
      <c r="AL225" s="130" t="str">
        <f t="shared" si="315"/>
        <v/>
      </c>
      <c r="AM225" s="128" t="str">
        <f t="shared" si="317"/>
        <v/>
      </c>
      <c r="AN225" s="131" t="str">
        <f>IFERROR(IF(OR(AND(AJ225="Muy Baja",AL225="Leve"),AND(AJ225="Muy Baja",AL225="Menor"),AND(AJ225="Baja",AL225="Leve")),"Bajo",IF(OR(AND(AJ225="Muy baja",AL225="Moderado"),AND(AJ225="Baja",AL225="Menor"),AND(AJ225="Baja",AL225="Moderado"),AND(AJ225="Media",AL225="Leve"),AND(AJ225="Media",AL225="Menor"),AND(AJ225="Media",AL225="Moderado"),AND(AJ225="Alta",AL225="Leve"),AND(AJ225="Alta",AL225="Menor")),"Moderado",IF(OR(AND(AJ225="Muy Baja",AL225="Mayor"),AND(AJ225="Baja",AL225="Mayor"),AND(AJ225="Media",AL225="Mayor"),AND(AJ225="Alta",AL225="Moderado"),AND(AJ225="Alta",AL225="Mayor"),AND(AJ225="Muy Alta",AL225="Leve"),AND(AJ225="Muy Alta",AL225="Menor"),AND(AJ225="Muy Alta",AL225="Moderado"),AND(AJ225="Muy Alta",AL225="Mayor")),"Alto",IF(OR(AND(AJ225="Muy Baja",AL225="Catastrófico"),AND(AJ225="Baja",AL225="Catastrófico"),AND(AJ225="Media",AL225="Catastrófico"),AND(AJ225="Alta",AL225="Catastrófico"),AND(AJ225="Muy Alta",AL225="Catastrófico")),"Extremo","")))),"")</f>
        <v/>
      </c>
      <c r="AO225" s="132"/>
      <c r="AP225" s="125"/>
      <c r="AQ225" s="133"/>
      <c r="AR225" s="133"/>
      <c r="AS225" s="134"/>
      <c r="AT225" s="400"/>
      <c r="AU225" s="400"/>
      <c r="AV225" s="400"/>
    </row>
    <row r="226" spans="1:48" ht="15" customHeight="1" x14ac:dyDescent="0.2">
      <c r="A226" s="398"/>
      <c r="B226" s="399"/>
      <c r="C226" s="400"/>
      <c r="D226" s="400"/>
      <c r="E226" s="400"/>
      <c r="F226" s="400"/>
      <c r="G226" s="401"/>
      <c r="H226" s="400"/>
      <c r="I226" s="403"/>
      <c r="J226" s="403"/>
      <c r="K226" s="403"/>
      <c r="L226" s="403"/>
      <c r="M226" s="403"/>
      <c r="N226" s="403"/>
      <c r="O226" s="416"/>
      <c r="P226" s="417"/>
      <c r="Q226" s="405"/>
      <c r="R226" s="406"/>
      <c r="S226" s="405">
        <f>IF(NOT(ISERROR(MATCH(R226,_xlfn.ANCHORARRAY(G237),0))),Q239&amp;"Por favor no seleccionar los criterios de impacto",R226)</f>
        <v>0</v>
      </c>
      <c r="T226" s="417"/>
      <c r="U226" s="405"/>
      <c r="V226" s="418"/>
      <c r="W226" s="149">
        <v>5</v>
      </c>
      <c r="X226" s="149"/>
      <c r="Y226" s="149"/>
      <c r="Z226" s="149"/>
      <c r="AA226" s="174" t="str">
        <f t="shared" si="293"/>
        <v xml:space="preserve">  </v>
      </c>
      <c r="AB226" s="126" t="str">
        <f t="shared" si="342"/>
        <v/>
      </c>
      <c r="AC226" s="127"/>
      <c r="AD226" s="127"/>
      <c r="AE226" s="128" t="str">
        <f t="shared" si="304"/>
        <v/>
      </c>
      <c r="AF226" s="127"/>
      <c r="AG226" s="127"/>
      <c r="AH226" s="127"/>
      <c r="AI226" s="129" t="str">
        <f t="shared" si="343"/>
        <v/>
      </c>
      <c r="AJ226" s="130" t="str">
        <f t="shared" si="313"/>
        <v/>
      </c>
      <c r="AK226" s="128" t="str">
        <f t="shared" si="339"/>
        <v/>
      </c>
      <c r="AL226" s="130" t="str">
        <f t="shared" si="315"/>
        <v/>
      </c>
      <c r="AM226" s="128" t="str">
        <f t="shared" si="317"/>
        <v/>
      </c>
      <c r="AN226" s="131" t="str">
        <f t="shared" ref="AN226:AN227" si="344">IFERROR(IF(OR(AND(AJ226="Muy Baja",AL226="Leve"),AND(AJ226="Muy Baja",AL226="Menor"),AND(AJ226="Baja",AL226="Leve")),"Bajo",IF(OR(AND(AJ226="Muy baja",AL226="Moderado"),AND(AJ226="Baja",AL226="Menor"),AND(AJ226="Baja",AL226="Moderado"),AND(AJ226="Media",AL226="Leve"),AND(AJ226="Media",AL226="Menor"),AND(AJ226="Media",AL226="Moderado"),AND(AJ226="Alta",AL226="Leve"),AND(AJ226="Alta",AL226="Menor")),"Moderado",IF(OR(AND(AJ226="Muy Baja",AL226="Mayor"),AND(AJ226="Baja",AL226="Mayor"),AND(AJ226="Media",AL226="Mayor"),AND(AJ226="Alta",AL226="Moderado"),AND(AJ226="Alta",AL226="Mayor"),AND(AJ226="Muy Alta",AL226="Leve"),AND(AJ226="Muy Alta",AL226="Menor"),AND(AJ226="Muy Alta",AL226="Moderado"),AND(AJ226="Muy Alta",AL226="Mayor")),"Alto",IF(OR(AND(AJ226="Muy Baja",AL226="Catastrófico"),AND(AJ226="Baja",AL226="Catastrófico"),AND(AJ226="Media",AL226="Catastrófico"),AND(AJ226="Alta",AL226="Catastrófico"),AND(AJ226="Muy Alta",AL226="Catastrófico")),"Extremo","")))),"")</f>
        <v/>
      </c>
      <c r="AO226" s="132"/>
      <c r="AP226" s="125"/>
      <c r="AQ226" s="133"/>
      <c r="AR226" s="133"/>
      <c r="AS226" s="134"/>
      <c r="AT226" s="400"/>
      <c r="AU226" s="400"/>
      <c r="AV226" s="400"/>
    </row>
    <row r="227" spans="1:48" ht="15" customHeight="1" x14ac:dyDescent="0.2">
      <c r="A227" s="398"/>
      <c r="B227" s="399"/>
      <c r="C227" s="400"/>
      <c r="D227" s="400"/>
      <c r="E227" s="400"/>
      <c r="F227" s="400"/>
      <c r="G227" s="401"/>
      <c r="H227" s="400"/>
      <c r="I227" s="404"/>
      <c r="J227" s="404"/>
      <c r="K227" s="404"/>
      <c r="L227" s="404"/>
      <c r="M227" s="404"/>
      <c r="N227" s="404"/>
      <c r="O227" s="416"/>
      <c r="P227" s="417"/>
      <c r="Q227" s="405"/>
      <c r="R227" s="406"/>
      <c r="S227" s="405">
        <f>IF(NOT(ISERROR(MATCH(R227,_xlfn.ANCHORARRAY(G238),0))),Q240&amp;"Por favor no seleccionar los criterios de impacto",R227)</f>
        <v>0</v>
      </c>
      <c r="T227" s="417"/>
      <c r="U227" s="405"/>
      <c r="V227" s="418"/>
      <c r="W227" s="149">
        <v>6</v>
      </c>
      <c r="X227" s="149"/>
      <c r="Y227" s="149"/>
      <c r="Z227" s="149"/>
      <c r="AA227" s="174" t="str">
        <f t="shared" si="293"/>
        <v xml:space="preserve">  </v>
      </c>
      <c r="AB227" s="126" t="str">
        <f t="shared" si="342"/>
        <v/>
      </c>
      <c r="AC227" s="127"/>
      <c r="AD227" s="127"/>
      <c r="AE227" s="128" t="str">
        <f t="shared" si="304"/>
        <v/>
      </c>
      <c r="AF227" s="127"/>
      <c r="AG227" s="127"/>
      <c r="AH227" s="127"/>
      <c r="AI227" s="129" t="str">
        <f t="shared" si="343"/>
        <v/>
      </c>
      <c r="AJ227" s="130" t="str">
        <f t="shared" si="313"/>
        <v/>
      </c>
      <c r="AK227" s="128" t="str">
        <f t="shared" si="339"/>
        <v/>
      </c>
      <c r="AL227" s="130" t="str">
        <f t="shared" si="315"/>
        <v/>
      </c>
      <c r="AM227" s="128" t="str">
        <f t="shared" si="317"/>
        <v/>
      </c>
      <c r="AN227" s="131" t="str">
        <f t="shared" si="344"/>
        <v/>
      </c>
      <c r="AO227" s="132"/>
      <c r="AP227" s="125"/>
      <c r="AQ227" s="133"/>
      <c r="AR227" s="133"/>
      <c r="AS227" s="134"/>
      <c r="AT227" s="402"/>
      <c r="AU227" s="402"/>
      <c r="AV227" s="402"/>
    </row>
    <row r="228" spans="1:48" ht="41.25" customHeight="1" x14ac:dyDescent="0.2">
      <c r="A228" s="398">
        <v>37</v>
      </c>
      <c r="B228" s="399" t="s">
        <v>563</v>
      </c>
      <c r="C228" s="400" t="s">
        <v>40</v>
      </c>
      <c r="D228" s="400" t="s">
        <v>1376</v>
      </c>
      <c r="E228" s="400" t="s">
        <v>1377</v>
      </c>
      <c r="F228" s="400" t="s">
        <v>1378</v>
      </c>
      <c r="G228" s="401" t="str">
        <f>+CONCATENATE(C228," ",D228," ",E228)</f>
        <v>Posibilidad de afectación reputacional  Por haber dejado prescribir  procesos disciplinarios, se debe abrir proceso disciplinario contra servidor (es) responsable.  Debido a la falta de actividad procesal,  por parte del profesional comisionado para instruir los procesos disciplinarios, se puede presentar el fenòmeno de la prescripción.</v>
      </c>
      <c r="H228" s="400" t="s">
        <v>391</v>
      </c>
      <c r="I228" s="402" t="s">
        <v>62</v>
      </c>
      <c r="J228" s="402" t="s">
        <v>1379</v>
      </c>
      <c r="K228" s="402" t="s">
        <v>1380</v>
      </c>
      <c r="L228" s="402" t="s">
        <v>1381</v>
      </c>
      <c r="M228" s="402" t="s">
        <v>55</v>
      </c>
      <c r="N228" s="402" t="s">
        <v>55</v>
      </c>
      <c r="O228" s="416">
        <v>70</v>
      </c>
      <c r="P228" s="417" t="str">
        <f>IF(O228&lt;=0,"",IF(O228&lt;=2,"Muy Baja",IF(O228&lt;=24,"Baja",IF(O228&lt;=500,"Media",IF(O228&lt;=5000,"Alta","Muy Alta")))))</f>
        <v>Media</v>
      </c>
      <c r="Q228" s="405">
        <f>IF(P228="","",IF(P228="Muy Baja",0.2,IF(P228="Baja",0.4,IF(P228="Media",0.6,IF(P228="Alta",0.8,IF(P228="Muy Alta",1,))))))</f>
        <v>0.6</v>
      </c>
      <c r="R228" s="406" t="s">
        <v>392</v>
      </c>
      <c r="S228" s="405" t="str">
        <f>IF(NOT(ISERROR(MATCH(R228,'[8]Tabla Impacto'!$B$245:$B$247,0))),'[8]Tabla Impacto'!$F$224&amp;"Por favor no seleccionar los criterios de impacto(Afectación Económica o presupuestal y Pérdida Reputacional)",R228)</f>
        <v xml:space="preserve">     El riesgo afecta la imagen de alguna área de la organización</v>
      </c>
      <c r="T228" s="417" t="str">
        <f>IF(OR(S228='[8]Tabla Impacto'!$C$12,S228='[8]Tabla Impacto'!$D$12),"Leve",IF(OR(S228='[8]Tabla Impacto'!$C$13,S228='[8]Tabla Impacto'!$D$13),"Menor",IF(OR(S228='[8]Tabla Impacto'!$C$14,S228='[8]Tabla Impacto'!$D$14),"Moderado",IF(OR(S228='[8]Tabla Impacto'!$C$15,S228='[8]Tabla Impacto'!$D$15),"Mayor",IF(OR(S228='[8]Tabla Impacto'!$C$16,S228='[8]Tabla Impacto'!$D$16),"Catastrófico","")))))</f>
        <v>Leve</v>
      </c>
      <c r="U228" s="405">
        <f>IF(T228="","",IF(T228="Leve",0.2,IF(T228="Menor",0.4,IF(T228="Moderado",0.6,IF(T228="Mayor",0.8,IF(T228="Catastrófico",1,))))))</f>
        <v>0.2</v>
      </c>
      <c r="V228" s="418" t="str">
        <f>IF(OR(AND(P228="Muy Baja",T228="Leve"),AND(P228="Muy Baja",T228="Menor"),AND(P228="Baja",T228="Leve")),"Bajo",IF(OR(AND(P228="Muy baja",T228="Moderado"),AND(P228="Baja",T228="Menor"),AND(P228="Baja",T228="Moderado"),AND(P228="Media",T228="Leve"),AND(P228="Media",T228="Menor"),AND(P228="Media",T228="Moderado"),AND(P228="Alta",T228="Leve"),AND(P228="Alta",T228="Menor")),"Moderado",IF(OR(AND(P228="Muy Baja",T228="Mayor"),AND(P228="Baja",T228="Mayor"),AND(P228="Media",T228="Mayor"),AND(P228="Alta",T228="Moderado"),AND(P228="Alta",T228="Mayor"),AND(P228="Muy Alta",T228="Leve"),AND(P228="Muy Alta",T228="Menor"),AND(P228="Muy Alta",T228="Moderado"),AND(P228="Muy Alta",T228="Mayor")),"Alto",IF(OR(AND(P228="Muy Baja",T228="Catastrófico"),AND(P228="Baja",T228="Catastrófico"),AND(P228="Media",T228="Catastrófico"),AND(P228="Alta",T228="Catastrófico"),AND(P228="Muy Alta",T228="Catastrófico")),"Extremo",""))))</f>
        <v>Moderado</v>
      </c>
      <c r="W228" s="149">
        <v>1</v>
      </c>
      <c r="X228" s="182" t="s">
        <v>1346</v>
      </c>
      <c r="Y228" s="182" t="s">
        <v>37</v>
      </c>
      <c r="Z228" s="182" t="s">
        <v>1382</v>
      </c>
      <c r="AA228" s="304" t="str">
        <f>+CONCATENATE(X228," ",Y228," ",Z228)</f>
        <v>Jefe CODI Verifica  En reunión que, el (los) profesional rinda informe sobre, el estado actual de los procesos disciplinarios a cargo, dejando la trazabilidad en acta. en caso de identificar algún proceso disciplinario prescrito. se inicia actuación disciplinaria o administrativa en contra del servidor público o contratista responsable. como soporte se relaciona el radicado del informe de inicio de actuación.</v>
      </c>
      <c r="AB228" s="126" t="str">
        <f t="shared" si="342"/>
        <v>Probabilidad</v>
      </c>
      <c r="AC228" s="127" t="s">
        <v>398</v>
      </c>
      <c r="AD228" s="127" t="s">
        <v>394</v>
      </c>
      <c r="AE228" s="128" t="str">
        <f>IF(AND(AC228="Preventivo",AD228="Automático"),"50%",IF(AND(AC228="Preventivo",AD228="Manual"),"40%",IF(AND(AC228="Detectivo",AD228="Automático"),"40%",IF(AND(AC228="Detectivo",AD228="Manual"),"30%",IF(AND(AC228="Correctivo",AD228="Automático"),"35%",IF(AND(AC228="Correctivo",AD228="Manual"),"25%",""))))))</f>
        <v>40%</v>
      </c>
      <c r="AF228" s="127" t="s">
        <v>395</v>
      </c>
      <c r="AG228" s="127" t="s">
        <v>396</v>
      </c>
      <c r="AH228" s="127" t="s">
        <v>397</v>
      </c>
      <c r="AI228" s="129">
        <f>IFERROR(IF(AB228="Probabilidad",(Q228-(+Q228*AE228)),IF(AB228="Impacto",Q228,"")),"")</f>
        <v>0.36</v>
      </c>
      <c r="AJ228" s="130" t="str">
        <f>IFERROR(IF(AI228="","",IF(AI228&lt;=0.2,"Muy Baja",IF(AI228&lt;=0.4,"Baja",IF(AI228&lt;=0.6,"Media",IF(AI228&lt;=0.8,"Alta","Muy Alta"))))),"")</f>
        <v>Baja</v>
      </c>
      <c r="AK228" s="128">
        <f>+AI228</f>
        <v>0.36</v>
      </c>
      <c r="AL228" s="130" t="str">
        <f>IFERROR(IF(AM228="","",IF(AM228&lt;=0.2,"Leve",IF(AM228&lt;=0.4,"Menor",IF(AM228&lt;=0.6,"Moderado",IF(AM228&lt;=0.8,"Mayor","Catastrófico"))))),"")</f>
        <v>Leve</v>
      </c>
      <c r="AM228" s="128">
        <f>IFERROR(IF(AB228="Impacto",(U228-(+U228*AE228)),IF(AB228="Probabilidad",U228,"")),"")</f>
        <v>0.2</v>
      </c>
      <c r="AN228" s="131" t="str">
        <f>IFERROR(IF(OR(AND(AJ228="Muy Baja",AL228="Leve"),AND(AJ228="Muy Baja",AL228="Menor"),AND(AJ228="Baja",AL228="Leve")),"Bajo",IF(OR(AND(AJ228="Muy baja",AL228="Moderado"),AND(AJ228="Baja",AL228="Menor"),AND(AJ228="Baja",AL228="Moderado"),AND(AJ228="Media",AL228="Leve"),AND(AJ228="Media",AL228="Menor"),AND(AJ228="Media",AL228="Moderado"),AND(AJ228="Alta",AL228="Leve"),AND(AJ228="Alta",AL228="Menor")),"Moderado",IF(OR(AND(AJ228="Muy Baja",AL228="Mayor"),AND(AJ228="Baja",AL228="Mayor"),AND(AJ228="Media",AL228="Mayor"),AND(AJ228="Alta",AL228="Moderado"),AND(AJ228="Alta",AL228="Mayor"),AND(AJ228="Muy Alta",AL228="Leve"),AND(AJ228="Muy Alta",AL228="Menor"),AND(AJ228="Muy Alta",AL228="Moderado"),AND(AJ228="Muy Alta",AL228="Mayor")),"Alto",IF(OR(AND(AJ228="Muy Baja",AL228="Catastrófico"),AND(AJ228="Baja",AL228="Catastrófico"),AND(AJ228="Media",AL228="Catastrófico"),AND(AJ228="Alta",AL228="Catastrófico"),AND(AJ228="Muy Alta",AL228="Catastrófico")),"Extremo","")))),"")</f>
        <v>Bajo</v>
      </c>
      <c r="AO228" s="132" t="s">
        <v>35</v>
      </c>
      <c r="AP228" s="125" t="s">
        <v>1383</v>
      </c>
      <c r="AQ228" s="133" t="s">
        <v>1346</v>
      </c>
      <c r="AR228" s="125" t="s">
        <v>1384</v>
      </c>
      <c r="AS228" s="134">
        <v>45656</v>
      </c>
      <c r="AT228" s="125" t="s">
        <v>1385</v>
      </c>
      <c r="AU228" s="125" t="s">
        <v>1386</v>
      </c>
      <c r="AV228" s="372" t="s">
        <v>1346</v>
      </c>
    </row>
    <row r="229" spans="1:48" ht="41.25" customHeight="1" x14ac:dyDescent="0.2">
      <c r="A229" s="398"/>
      <c r="B229" s="399"/>
      <c r="C229" s="400"/>
      <c r="D229" s="400"/>
      <c r="E229" s="400"/>
      <c r="F229" s="400"/>
      <c r="G229" s="401"/>
      <c r="H229" s="400"/>
      <c r="I229" s="403"/>
      <c r="J229" s="403"/>
      <c r="K229" s="403"/>
      <c r="L229" s="403"/>
      <c r="M229" s="403"/>
      <c r="N229" s="403"/>
      <c r="O229" s="416"/>
      <c r="P229" s="417"/>
      <c r="Q229" s="405"/>
      <c r="R229" s="406"/>
      <c r="S229" s="405">
        <f>IF(NOT(ISERROR(MATCH(R229,_xlfn.ANCHORARRAY(G240),0))),Q242&amp;"Por favor no seleccionar los criterios de impacto",R229)</f>
        <v>0</v>
      </c>
      <c r="T229" s="417"/>
      <c r="U229" s="405"/>
      <c r="V229" s="418"/>
      <c r="W229" s="149">
        <v>2</v>
      </c>
      <c r="X229" s="182" t="s">
        <v>1387</v>
      </c>
      <c r="Y229" s="149" t="s">
        <v>594</v>
      </c>
      <c r="Z229" s="182" t="s">
        <v>1388</v>
      </c>
      <c r="AA229" s="304" t="str">
        <f t="shared" ref="AA229:AA233" si="345">+CONCATENATE(X229," ",Y229," ",Z229)</f>
        <v>Profesional especializado revisa Mensualmente en la base de datos de procesos disciplinarios las fechas de prescripción de los procesos. como evidencia se relaciona el archivo Excel con la información de los procesos activos con su respectiva fecha de prescripción. en caso de identificar procesos próximos a prescribir se generara la alerta al responsable vía correo electrónico</v>
      </c>
      <c r="AB229" s="126" t="str">
        <f t="shared" si="342"/>
        <v>Probabilidad</v>
      </c>
      <c r="AC229" s="127" t="s">
        <v>398</v>
      </c>
      <c r="AD229" s="127" t="s">
        <v>394</v>
      </c>
      <c r="AE229" s="128" t="str">
        <f t="shared" ref="AE229:AE233" si="346">IF(AND(AC229="Preventivo",AD229="Automático"),"50%",IF(AND(AC229="Preventivo",AD229="Manual"),"40%",IF(AND(AC229="Detectivo",AD229="Automático"),"40%",IF(AND(AC229="Detectivo",AD229="Manual"),"30%",IF(AND(AC229="Correctivo",AD229="Automático"),"35%",IF(AND(AC229="Correctivo",AD229="Manual"),"25%",""))))))</f>
        <v>40%</v>
      </c>
      <c r="AF229" s="127" t="s">
        <v>395</v>
      </c>
      <c r="AG229" s="127" t="s">
        <v>541</v>
      </c>
      <c r="AH229" s="127" t="s">
        <v>397</v>
      </c>
      <c r="AI229" s="129">
        <f>IFERROR(IF(AND(AB228="Probabilidad",AB229="Probabilidad"),(AK228-(+AK228*AE229)),IF(AB229="Probabilidad",(Q228-(+Q228*AE229)),IF(AB229="Impacto",AK228,""))),"")</f>
        <v>0.216</v>
      </c>
      <c r="AJ229" s="130" t="str">
        <f t="shared" ref="AJ229:AJ233" si="347">IFERROR(IF(AI229="","",IF(AI229&lt;=0.2,"Muy Baja",IF(AI229&lt;=0.4,"Baja",IF(AI229&lt;=0.6,"Media",IF(AI229&lt;=0.8,"Alta","Muy Alta"))))),"")</f>
        <v>Baja</v>
      </c>
      <c r="AK229" s="128">
        <f t="shared" ref="AK229:AK233" si="348">+AI229</f>
        <v>0.216</v>
      </c>
      <c r="AL229" s="130" t="str">
        <f t="shared" ref="AL229:AL233" si="349">IFERROR(IF(AM229="","",IF(AM229&lt;=0.2,"Leve",IF(AM229&lt;=0.4,"Menor",IF(AM229&lt;=0.6,"Moderado",IF(AM229&lt;=0.8,"Mayor","Catastrófico"))))),"")</f>
        <v>Leve</v>
      </c>
      <c r="AM229" s="128">
        <f>IFERROR(IF(AND(AB228="Impacto",AB229="Impacto"),(AM228-(+AM228*AE229)),IF(AB229="Impacto",($T$13-(+$T$13*AE229)),IF(AB229="Probabilidad",AM228,""))),"")</f>
        <v>0.2</v>
      </c>
      <c r="AN229" s="131" t="str">
        <f t="shared" ref="AN229:AN233" si="350">IFERROR(IF(OR(AND(AJ229="Muy Baja",AL229="Leve"),AND(AJ229="Muy Baja",AL229="Menor"),AND(AJ229="Baja",AL229="Leve")),"Bajo",IF(OR(AND(AJ229="Muy baja",AL229="Moderado"),AND(AJ229="Baja",AL229="Menor"),AND(AJ229="Baja",AL229="Moderado"),AND(AJ229="Media",AL229="Leve"),AND(AJ229="Media",AL229="Menor"),AND(AJ229="Media",AL229="Moderado"),AND(AJ229="Alta",AL229="Leve"),AND(AJ229="Alta",AL229="Menor")),"Moderado",IF(OR(AND(AJ229="Muy Baja",AL229="Mayor"),AND(AJ229="Baja",AL229="Mayor"),AND(AJ229="Media",AL229="Mayor"),AND(AJ229="Alta",AL229="Moderado"),AND(AJ229="Alta",AL229="Mayor"),AND(AJ229="Muy Alta",AL229="Leve"),AND(AJ229="Muy Alta",AL229="Menor"),AND(AJ229="Muy Alta",AL229="Moderado"),AND(AJ229="Muy Alta",AL229="Mayor")),"Alto",IF(OR(AND(AJ229="Muy Baja",AL229="Catastrófico"),AND(AJ229="Baja",AL229="Catastrófico"),AND(AJ229="Media",AL229="Catastrófico"),AND(AJ229="Alta",AL229="Catastrófico"),AND(AJ229="Muy Alta",AL229="Catastrófico")),"Extremo","")))),"")</f>
        <v>Bajo</v>
      </c>
      <c r="AO229" s="132" t="s">
        <v>35</v>
      </c>
      <c r="AP229" s="125" t="s">
        <v>1389</v>
      </c>
      <c r="AQ229" s="125" t="s">
        <v>1387</v>
      </c>
      <c r="AR229" s="125" t="s">
        <v>1390</v>
      </c>
      <c r="AS229" s="134">
        <v>45656</v>
      </c>
      <c r="AT229" s="372" t="s">
        <v>1391</v>
      </c>
      <c r="AU229" s="372" t="s">
        <v>1392</v>
      </c>
      <c r="AV229" s="372" t="s">
        <v>1387</v>
      </c>
    </row>
    <row r="230" spans="1:48" x14ac:dyDescent="0.2">
      <c r="A230" s="398"/>
      <c r="B230" s="399"/>
      <c r="C230" s="400"/>
      <c r="D230" s="400"/>
      <c r="E230" s="400"/>
      <c r="F230" s="400"/>
      <c r="G230" s="401"/>
      <c r="H230" s="400"/>
      <c r="I230" s="403"/>
      <c r="J230" s="403"/>
      <c r="K230" s="403"/>
      <c r="L230" s="403"/>
      <c r="M230" s="403"/>
      <c r="N230" s="403"/>
      <c r="O230" s="416"/>
      <c r="P230" s="417"/>
      <c r="Q230" s="405"/>
      <c r="R230" s="406"/>
      <c r="S230" s="405">
        <f>IF(NOT(ISERROR(MATCH(R230,_xlfn.ANCHORARRAY(G241),0))),Q243&amp;"Por favor no seleccionar los criterios de impacto",R230)</f>
        <v>0</v>
      </c>
      <c r="T230" s="417"/>
      <c r="U230" s="405"/>
      <c r="V230" s="418"/>
      <c r="W230" s="149">
        <v>3</v>
      </c>
      <c r="X230" s="182"/>
      <c r="Y230" s="149"/>
      <c r="Z230" s="149"/>
      <c r="AA230" s="304" t="str">
        <f t="shared" si="345"/>
        <v xml:space="preserve">  </v>
      </c>
      <c r="AB230" s="126" t="str">
        <f t="shared" si="342"/>
        <v/>
      </c>
      <c r="AC230" s="127"/>
      <c r="AD230" s="127"/>
      <c r="AE230" s="128" t="str">
        <f t="shared" si="346"/>
        <v/>
      </c>
      <c r="AF230" s="127"/>
      <c r="AG230" s="127"/>
      <c r="AH230" s="127"/>
      <c r="AI230" s="129" t="str">
        <f>IFERROR(IF(AND(AB229="Probabilidad",AB230="Probabilidad"),(AK229-(+AK229*AE230)),IF(AND(AB229="Impacto",AB230="Probabilidad"),(AK228-(+AK228*AE230)),IF(AB230="Impacto",AK229,""))),"")</f>
        <v/>
      </c>
      <c r="AJ230" s="130" t="str">
        <f t="shared" si="347"/>
        <v/>
      </c>
      <c r="AK230" s="128" t="str">
        <f t="shared" si="348"/>
        <v/>
      </c>
      <c r="AL230" s="130" t="str">
        <f t="shared" si="349"/>
        <v/>
      </c>
      <c r="AM230" s="128" t="str">
        <f>IFERROR(IF(AND(AB229="Impacto",AB230="Impacto"),(AM229-(+AM229*AE230)),IF(AND(AB229="Probabilidad",AB230="Impacto"),(AM228-(+AM228*AE230)),IF(AB230="Probabilidad",AM229,""))),"")</f>
        <v/>
      </c>
      <c r="AN230" s="131" t="str">
        <f t="shared" si="350"/>
        <v/>
      </c>
      <c r="AO230" s="132"/>
      <c r="AP230" s="125"/>
      <c r="AQ230" s="133"/>
      <c r="AR230" s="133"/>
      <c r="AS230" s="134"/>
      <c r="AT230" s="372"/>
      <c r="AU230" s="372"/>
      <c r="AV230" s="372"/>
    </row>
    <row r="231" spans="1:48" x14ac:dyDescent="0.2">
      <c r="A231" s="398"/>
      <c r="B231" s="399"/>
      <c r="C231" s="400"/>
      <c r="D231" s="400"/>
      <c r="E231" s="400"/>
      <c r="F231" s="400"/>
      <c r="G231" s="401"/>
      <c r="H231" s="400"/>
      <c r="I231" s="403"/>
      <c r="J231" s="403"/>
      <c r="K231" s="403"/>
      <c r="L231" s="403"/>
      <c r="M231" s="403"/>
      <c r="N231" s="403"/>
      <c r="O231" s="416"/>
      <c r="P231" s="417"/>
      <c r="Q231" s="405"/>
      <c r="R231" s="406"/>
      <c r="S231" s="405">
        <f>IF(NOT(ISERROR(MATCH(R231,_xlfn.ANCHORARRAY(G242),0))),Q244&amp;"Por favor no seleccionar los criterios de impacto",R231)</f>
        <v>0</v>
      </c>
      <c r="T231" s="417"/>
      <c r="U231" s="405"/>
      <c r="V231" s="418"/>
      <c r="W231" s="149">
        <v>4</v>
      </c>
      <c r="X231" s="182"/>
      <c r="Y231" s="149"/>
      <c r="Z231" s="149"/>
      <c r="AA231" s="304" t="str">
        <f t="shared" si="345"/>
        <v xml:space="preserve">  </v>
      </c>
      <c r="AB231" s="126" t="str">
        <f t="shared" si="342"/>
        <v/>
      </c>
      <c r="AC231" s="127"/>
      <c r="AD231" s="127"/>
      <c r="AE231" s="128" t="str">
        <f t="shared" si="346"/>
        <v/>
      </c>
      <c r="AF231" s="127"/>
      <c r="AG231" s="127"/>
      <c r="AH231" s="127"/>
      <c r="AI231" s="129" t="str">
        <f t="shared" ref="AI231:AI233" si="351">IFERROR(IF(AND(AB230="Probabilidad",AB231="Probabilidad"),(AK230-(+AK230*AE231)),IF(AND(AB230="Impacto",AB231="Probabilidad"),(AK229-(+AK229*AE231)),IF(AB231="Impacto",AK230,""))),"")</f>
        <v/>
      </c>
      <c r="AJ231" s="130" t="str">
        <f t="shared" si="347"/>
        <v/>
      </c>
      <c r="AK231" s="128" t="str">
        <f t="shared" si="348"/>
        <v/>
      </c>
      <c r="AL231" s="130" t="str">
        <f t="shared" si="349"/>
        <v/>
      </c>
      <c r="AM231" s="128" t="str">
        <f t="shared" ref="AM231:AM233" si="352">IFERROR(IF(AND(AB230="Impacto",AB231="Impacto"),(AM230-(+AM230*AE231)),IF(AND(AB230="Probabilidad",AB231="Impacto"),(AM229-(+AM229*AE231)),IF(AB231="Probabilidad",AM230,""))),"")</f>
        <v/>
      </c>
      <c r="AN231" s="131" t="str">
        <f>IFERROR(IF(OR(AND(AJ231="Muy Baja",AL231="Leve"),AND(AJ231="Muy Baja",AL231="Menor"),AND(AJ231="Baja",AL231="Leve")),"Bajo",IF(OR(AND(AJ231="Muy baja",AL231="Moderado"),AND(AJ231="Baja",AL231="Menor"),AND(AJ231="Baja",AL231="Moderado"),AND(AJ231="Media",AL231="Leve"),AND(AJ231="Media",AL231="Menor"),AND(AJ231="Media",AL231="Moderado"),AND(AJ231="Alta",AL231="Leve"),AND(AJ231="Alta",AL231="Menor")),"Moderado",IF(OR(AND(AJ231="Muy Baja",AL231="Mayor"),AND(AJ231="Baja",AL231="Mayor"),AND(AJ231="Media",AL231="Mayor"),AND(AJ231="Alta",AL231="Moderado"),AND(AJ231="Alta",AL231="Mayor"),AND(AJ231="Muy Alta",AL231="Leve"),AND(AJ231="Muy Alta",AL231="Menor"),AND(AJ231="Muy Alta",AL231="Moderado"),AND(AJ231="Muy Alta",AL231="Mayor")),"Alto",IF(OR(AND(AJ231="Muy Baja",AL231="Catastrófico"),AND(AJ231="Baja",AL231="Catastrófico"),AND(AJ231="Media",AL231="Catastrófico"),AND(AJ231="Alta",AL231="Catastrófico"),AND(AJ231="Muy Alta",AL231="Catastrófico")),"Extremo","")))),"")</f>
        <v/>
      </c>
      <c r="AO231" s="132"/>
      <c r="AP231" s="125"/>
      <c r="AQ231" s="133"/>
      <c r="AR231" s="133"/>
      <c r="AS231" s="134"/>
      <c r="AT231" s="372"/>
      <c r="AU231" s="372"/>
      <c r="AV231" s="372"/>
    </row>
    <row r="232" spans="1:48" x14ac:dyDescent="0.2">
      <c r="A232" s="398"/>
      <c r="B232" s="399"/>
      <c r="C232" s="400"/>
      <c r="D232" s="400"/>
      <c r="E232" s="400"/>
      <c r="F232" s="400"/>
      <c r="G232" s="401"/>
      <c r="H232" s="400"/>
      <c r="I232" s="403"/>
      <c r="J232" s="403"/>
      <c r="K232" s="403"/>
      <c r="L232" s="403"/>
      <c r="M232" s="403"/>
      <c r="N232" s="403"/>
      <c r="O232" s="416"/>
      <c r="P232" s="417"/>
      <c r="Q232" s="405"/>
      <c r="R232" s="406"/>
      <c r="S232" s="405">
        <f>IF(NOT(ISERROR(MATCH(R232,_xlfn.ANCHORARRAY(G243),0))),Q245&amp;"Por favor no seleccionar los criterios de impacto",R232)</f>
        <v>0</v>
      </c>
      <c r="T232" s="417"/>
      <c r="U232" s="405"/>
      <c r="V232" s="418"/>
      <c r="W232" s="149">
        <v>5</v>
      </c>
      <c r="X232" s="182"/>
      <c r="Y232" s="149"/>
      <c r="Z232" s="149"/>
      <c r="AA232" s="304" t="str">
        <f t="shared" si="345"/>
        <v xml:space="preserve">  </v>
      </c>
      <c r="AB232" s="126" t="str">
        <f t="shared" si="342"/>
        <v/>
      </c>
      <c r="AC232" s="127"/>
      <c r="AD232" s="127"/>
      <c r="AE232" s="128" t="str">
        <f t="shared" si="346"/>
        <v/>
      </c>
      <c r="AF232" s="127"/>
      <c r="AG232" s="127"/>
      <c r="AH232" s="127"/>
      <c r="AI232" s="129" t="str">
        <f t="shared" si="351"/>
        <v/>
      </c>
      <c r="AJ232" s="130" t="str">
        <f t="shared" si="347"/>
        <v/>
      </c>
      <c r="AK232" s="128" t="str">
        <f t="shared" si="348"/>
        <v/>
      </c>
      <c r="AL232" s="130" t="str">
        <f t="shared" si="349"/>
        <v/>
      </c>
      <c r="AM232" s="128" t="str">
        <f t="shared" si="352"/>
        <v/>
      </c>
      <c r="AN232" s="131" t="str">
        <f t="shared" si="350"/>
        <v/>
      </c>
      <c r="AO232" s="132"/>
      <c r="AP232" s="125"/>
      <c r="AQ232" s="133"/>
      <c r="AR232" s="133"/>
      <c r="AS232" s="134"/>
      <c r="AT232" s="372"/>
      <c r="AU232" s="372"/>
      <c r="AV232" s="372"/>
    </row>
    <row r="233" spans="1:48" x14ac:dyDescent="0.2">
      <c r="A233" s="398"/>
      <c r="B233" s="399"/>
      <c r="C233" s="400"/>
      <c r="D233" s="400"/>
      <c r="E233" s="400"/>
      <c r="F233" s="400"/>
      <c r="G233" s="401"/>
      <c r="H233" s="400"/>
      <c r="I233" s="404"/>
      <c r="J233" s="404"/>
      <c r="K233" s="404"/>
      <c r="L233" s="404"/>
      <c r="M233" s="404"/>
      <c r="N233" s="404"/>
      <c r="O233" s="416"/>
      <c r="P233" s="417"/>
      <c r="Q233" s="405"/>
      <c r="R233" s="406"/>
      <c r="S233" s="405">
        <f>IF(NOT(ISERROR(MATCH(R233,_xlfn.ANCHORARRAY(G244),0))),Q246&amp;"Por favor no seleccionar los criterios de impacto",R233)</f>
        <v>0</v>
      </c>
      <c r="T233" s="417"/>
      <c r="U233" s="405"/>
      <c r="V233" s="418"/>
      <c r="W233" s="149">
        <v>6</v>
      </c>
      <c r="X233" s="182"/>
      <c r="Y233" s="149"/>
      <c r="Z233" s="149"/>
      <c r="AA233" s="304" t="str">
        <f t="shared" si="345"/>
        <v xml:space="preserve">  </v>
      </c>
      <c r="AB233" s="126" t="str">
        <f t="shared" si="342"/>
        <v/>
      </c>
      <c r="AC233" s="127"/>
      <c r="AD233" s="127"/>
      <c r="AE233" s="128" t="str">
        <f t="shared" si="346"/>
        <v/>
      </c>
      <c r="AF233" s="127"/>
      <c r="AG233" s="127"/>
      <c r="AH233" s="127"/>
      <c r="AI233" s="129" t="str">
        <f t="shared" si="351"/>
        <v/>
      </c>
      <c r="AJ233" s="130" t="str">
        <f t="shared" si="347"/>
        <v/>
      </c>
      <c r="AK233" s="128" t="str">
        <f t="shared" si="348"/>
        <v/>
      </c>
      <c r="AL233" s="130" t="str">
        <f t="shared" si="349"/>
        <v/>
      </c>
      <c r="AM233" s="128" t="str">
        <f t="shared" si="352"/>
        <v/>
      </c>
      <c r="AN233" s="131" t="str">
        <f t="shared" si="350"/>
        <v/>
      </c>
      <c r="AO233" s="132"/>
      <c r="AP233" s="125"/>
      <c r="AQ233" s="133"/>
      <c r="AR233" s="133"/>
      <c r="AS233" s="134"/>
      <c r="AT233" s="372"/>
      <c r="AU233" s="372"/>
      <c r="AV233" s="372"/>
    </row>
    <row r="234" spans="1:48" ht="59.25" customHeight="1" x14ac:dyDescent="0.2">
      <c r="A234" s="398">
        <v>38</v>
      </c>
      <c r="B234" s="399" t="s">
        <v>564</v>
      </c>
      <c r="C234" s="400" t="s">
        <v>40</v>
      </c>
      <c r="D234" s="400" t="s">
        <v>1393</v>
      </c>
      <c r="E234" s="400" t="s">
        <v>1394</v>
      </c>
      <c r="F234" s="400" t="s">
        <v>1395</v>
      </c>
      <c r="G234" s="401" t="str">
        <f>+CONCATENATE(C234," ",D234," ",E234)</f>
        <v xml:space="preserve">Posibilidad de afectación reputacional Debido al Incumplimiento de los términos de ley y fechas establecidas en el Plan Anual de Auditorías  por la demora en la entrega y revisión de los informes  por parte el equipo de control interno. Debido a la Insuficiencia de personal (servidores públicos y contratistas colaboradores) en la OCI, que apoye la ejecución las actividades del PAA-Plan Anual de Auditorías, por la terminación anticipada de contratos y/o ausencia de adición y prorrogas a contratistas. </v>
      </c>
      <c r="H234" s="400" t="s">
        <v>391</v>
      </c>
      <c r="I234" s="402" t="s">
        <v>62</v>
      </c>
      <c r="J234" s="402" t="s">
        <v>1396</v>
      </c>
      <c r="K234" s="402" t="s">
        <v>1397</v>
      </c>
      <c r="L234" s="402" t="s">
        <v>1398</v>
      </c>
      <c r="M234" s="464" t="s">
        <v>65</v>
      </c>
      <c r="N234" s="464" t="s">
        <v>46</v>
      </c>
      <c r="O234" s="416">
        <v>119</v>
      </c>
      <c r="P234" s="417" t="str">
        <f>IF(O234&lt;=0,"",IF(O234&lt;=2,"Muy Baja",IF(O234&lt;=24,"Baja",IF(O234&lt;=500,"Media",IF(O234&lt;=5000,"Alta","Muy Alta")))))</f>
        <v>Media</v>
      </c>
      <c r="Q234" s="405">
        <f>IF(P234="","",IF(P234="Muy Baja",0.2,IF(P234="Baja",0.4,IF(P234="Media",0.6,IF(P234="Alta",0.8,IF(P234="Muy Alta",1,))))))</f>
        <v>0.6</v>
      </c>
      <c r="R234" s="406" t="s">
        <v>428</v>
      </c>
      <c r="S234" s="405" t="str">
        <f>IF(NOT(ISERROR(MATCH(R234,'[9]Tabla Impacto'!$B$245:$B$247,0))),'[9]Tabla Impacto'!$F$224&amp;"Por favor no seleccionar los criterios de impacto(Afectación Económica o presupuestal y Pérdida Reputacional)",R234)</f>
        <v xml:space="preserve">     El riesgo afecta la imagen de la entidad con algunos usuarios de relevancia frente al logro de los objetivos</v>
      </c>
      <c r="T234" s="407" t="s">
        <v>406</v>
      </c>
      <c r="U234" s="410">
        <f>IF(T234="","",IF(T234="Leve",0.2,IF(T234="Menor",0.4,IF(T234="Moderado",0.6,IF(T234="Mayor",0.8,IF(T234="Catastrófico",1,))))))</f>
        <v>0.6</v>
      </c>
      <c r="V234" s="413" t="str">
        <f>IF(OR(AND(P234="Muy Baja",T234="Leve"),AND(P234="Muy Baja",T234="Menor"),AND(P234="Baja",T234="Leve")),"Bajo",IF(OR(AND(P234="Muy baja",T234="Moderado"),AND(P234="Baja",T234="Menor"),AND(P234="Baja",T234="Moderado"),AND(P234="Media",T234="Leve"),AND(P234="Media",T234="Menor"),AND(P234="Media",T234="Moderado"),AND(P234="Alta",T234="Leve"),AND(P234="Alta",T234="Menor")),"Moderado",IF(OR(AND(P234="Muy Baja",T234="Mayor"),AND(P234="Baja",T234="Mayor"),AND(P234="Media",T234="Mayor"),AND(P234="Alta",T234="Moderado"),AND(P234="Alta",T234="Mayor"),AND(P234="Muy Alta",T234="Leve"),AND(P234="Muy Alta",T234="Menor"),AND(P234="Muy Alta",T234="Moderado"),AND(P234="Muy Alta",T234="Mayor")),"Alto",IF(OR(AND(P234="Muy Baja",T234="Catastrófico"),AND(P234="Baja",T234="Catastrófico"),AND(P234="Media",T234="Catastrófico"),AND(P234="Alta",T234="Catastrófico"),AND(P234="Muy Alta",T234="Catastrófico")),"Extremo",""))))</f>
        <v>Moderado</v>
      </c>
      <c r="W234" s="149">
        <v>1</v>
      </c>
      <c r="X234" s="379" t="s">
        <v>1399</v>
      </c>
      <c r="Y234" s="379" t="s">
        <v>52</v>
      </c>
      <c r="Z234" s="380" t="s">
        <v>1400</v>
      </c>
      <c r="AA234" s="174" t="str">
        <f>+CONCATENATE(X234," ",Y234," ",Z234)</f>
        <v>El jefe de Control Interno Revisa Mensualmente el profesional asignado la ejecución de las actividades programadas en el PAA con el fin de verificar su cumplimiento.
Como evidencia lista de asistencia de reunión y correo electrónico enviado al equipo auditor con el cronograma mensual de las actividades 
En caso de existir algun retraso o modificación que afecta el cumplimiento del PAA, se priorizan las actividades y los recursos de la OCI (tiempo-suficiencia de personal)  y se comunica la modificación respectiva en las sesiones del CICCI</v>
      </c>
      <c r="AB234" s="126" t="str">
        <f>IF(OR(AC234="Preventivo",AC234="Detectivo"),"Probabilidad",IF(AC234="Correctivo","Impacto",""))</f>
        <v>Probabilidad</v>
      </c>
      <c r="AC234" s="127" t="s">
        <v>398</v>
      </c>
      <c r="AD234" s="127" t="s">
        <v>394</v>
      </c>
      <c r="AE234" s="128" t="str">
        <f>IF(AND(AC234="Preventivo",AD234="Automático"),"50%",IF(AND(AC234="Preventivo",AD234="Manual"),"40%",IF(AND(AC234="Detectivo",AD234="Automático"),"40%",IF(AND(AC234="Detectivo",AD234="Manual"),"30%",IF(AND(AC234="Correctivo",AD234="Automático"),"35%",IF(AND(AC234="Correctivo",AD234="Manual"),"25%",""))))))</f>
        <v>40%</v>
      </c>
      <c r="AF234" s="127" t="s">
        <v>395</v>
      </c>
      <c r="AG234" s="127" t="s">
        <v>396</v>
      </c>
      <c r="AH234" s="127" t="s">
        <v>397</v>
      </c>
      <c r="AI234" s="129">
        <f>IFERROR(IF(AB234="Probabilidad",(Q234-(+Q234*AE234)),IF(AB234="Impacto",Q234,"")),"")</f>
        <v>0.36</v>
      </c>
      <c r="AJ234" s="130" t="str">
        <f>IFERROR(IF(AI234="","",IF(AI234&lt;=0.2,"Muy Baja",IF(AI234&lt;=0.4,"Baja",IF(AI234&lt;=0.6,"Media",IF(AI234&lt;=0.8,"Alta","Muy Alta"))))),"")</f>
        <v>Baja</v>
      </c>
      <c r="AK234" s="128">
        <f>+AI234</f>
        <v>0.36</v>
      </c>
      <c r="AL234" s="130" t="str">
        <f>IFERROR(IF(AM234="","",IF(AM234&lt;=0.2,"Leve",IF(AM234&lt;=0.4,"Menor",IF(AM234&lt;=0.6,"Moderado",IF(AM234&lt;=0.8,"Mayor","Catastrófico"))))),"")</f>
        <v>Moderado</v>
      </c>
      <c r="AM234" s="128">
        <f t="shared" ref="AM234" si="353">IFERROR(IF(AB234="Impacto",(U234-(+U234*AE234)),IF(AB234="Probabilidad",U234,"")),"")</f>
        <v>0.6</v>
      </c>
      <c r="AN234" s="131" t="str">
        <f>IFERROR(IF(OR(AND(AJ234="Muy Baja",AL234="Leve"),AND(AJ234="Muy Baja",AL234="Menor"),AND(AJ234="Baja",AL234="Leve")),"Bajo",IF(OR(AND(AJ234="Muy baja",AL234="Moderado"),AND(AJ234="Baja",AL234="Menor"),AND(AJ234="Baja",AL234="Moderado"),AND(AJ234="Media",AL234="Leve"),AND(AJ234="Media",AL234="Menor"),AND(AJ234="Media",AL234="Moderado"),AND(AJ234="Alta",AL234="Leve"),AND(AJ234="Alta",AL234="Menor")),"Moderado",IF(OR(AND(AJ234="Muy Baja",AL234="Mayor"),AND(AJ234="Baja",AL234="Mayor"),AND(AJ234="Media",AL234="Mayor"),AND(AJ234="Alta",AL234="Moderado"),AND(AJ234="Alta",AL234="Mayor"),AND(AJ234="Muy Alta",AL234="Leve"),AND(AJ234="Muy Alta",AL234="Menor"),AND(AJ234="Muy Alta",AL234="Moderado"),AND(AJ234="Muy Alta",AL234="Mayor")),"Alto",IF(OR(AND(AJ234="Muy Baja",AL234="Catastrófico"),AND(AJ234="Baja",AL234="Catastrófico"),AND(AJ234="Media",AL234="Catastrófico"),AND(AJ234="Alta",AL234="Catastrófico"),AND(AJ234="Muy Alta",AL234="Catastrófico")),"Extremo","")))),"")</f>
        <v>Moderado</v>
      </c>
      <c r="AO234" s="132" t="s">
        <v>43</v>
      </c>
      <c r="AP234" s="381" t="s">
        <v>1401</v>
      </c>
      <c r="AQ234" s="382" t="s">
        <v>1402</v>
      </c>
      <c r="AR234" s="383" t="s">
        <v>1403</v>
      </c>
      <c r="AS234" s="384" t="s">
        <v>1404</v>
      </c>
      <c r="AT234" s="400" t="s">
        <v>1405</v>
      </c>
      <c r="AU234" s="400" t="s">
        <v>1406</v>
      </c>
      <c r="AV234" s="400" t="s">
        <v>1366</v>
      </c>
    </row>
    <row r="235" spans="1:48" ht="48" customHeight="1" x14ac:dyDescent="0.2">
      <c r="A235" s="398"/>
      <c r="B235" s="399"/>
      <c r="C235" s="400"/>
      <c r="D235" s="400"/>
      <c r="E235" s="400"/>
      <c r="F235" s="400"/>
      <c r="G235" s="401"/>
      <c r="H235" s="400"/>
      <c r="I235" s="403"/>
      <c r="J235" s="403"/>
      <c r="K235" s="403"/>
      <c r="L235" s="403"/>
      <c r="M235" s="465"/>
      <c r="N235" s="465"/>
      <c r="O235" s="416"/>
      <c r="P235" s="417"/>
      <c r="Q235" s="405"/>
      <c r="R235" s="406"/>
      <c r="S235" s="405">
        <f>IF(NOT(ISERROR(MATCH(R235,_xlfn.ANCHORARRAY(G246),0))),Q248&amp;"Por favor no seleccionar los criterios de impacto",R235)</f>
        <v>0</v>
      </c>
      <c r="T235" s="408"/>
      <c r="U235" s="411"/>
      <c r="V235" s="414"/>
      <c r="W235" s="149">
        <v>2</v>
      </c>
      <c r="X235" s="379" t="s">
        <v>1407</v>
      </c>
      <c r="Y235" s="385" t="s">
        <v>52</v>
      </c>
      <c r="Z235" s="380" t="s">
        <v>1408</v>
      </c>
      <c r="AA235" s="174" t="str">
        <f t="shared" ref="AA235:AA245" si="354">+CONCATENATE(X235," ",Y235," ",Z235)</f>
        <v>El profesional  designado por Jefe de Control Interno Revisa Trimestralmente, el cumplimiento de las actividades programadas en las diferentes herrramientas de gestión del proceso CEI  que deben reportarse internamente conforme a su frencuencia de entrega. Como evidencia se cuenta con el reporte trimestral que se presenta al proceso DESI.
En caso de identificar actividades incumplidas se alertará por correo electrónico institucional a Jefe OCI con , para tomar las medidas pertinentes en cuanto dar prioridad al entregable o si es posible reprogramar la actividad.
Como  evidencia las alertas generadas por correo electrónico institucional  informando a Jefe OCI y al colaborador del Equipo OCI.</v>
      </c>
      <c r="AB235" s="126" t="str">
        <f>IF(OR(AC235="Preventivo",AC235="Detectivo"),"Probabilidad",IF(AC235="Correctivo","Impacto",""))</f>
        <v>Probabilidad</v>
      </c>
      <c r="AC235" s="127" t="s">
        <v>398</v>
      </c>
      <c r="AD235" s="127" t="s">
        <v>394</v>
      </c>
      <c r="AE235" s="128" t="str">
        <f t="shared" ref="AE235:AE239" si="355">IF(AND(AC235="Preventivo",AD235="Automático"),"50%",IF(AND(AC235="Preventivo",AD235="Manual"),"40%",IF(AND(AC235="Detectivo",AD235="Automático"),"40%",IF(AND(AC235="Detectivo",AD235="Manual"),"30%",IF(AND(AC235="Correctivo",AD235="Automático"),"35%",IF(AND(AC235="Correctivo",AD235="Manual"),"25%",""))))))</f>
        <v>40%</v>
      </c>
      <c r="AF235" s="127" t="s">
        <v>395</v>
      </c>
      <c r="AG235" s="127" t="s">
        <v>396</v>
      </c>
      <c r="AH235" s="127" t="s">
        <v>397</v>
      </c>
      <c r="AI235" s="129">
        <f>IFERROR(IF(AND(AB234="Probabilidad",AB235="Probabilidad"),(AK234-(+AK234*AE235)),IF(AB235="Probabilidad",(Q234-(+Q234*AE235)),IF(AB235="Impacto",AK234,""))),"")</f>
        <v>0.216</v>
      </c>
      <c r="AJ235" s="130" t="str">
        <f t="shared" ref="AJ235:AJ239" si="356">IFERROR(IF(AI235="","",IF(AI235&lt;=0.2,"Muy Baja",IF(AI235&lt;=0.4,"Baja",IF(AI235&lt;=0.6,"Media",IF(AI235&lt;=0.8,"Alta","Muy Alta"))))),"")</f>
        <v>Baja</v>
      </c>
      <c r="AK235" s="128">
        <f t="shared" ref="AK235:AK239" si="357">+AI235</f>
        <v>0.216</v>
      </c>
      <c r="AL235" s="130" t="str">
        <f t="shared" ref="AL235:AL239" si="358">IFERROR(IF(AM235="","",IF(AM235&lt;=0.2,"Leve",IF(AM235&lt;=0.4,"Menor",IF(AM235&lt;=0.6,"Moderado",IF(AM235&lt;=0.8,"Mayor","Catastrófico"))))),"")</f>
        <v>Moderado</v>
      </c>
      <c r="AM235" s="128">
        <f t="shared" ref="AM235" si="359">IFERROR(IF(AND(AB234="Impacto",AB235="Impacto"),(AM234-(+AM234*AE235)),IF(AB235="Impacto",($U$10-(+$U$10*AE235)),IF(AB235="Probabilidad",AM234,""))),"")</f>
        <v>0.6</v>
      </c>
      <c r="AN235" s="131" t="str">
        <f t="shared" ref="AN235:AN236" si="360">IFERROR(IF(OR(AND(AJ235="Muy Baja",AL235="Leve"),AND(AJ235="Muy Baja",AL235="Menor"),AND(AJ235="Baja",AL235="Leve")),"Bajo",IF(OR(AND(AJ235="Muy baja",AL235="Moderado"),AND(AJ235="Baja",AL235="Menor"),AND(AJ235="Baja",AL235="Moderado"),AND(AJ235="Media",AL235="Leve"),AND(AJ235="Media",AL235="Menor"),AND(AJ235="Media",AL235="Moderado"),AND(AJ235="Alta",AL235="Leve"),AND(AJ235="Alta",AL235="Menor")),"Moderado",IF(OR(AND(AJ235="Muy Baja",AL235="Mayor"),AND(AJ235="Baja",AL235="Mayor"),AND(AJ235="Media",AL235="Mayor"),AND(AJ235="Alta",AL235="Moderado"),AND(AJ235="Alta",AL235="Mayor"),AND(AJ235="Muy Alta",AL235="Leve"),AND(AJ235="Muy Alta",AL235="Menor"),AND(AJ235="Muy Alta",AL235="Moderado"),AND(AJ235="Muy Alta",AL235="Mayor")),"Alto",IF(OR(AND(AJ235="Muy Baja",AL235="Catastrófico"),AND(AJ235="Baja",AL235="Catastrófico"),AND(AJ235="Media",AL235="Catastrófico"),AND(AJ235="Alta",AL235="Catastrófico"),AND(AJ235="Muy Alta",AL235="Catastrófico")),"Extremo","")))),"")</f>
        <v>Moderado</v>
      </c>
      <c r="AO235" s="132"/>
      <c r="AP235" s="125"/>
      <c r="AQ235" s="133"/>
      <c r="AR235" s="125"/>
      <c r="AS235" s="134"/>
      <c r="AT235" s="400"/>
      <c r="AU235" s="400"/>
      <c r="AV235" s="400"/>
    </row>
    <row r="236" spans="1:48" x14ac:dyDescent="0.2">
      <c r="A236" s="398"/>
      <c r="B236" s="399"/>
      <c r="C236" s="400"/>
      <c r="D236" s="400"/>
      <c r="E236" s="400"/>
      <c r="F236" s="400"/>
      <c r="G236" s="401"/>
      <c r="H236" s="400"/>
      <c r="I236" s="403"/>
      <c r="J236" s="403"/>
      <c r="K236" s="403"/>
      <c r="L236" s="403"/>
      <c r="M236" s="465"/>
      <c r="N236" s="465"/>
      <c r="O236" s="416"/>
      <c r="P236" s="417"/>
      <c r="Q236" s="405"/>
      <c r="R236" s="406"/>
      <c r="S236" s="405">
        <f>IF(NOT(ISERROR(MATCH(R236,_xlfn.ANCHORARRAY(G247),0))),Q249&amp;"Por favor no seleccionar los criterios de impacto",R236)</f>
        <v>0</v>
      </c>
      <c r="T236" s="408"/>
      <c r="U236" s="411"/>
      <c r="V236" s="414"/>
      <c r="W236" s="149">
        <v>3</v>
      </c>
      <c r="X236" s="182"/>
      <c r="Y236" s="149"/>
      <c r="Z236" s="149"/>
      <c r="AA236" s="304" t="str">
        <f t="shared" si="354"/>
        <v xml:space="preserve">  </v>
      </c>
      <c r="AB236" s="126" t="str">
        <f>IF(OR(AC236="Preventivo",AC236="Detectivo"),"Probabilidad",IF(AC236="Correctivo","Impacto",""))</f>
        <v/>
      </c>
      <c r="AC236" s="127"/>
      <c r="AD236" s="127"/>
      <c r="AE236" s="128" t="str">
        <f t="shared" si="355"/>
        <v/>
      </c>
      <c r="AF236" s="127"/>
      <c r="AG236" s="127"/>
      <c r="AH236" s="127"/>
      <c r="AI236" s="129" t="str">
        <f>IFERROR(IF(AND(AB235="Probabilidad",AB236="Probabilidad"),(AK235-(+AK235*AE236)),IF(AND(AB235="Impacto",AB236="Probabilidad"),(AK234-(+AK234*AE236)),IF(AB236="Impacto",AK235,""))),"")</f>
        <v/>
      </c>
      <c r="AJ236" s="130" t="str">
        <f t="shared" si="356"/>
        <v/>
      </c>
      <c r="AK236" s="128" t="str">
        <f t="shared" si="357"/>
        <v/>
      </c>
      <c r="AL236" s="130" t="str">
        <f t="shared" si="358"/>
        <v/>
      </c>
      <c r="AM236" s="128" t="str">
        <f t="shared" ref="AM236:AM239" si="361">IFERROR(IF(AND(AB235="Impacto",AB236="Impacto"),(AM235-(+AM235*AE236)),IF(AND(AB235="Probabilidad",AB236="Impacto"),(AM234-(+AM234*AE236)),IF(AB236="Probabilidad",AM235,""))),"")</f>
        <v/>
      </c>
      <c r="AN236" s="131" t="str">
        <f t="shared" si="360"/>
        <v/>
      </c>
      <c r="AO236" s="132"/>
      <c r="AP236" s="125"/>
      <c r="AQ236" s="133"/>
      <c r="AR236" s="133"/>
      <c r="AS236" s="134"/>
      <c r="AT236" s="400"/>
      <c r="AU236" s="400"/>
      <c r="AV236" s="400"/>
    </row>
    <row r="237" spans="1:48" x14ac:dyDescent="0.2">
      <c r="A237" s="398"/>
      <c r="B237" s="399"/>
      <c r="C237" s="400"/>
      <c r="D237" s="400"/>
      <c r="E237" s="400"/>
      <c r="F237" s="400"/>
      <c r="G237" s="401"/>
      <c r="H237" s="400"/>
      <c r="I237" s="403"/>
      <c r="J237" s="403"/>
      <c r="K237" s="403"/>
      <c r="L237" s="403"/>
      <c r="M237" s="465"/>
      <c r="N237" s="465"/>
      <c r="O237" s="416"/>
      <c r="P237" s="417"/>
      <c r="Q237" s="405"/>
      <c r="R237" s="406"/>
      <c r="S237" s="405">
        <f>IF(NOT(ISERROR(MATCH(R237,_xlfn.ANCHORARRAY(G248),0))),Q250&amp;"Por favor no seleccionar los criterios de impacto",R237)</f>
        <v>0</v>
      </c>
      <c r="T237" s="408"/>
      <c r="U237" s="411"/>
      <c r="V237" s="414"/>
      <c r="W237" s="149">
        <v>4</v>
      </c>
      <c r="X237" s="182"/>
      <c r="Y237" s="149"/>
      <c r="Z237" s="149"/>
      <c r="AA237" s="304" t="str">
        <f t="shared" si="354"/>
        <v xml:space="preserve">  </v>
      </c>
      <c r="AB237" s="126" t="str">
        <f t="shared" ref="AB237:AB239" si="362">IF(OR(AC237="Preventivo",AC237="Detectivo"),"Probabilidad",IF(AC237="Correctivo","Impacto",""))</f>
        <v/>
      </c>
      <c r="AC237" s="127"/>
      <c r="AD237" s="127"/>
      <c r="AE237" s="128" t="str">
        <f t="shared" si="355"/>
        <v/>
      </c>
      <c r="AF237" s="127"/>
      <c r="AG237" s="127"/>
      <c r="AH237" s="127"/>
      <c r="AI237" s="129" t="str">
        <f t="shared" ref="AI237:AI239" si="363">IFERROR(IF(AND(AB236="Probabilidad",AB237="Probabilidad"),(AK236-(+AK236*AE237)),IF(AND(AB236="Impacto",AB237="Probabilidad"),(AK235-(+AK235*AE237)),IF(AB237="Impacto",AK236,""))),"")</f>
        <v/>
      </c>
      <c r="AJ237" s="130" t="str">
        <f t="shared" si="356"/>
        <v/>
      </c>
      <c r="AK237" s="128" t="str">
        <f t="shared" si="357"/>
        <v/>
      </c>
      <c r="AL237" s="130" t="str">
        <f t="shared" si="358"/>
        <v/>
      </c>
      <c r="AM237" s="128" t="str">
        <f t="shared" si="361"/>
        <v/>
      </c>
      <c r="AN237" s="131" t="str">
        <f>IFERROR(IF(OR(AND(AJ237="Muy Baja",AL237="Leve"),AND(AJ237="Muy Baja",AL237="Menor"),AND(AJ237="Baja",AL237="Leve")),"Bajo",IF(OR(AND(AJ237="Muy baja",AL237="Moderado"),AND(AJ237="Baja",AL237="Menor"),AND(AJ237="Baja",AL237="Moderado"),AND(AJ237="Media",AL237="Leve"),AND(AJ237="Media",AL237="Menor"),AND(AJ237="Media",AL237="Moderado"),AND(AJ237="Alta",AL237="Leve"),AND(AJ237="Alta",AL237="Menor")),"Moderado",IF(OR(AND(AJ237="Muy Baja",AL237="Mayor"),AND(AJ237="Baja",AL237="Mayor"),AND(AJ237="Media",AL237="Mayor"),AND(AJ237="Alta",AL237="Moderado"),AND(AJ237="Alta",AL237="Mayor"),AND(AJ237="Muy Alta",AL237="Leve"),AND(AJ237="Muy Alta",AL237="Menor"),AND(AJ237="Muy Alta",AL237="Moderado"),AND(AJ237="Muy Alta",AL237="Mayor")),"Alto",IF(OR(AND(AJ237="Muy Baja",AL237="Catastrófico"),AND(AJ237="Baja",AL237="Catastrófico"),AND(AJ237="Media",AL237="Catastrófico"),AND(AJ237="Alta",AL237="Catastrófico"),AND(AJ237="Muy Alta",AL237="Catastrófico")),"Extremo","")))),"")</f>
        <v/>
      </c>
      <c r="AO237" s="132"/>
      <c r="AP237" s="125"/>
      <c r="AQ237" s="133"/>
      <c r="AR237" s="133"/>
      <c r="AS237" s="134"/>
      <c r="AT237" s="400"/>
      <c r="AU237" s="400"/>
      <c r="AV237" s="400"/>
    </row>
    <row r="238" spans="1:48" x14ac:dyDescent="0.2">
      <c r="A238" s="398"/>
      <c r="B238" s="399"/>
      <c r="C238" s="400"/>
      <c r="D238" s="400"/>
      <c r="E238" s="400"/>
      <c r="F238" s="400"/>
      <c r="G238" s="401"/>
      <c r="H238" s="400"/>
      <c r="I238" s="403"/>
      <c r="J238" s="403"/>
      <c r="K238" s="403"/>
      <c r="L238" s="403"/>
      <c r="M238" s="465"/>
      <c r="N238" s="465"/>
      <c r="O238" s="416"/>
      <c r="P238" s="417"/>
      <c r="Q238" s="405"/>
      <c r="R238" s="406"/>
      <c r="S238" s="405">
        <f>IF(NOT(ISERROR(MATCH(R238,_xlfn.ANCHORARRAY(G249),0))),Q251&amp;"Por favor no seleccionar los criterios de impacto",R238)</f>
        <v>0</v>
      </c>
      <c r="T238" s="408"/>
      <c r="U238" s="411"/>
      <c r="V238" s="414"/>
      <c r="W238" s="149">
        <v>5</v>
      </c>
      <c r="X238" s="182"/>
      <c r="Y238" s="149"/>
      <c r="Z238" s="149"/>
      <c r="AA238" s="304" t="str">
        <f t="shared" si="354"/>
        <v xml:space="preserve">  </v>
      </c>
      <c r="AB238" s="126" t="str">
        <f t="shared" si="362"/>
        <v/>
      </c>
      <c r="AC238" s="127"/>
      <c r="AD238" s="127"/>
      <c r="AE238" s="128" t="str">
        <f t="shared" si="355"/>
        <v/>
      </c>
      <c r="AF238" s="127"/>
      <c r="AG238" s="127"/>
      <c r="AH238" s="127"/>
      <c r="AI238" s="129" t="str">
        <f t="shared" si="363"/>
        <v/>
      </c>
      <c r="AJ238" s="130" t="str">
        <f t="shared" si="356"/>
        <v/>
      </c>
      <c r="AK238" s="128" t="str">
        <f t="shared" si="357"/>
        <v/>
      </c>
      <c r="AL238" s="130" t="str">
        <f t="shared" si="358"/>
        <v/>
      </c>
      <c r="AM238" s="128" t="str">
        <f t="shared" si="361"/>
        <v/>
      </c>
      <c r="AN238" s="131" t="str">
        <f t="shared" ref="AN238:AN239" si="364">IFERROR(IF(OR(AND(AJ238="Muy Baja",AL238="Leve"),AND(AJ238="Muy Baja",AL238="Menor"),AND(AJ238="Baja",AL238="Leve")),"Bajo",IF(OR(AND(AJ238="Muy baja",AL238="Moderado"),AND(AJ238="Baja",AL238="Menor"),AND(AJ238="Baja",AL238="Moderado"),AND(AJ238="Media",AL238="Leve"),AND(AJ238="Media",AL238="Menor"),AND(AJ238="Media",AL238="Moderado"),AND(AJ238="Alta",AL238="Leve"),AND(AJ238="Alta",AL238="Menor")),"Moderado",IF(OR(AND(AJ238="Muy Baja",AL238="Mayor"),AND(AJ238="Baja",AL238="Mayor"),AND(AJ238="Media",AL238="Mayor"),AND(AJ238="Alta",AL238="Moderado"),AND(AJ238="Alta",AL238="Mayor"),AND(AJ238="Muy Alta",AL238="Leve"),AND(AJ238="Muy Alta",AL238="Menor"),AND(AJ238="Muy Alta",AL238="Moderado"),AND(AJ238="Muy Alta",AL238="Mayor")),"Alto",IF(OR(AND(AJ238="Muy Baja",AL238="Catastrófico"),AND(AJ238="Baja",AL238="Catastrófico"),AND(AJ238="Media",AL238="Catastrófico"),AND(AJ238="Alta",AL238="Catastrófico"),AND(AJ238="Muy Alta",AL238="Catastrófico")),"Extremo","")))),"")</f>
        <v/>
      </c>
      <c r="AO238" s="132"/>
      <c r="AP238" s="125"/>
      <c r="AQ238" s="133"/>
      <c r="AR238" s="133"/>
      <c r="AS238" s="134"/>
      <c r="AT238" s="400"/>
      <c r="AU238" s="400"/>
      <c r="AV238" s="400"/>
    </row>
    <row r="239" spans="1:48" x14ac:dyDescent="0.2">
      <c r="A239" s="398"/>
      <c r="B239" s="399"/>
      <c r="C239" s="400"/>
      <c r="D239" s="400"/>
      <c r="E239" s="400"/>
      <c r="F239" s="400"/>
      <c r="G239" s="401"/>
      <c r="H239" s="400"/>
      <c r="I239" s="404"/>
      <c r="J239" s="404"/>
      <c r="K239" s="404"/>
      <c r="L239" s="404"/>
      <c r="M239" s="466"/>
      <c r="N239" s="466"/>
      <c r="O239" s="416"/>
      <c r="P239" s="417"/>
      <c r="Q239" s="405"/>
      <c r="R239" s="406"/>
      <c r="S239" s="405">
        <f>IF(NOT(ISERROR(MATCH(R239,_xlfn.ANCHORARRAY(G250),0))),Q252&amp;"Por favor no seleccionar los criterios de impacto",R239)</f>
        <v>0</v>
      </c>
      <c r="T239" s="409"/>
      <c r="U239" s="412"/>
      <c r="V239" s="415"/>
      <c r="W239" s="149">
        <v>6</v>
      </c>
      <c r="X239" s="149"/>
      <c r="Y239" s="149"/>
      <c r="Z239" s="149"/>
      <c r="AA239" s="304" t="str">
        <f t="shared" si="354"/>
        <v xml:space="preserve">  </v>
      </c>
      <c r="AB239" s="126" t="str">
        <f t="shared" si="362"/>
        <v/>
      </c>
      <c r="AC239" s="127"/>
      <c r="AD239" s="127"/>
      <c r="AE239" s="128" t="str">
        <f t="shared" si="355"/>
        <v/>
      </c>
      <c r="AF239" s="127"/>
      <c r="AG239" s="127"/>
      <c r="AH239" s="127"/>
      <c r="AI239" s="129" t="str">
        <f t="shared" si="363"/>
        <v/>
      </c>
      <c r="AJ239" s="130" t="str">
        <f t="shared" si="356"/>
        <v/>
      </c>
      <c r="AK239" s="128" t="str">
        <f t="shared" si="357"/>
        <v/>
      </c>
      <c r="AL239" s="130" t="str">
        <f t="shared" si="358"/>
        <v/>
      </c>
      <c r="AM239" s="128" t="str">
        <f t="shared" si="361"/>
        <v/>
      </c>
      <c r="AN239" s="131" t="str">
        <f t="shared" si="364"/>
        <v/>
      </c>
      <c r="AO239" s="132"/>
      <c r="AP239" s="125"/>
      <c r="AQ239" s="133"/>
      <c r="AR239" s="133"/>
      <c r="AS239" s="134"/>
      <c r="AT239" s="400"/>
      <c r="AU239" s="400"/>
      <c r="AV239" s="400"/>
    </row>
    <row r="240" spans="1:48" ht="120" x14ac:dyDescent="0.2">
      <c r="A240" s="398">
        <v>39</v>
      </c>
      <c r="B240" s="399" t="s">
        <v>564</v>
      </c>
      <c r="C240" s="495" t="s">
        <v>40</v>
      </c>
      <c r="D240" s="495" t="s">
        <v>1409</v>
      </c>
      <c r="E240" s="495" t="s">
        <v>1410</v>
      </c>
      <c r="F240" s="495" t="s">
        <v>1411</v>
      </c>
      <c r="G240" s="401" t="str">
        <f>+CONCATENATE(C240," ",D234," ",E240)</f>
        <v>Posibilidad de afectación reputacional Debido al Incumplimiento de los términos de ley y fechas establecidas en el Plan Anual de Auditorías  por la demora en la entrega y revisión de los informes  por parte el equipo de control interno. Por debilidades en las competencias tecnicas del equipo de auditoría</v>
      </c>
      <c r="H240" s="400" t="s">
        <v>1092</v>
      </c>
      <c r="I240" s="402" t="s">
        <v>59</v>
      </c>
      <c r="J240" s="464" t="s">
        <v>1412</v>
      </c>
      <c r="K240" s="464" t="s">
        <v>1397</v>
      </c>
      <c r="L240" s="464" t="s">
        <v>1413</v>
      </c>
      <c r="M240" s="464" t="s">
        <v>65</v>
      </c>
      <c r="N240" s="464" t="s">
        <v>46</v>
      </c>
      <c r="O240" s="416">
        <v>50</v>
      </c>
      <c r="P240" s="417" t="str">
        <f>IF(O240&lt;=0,"",IF(O240&lt;=2,"Muy Baja",IF(O240&lt;=24,"Baja",IF(O240&lt;=500,"Media",IF(O240&lt;=5000,"Alta","Muy Alta")))))</f>
        <v>Media</v>
      </c>
      <c r="Q240" s="405">
        <f>IF(P240="","",IF(P240="Muy Baja",0.2,IF(P240="Baja",0.4,IF(P240="Media",0.6,IF(P240="Alta",0.8,IF(P240="Muy Alta",1,))))))</f>
        <v>0.6</v>
      </c>
      <c r="R240" s="406" t="s">
        <v>428</v>
      </c>
      <c r="S240" s="405" t="str">
        <f>IF(NOT(ISERROR(MATCH(R240,'[9]Tabla Impacto'!$B$245:$B$247,0))),'[9]Tabla Impacto'!$F$224&amp;"Por favor no seleccionar los criterios de impacto(Afectación Económica o presupuestal y Pérdida Reputacional)",R240)</f>
        <v xml:space="preserve">     El riesgo afecta la imagen de la entidad con algunos usuarios de relevancia frente al logro de los objetivos</v>
      </c>
      <c r="T240" s="407" t="str">
        <f>IF(OR(S240='[9]Tabla Impacto'!$C$12,S240='[9]Tabla Impacto'!$D$12),"Leve",IF(OR(S240='[9]Tabla Impacto'!$C$13,S240='[9]Tabla Impacto'!$D$13),"Menor",IF(OR(S240='[9]Tabla Impacto'!$C$14,S240='[9]Tabla Impacto'!$D$14),"Moderado",IF(OR(S240='[9]Tabla Impacto'!$C$15,S240='[9]Tabla Impacto'!$D$15),"Mayor",IF(OR(S240='[9]Tabla Impacto'!$C$16,S240='[9]Tabla Impacto'!$D$16),"Catastrófico","")))))</f>
        <v>Moderado</v>
      </c>
      <c r="U240" s="410">
        <f>IF(T240="","",IF(T240="Leve",0.2,IF(T240="Menor",0.4,IF(T240="Moderado",0.6,IF(T240="Mayor",0.8,IF(T240="Catastrófico",1,))))))</f>
        <v>0.6</v>
      </c>
      <c r="V240" s="413" t="str">
        <f>IF(OR(AND(P240="Muy Baja",T240="Leve"),AND(P240="Muy Baja",T240="Menor"),AND(P240="Baja",T240="Leve")),"Bajo",IF(OR(AND(P240="Muy baja",T240="Moderado"),AND(P240="Baja",T240="Menor"),AND(P240="Baja",T240="Moderado"),AND(P240="Media",T240="Leve"),AND(P240="Media",T240="Menor"),AND(P240="Media",T240="Moderado"),AND(P240="Alta",T240="Leve"),AND(P240="Alta",T240="Menor")),"Moderado",IF(OR(AND(P240="Muy Baja",T240="Mayor"),AND(P240="Baja",T240="Mayor"),AND(P240="Media",T240="Mayor"),AND(P240="Alta",T240="Moderado"),AND(P240="Alta",T240="Mayor"),AND(P240="Muy Alta",T240="Leve"),AND(P240="Muy Alta",T240="Menor"),AND(P240="Muy Alta",T240="Moderado"),AND(P240="Muy Alta",T240="Mayor")),"Alto",IF(OR(AND(P240="Muy Baja",T240="Catastrófico"),AND(P240="Baja",T240="Catastrófico"),AND(P240="Media",T240="Catastrófico"),AND(P240="Alta",T240="Catastrófico"),AND(P240="Muy Alta",T240="Catastrófico")),"Extremo",""))))</f>
        <v>Moderado</v>
      </c>
      <c r="W240" s="149">
        <v>1</v>
      </c>
      <c r="X240" s="379" t="s">
        <v>1399</v>
      </c>
      <c r="Y240" s="385" t="s">
        <v>52</v>
      </c>
      <c r="Z240" s="380" t="s">
        <v>1414</v>
      </c>
      <c r="AA240" s="304" t="str">
        <f t="shared" si="354"/>
        <v xml:space="preserve">El jefe de Control Interno Revisa Los resultados de auditoria / seguimientos de ley antes se la emisión del informe final.Como evidencia deja correo electrónico, comentarios en ORFEO o grabación de reuniones de supervisión de trabajos de auditoría </v>
      </c>
      <c r="AB240" s="126" t="str">
        <f>IF(OR(AC240="Preventivo",AC240="Detectivo"),"Probabilidad",IF(AC240="Correctivo","Impacto",""))</f>
        <v>Probabilidad</v>
      </c>
      <c r="AC240" s="127" t="s">
        <v>398</v>
      </c>
      <c r="AD240" s="127" t="s">
        <v>394</v>
      </c>
      <c r="AE240" s="128" t="str">
        <f>IF(AND(AC240="Preventivo",AD240="Automático"),"50%",IF(AND(AC240="Preventivo",AD240="Manual"),"40%",IF(AND(AC240="Detectivo",AD240="Automático"),"40%",IF(AND(AC240="Detectivo",AD240="Manual"),"30%",IF(AND(AC240="Correctivo",AD240="Automático"),"35%",IF(AND(AC240="Correctivo",AD240="Manual"),"25%",""))))))</f>
        <v>40%</v>
      </c>
      <c r="AF240" s="127" t="s">
        <v>395</v>
      </c>
      <c r="AG240" s="127" t="s">
        <v>396</v>
      </c>
      <c r="AH240" s="127" t="s">
        <v>397</v>
      </c>
      <c r="AI240" s="129">
        <f>IFERROR(IF(AB240="Probabilidad",(Q240-(+Q240*AE240)),IF(AB240="Impacto",Q240,"")),"")</f>
        <v>0.36</v>
      </c>
      <c r="AJ240" s="130" t="str">
        <f>IFERROR(IF(AI240="","",IF(AI240&lt;=0.2,"Muy Baja",IF(AI240&lt;=0.4,"Baja",IF(AI240&lt;=0.6,"Media",IF(AI240&lt;=0.8,"Alta","Muy Alta"))))),"")</f>
        <v>Baja</v>
      </c>
      <c r="AK240" s="128">
        <f>+AI240</f>
        <v>0.36</v>
      </c>
      <c r="AL240" s="130" t="str">
        <f>IFERROR(IF(AM240="","",IF(AM240&lt;=0.2,"Leve",IF(AM240&lt;=0.4,"Menor",IF(AM240&lt;=0.6,"Moderado",IF(AM240&lt;=0.8,"Mayor","Catastrófico"))))),"")</f>
        <v>Moderado</v>
      </c>
      <c r="AM240" s="128">
        <f t="shared" ref="AM240" si="365">IFERROR(IF(AB240="Impacto",(U240-(+U240*AE240)),IF(AB240="Probabilidad",U240,"")),"")</f>
        <v>0.6</v>
      </c>
      <c r="AN240" s="131" t="str">
        <f>IFERROR(IF(OR(AND(AJ240="Muy Baja",AL240="Leve"),AND(AJ240="Muy Baja",AL240="Menor"),AND(AJ240="Baja",AL240="Leve")),"Bajo",IF(OR(AND(AJ240="Muy baja",AL240="Moderado"),AND(AJ240="Baja",AL240="Menor"),AND(AJ240="Baja",AL240="Moderado"),AND(AJ240="Media",AL240="Leve"),AND(AJ240="Media",AL240="Menor"),AND(AJ240="Media",AL240="Moderado"),AND(AJ240="Alta",AL240="Leve"),AND(AJ240="Alta",AL240="Menor")),"Moderado",IF(OR(AND(AJ240="Muy Baja",AL240="Mayor"),AND(AJ240="Baja",AL240="Mayor"),AND(AJ240="Media",AL240="Mayor"),AND(AJ240="Alta",AL240="Moderado"),AND(AJ240="Alta",AL240="Mayor"),AND(AJ240="Muy Alta",AL240="Leve"),AND(AJ240="Muy Alta",AL240="Menor"),AND(AJ240="Muy Alta",AL240="Moderado"),AND(AJ240="Muy Alta",AL240="Mayor")),"Alto",IF(OR(AND(AJ240="Muy Baja",AL240="Catastrófico"),AND(AJ240="Baja",AL240="Catastrófico"),AND(AJ240="Media",AL240="Catastrófico"),AND(AJ240="Alta",AL240="Catastrófico"),AND(AJ240="Muy Alta",AL240="Catastrófico")),"Extremo","")))),"")</f>
        <v>Moderado</v>
      </c>
      <c r="AO240" s="132" t="s">
        <v>43</v>
      </c>
      <c r="AP240" s="386" t="s">
        <v>1415</v>
      </c>
      <c r="AQ240" s="382" t="s">
        <v>1361</v>
      </c>
      <c r="AR240" s="332" t="s">
        <v>1416</v>
      </c>
      <c r="AS240" s="368" t="s">
        <v>1417</v>
      </c>
      <c r="AT240" s="400" t="s">
        <v>1418</v>
      </c>
      <c r="AU240" s="400" t="s">
        <v>1419</v>
      </c>
      <c r="AV240" s="400" t="s">
        <v>1361</v>
      </c>
    </row>
    <row r="241" spans="1:48" x14ac:dyDescent="0.2">
      <c r="A241" s="398"/>
      <c r="B241" s="399"/>
      <c r="C241" s="495"/>
      <c r="D241" s="495"/>
      <c r="E241" s="495"/>
      <c r="F241" s="495"/>
      <c r="G241" s="401"/>
      <c r="H241" s="400"/>
      <c r="I241" s="403"/>
      <c r="J241" s="465"/>
      <c r="K241" s="465"/>
      <c r="L241" s="465"/>
      <c r="M241" s="465"/>
      <c r="N241" s="465"/>
      <c r="O241" s="416"/>
      <c r="P241" s="417"/>
      <c r="Q241" s="405"/>
      <c r="R241" s="406"/>
      <c r="S241" s="405">
        <f>IF(NOT(ISERROR(MATCH(R241,_xlfn.ANCHORARRAY(G252),0))),Q254&amp;"Por favor no seleccionar los criterios de impacto",R241)</f>
        <v>0</v>
      </c>
      <c r="T241" s="408"/>
      <c r="U241" s="411"/>
      <c r="V241" s="414"/>
      <c r="W241" s="149">
        <v>2</v>
      </c>
      <c r="X241" s="345"/>
      <c r="Y241" s="149"/>
      <c r="Z241" s="346"/>
      <c r="AA241" s="304" t="str">
        <f t="shared" si="354"/>
        <v xml:space="preserve">  </v>
      </c>
      <c r="AB241" s="126" t="str">
        <f>IF(OR(AC241="Preventivo",AC241="Detectivo"),"Probabilidad",IF(AC241="Correctivo","Impacto",""))</f>
        <v/>
      </c>
      <c r="AC241" s="127"/>
      <c r="AD241" s="127"/>
      <c r="AE241" s="128" t="str">
        <f t="shared" ref="AE241:AE245" si="366">IF(AND(AC241="Preventivo",AD241="Automático"),"50%",IF(AND(AC241="Preventivo",AD241="Manual"),"40%",IF(AND(AC241="Detectivo",AD241="Automático"),"40%",IF(AND(AC241="Detectivo",AD241="Manual"),"30%",IF(AND(AC241="Correctivo",AD241="Automático"),"35%",IF(AND(AC241="Correctivo",AD241="Manual"),"25%",""))))))</f>
        <v/>
      </c>
      <c r="AF241" s="127"/>
      <c r="AG241" s="127"/>
      <c r="AH241" s="127"/>
      <c r="AI241" s="129" t="str">
        <f>IFERROR(IF(AND(AB240="Probabilidad",AB241="Probabilidad"),(AK240-(+AK240*AE241)),IF(AB241="Probabilidad",(Q240-(+Q240*AE241)),IF(AB241="Impacto",AK240,""))),"")</f>
        <v/>
      </c>
      <c r="AJ241" s="130" t="str">
        <f t="shared" ref="AJ241:AJ243" si="367">IFERROR(IF(AI241="","",IF(AI241&lt;=0.2,"Muy Baja",IF(AI241&lt;=0.4,"Baja",IF(AI241&lt;=0.6,"Media",IF(AI241&lt;=0.8,"Alta","Muy Alta"))))),"")</f>
        <v/>
      </c>
      <c r="AK241" s="128" t="str">
        <f t="shared" ref="AK241:AK245" si="368">+AI241</f>
        <v/>
      </c>
      <c r="AL241" s="130" t="str">
        <f t="shared" ref="AL241:AL245" si="369">IFERROR(IF(AM241="","",IF(AM241&lt;=0.2,"Leve",IF(AM241&lt;=0.4,"Menor",IF(AM241&lt;=0.6,"Moderado",IF(AM241&lt;=0.8,"Mayor","Catastrófico"))))),"")</f>
        <v/>
      </c>
      <c r="AM241" s="128" t="str">
        <f t="shared" ref="AM241" si="370">IFERROR(IF(AND(AB240="Impacto",AB241="Impacto"),(AM240-(+AM240*AE241)),IF(AB241="Impacto",($U$10-(+$U$10*AE241)),IF(AB241="Probabilidad",AM240,""))),"")</f>
        <v/>
      </c>
      <c r="AN241" s="131" t="str">
        <f t="shared" ref="AN241:AN242" si="371">IFERROR(IF(OR(AND(AJ241="Muy Baja",AL241="Leve"),AND(AJ241="Muy Baja",AL241="Menor"),AND(AJ241="Baja",AL241="Leve")),"Bajo",IF(OR(AND(AJ241="Muy baja",AL241="Moderado"),AND(AJ241="Baja",AL241="Menor"),AND(AJ241="Baja",AL241="Moderado"),AND(AJ241="Media",AL241="Leve"),AND(AJ241="Media",AL241="Menor"),AND(AJ241="Media",AL241="Moderado"),AND(AJ241="Alta",AL241="Leve"),AND(AJ241="Alta",AL241="Menor")),"Moderado",IF(OR(AND(AJ241="Muy Baja",AL241="Mayor"),AND(AJ241="Baja",AL241="Mayor"),AND(AJ241="Media",AL241="Mayor"),AND(AJ241="Alta",AL241="Moderado"),AND(AJ241="Alta",AL241="Mayor"),AND(AJ241="Muy Alta",AL241="Leve"),AND(AJ241="Muy Alta",AL241="Menor"),AND(AJ241="Muy Alta",AL241="Moderado"),AND(AJ241="Muy Alta",AL241="Mayor")),"Alto",IF(OR(AND(AJ241="Muy Baja",AL241="Catastrófico"),AND(AJ241="Baja",AL241="Catastrófico"),AND(AJ241="Media",AL241="Catastrófico"),AND(AJ241="Alta",AL241="Catastrófico"),AND(AJ241="Muy Alta",AL241="Catastrófico")),"Extremo","")))),"")</f>
        <v/>
      </c>
      <c r="AO241" s="132"/>
      <c r="AP241" s="125"/>
      <c r="AQ241" s="133"/>
      <c r="AR241" s="133"/>
      <c r="AS241" s="134"/>
      <c r="AT241" s="400"/>
      <c r="AU241" s="400"/>
      <c r="AV241" s="400"/>
    </row>
    <row r="242" spans="1:48" x14ac:dyDescent="0.2">
      <c r="A242" s="398"/>
      <c r="B242" s="399"/>
      <c r="C242" s="495"/>
      <c r="D242" s="495"/>
      <c r="E242" s="495"/>
      <c r="F242" s="495"/>
      <c r="G242" s="401"/>
      <c r="H242" s="400"/>
      <c r="I242" s="403"/>
      <c r="J242" s="465"/>
      <c r="K242" s="465"/>
      <c r="L242" s="465"/>
      <c r="M242" s="465"/>
      <c r="N242" s="465"/>
      <c r="O242" s="416"/>
      <c r="P242" s="417"/>
      <c r="Q242" s="405"/>
      <c r="R242" s="406"/>
      <c r="S242" s="405">
        <f>IF(NOT(ISERROR(MATCH(R242,_xlfn.ANCHORARRAY(G253),0))),Q255&amp;"Por favor no seleccionar los criterios de impacto",R242)</f>
        <v>0</v>
      </c>
      <c r="T242" s="408"/>
      <c r="U242" s="411"/>
      <c r="V242" s="414"/>
      <c r="W242" s="149">
        <v>3</v>
      </c>
      <c r="X242" s="182"/>
      <c r="Y242" s="149"/>
      <c r="Z242" s="149"/>
      <c r="AA242" s="304" t="str">
        <f t="shared" si="354"/>
        <v xml:space="preserve">  </v>
      </c>
      <c r="AB242" s="126" t="str">
        <f>IF(OR(AC242="Preventivo",AC242="Detectivo"),"Probabilidad",IF(AC242="Correctivo","Impacto",""))</f>
        <v/>
      </c>
      <c r="AC242" s="127"/>
      <c r="AD242" s="127"/>
      <c r="AE242" s="128" t="str">
        <f t="shared" si="366"/>
        <v/>
      </c>
      <c r="AF242" s="127"/>
      <c r="AG242" s="127"/>
      <c r="AH242" s="127"/>
      <c r="AI242" s="129" t="str">
        <f>IFERROR(IF(AND(AB241="Probabilidad",AB242="Probabilidad"),(AK241-(+AK241*AE242)),IF(AND(AB241="Impacto",AB242="Probabilidad"),(AK240-(+AK240*AE242)),IF(AB242="Impacto",AK241,""))),"")</f>
        <v/>
      </c>
      <c r="AJ242" s="130" t="str">
        <f t="shared" si="367"/>
        <v/>
      </c>
      <c r="AK242" s="128" t="str">
        <f t="shared" si="368"/>
        <v/>
      </c>
      <c r="AL242" s="130" t="str">
        <f t="shared" si="369"/>
        <v/>
      </c>
      <c r="AM242" s="128" t="str">
        <f t="shared" ref="AM242:AM245" si="372">IFERROR(IF(AND(AB241="Impacto",AB242="Impacto"),(AM241-(+AM241*AE242)),IF(AND(AB241="Probabilidad",AB242="Impacto"),(AM240-(+AM240*AE242)),IF(AB242="Probabilidad",AM241,""))),"")</f>
        <v/>
      </c>
      <c r="AN242" s="131" t="str">
        <f t="shared" si="371"/>
        <v/>
      </c>
      <c r="AO242" s="132"/>
      <c r="AP242" s="304"/>
      <c r="AQ242" s="304"/>
      <c r="AR242" s="304"/>
      <c r="AS242" s="304"/>
      <c r="AT242" s="400"/>
      <c r="AU242" s="400"/>
      <c r="AV242" s="400"/>
    </row>
    <row r="243" spans="1:48" x14ac:dyDescent="0.2">
      <c r="A243" s="398"/>
      <c r="B243" s="399"/>
      <c r="C243" s="495"/>
      <c r="D243" s="495"/>
      <c r="E243" s="495"/>
      <c r="F243" s="495"/>
      <c r="G243" s="401"/>
      <c r="H243" s="400"/>
      <c r="I243" s="403"/>
      <c r="J243" s="465"/>
      <c r="K243" s="465"/>
      <c r="L243" s="465"/>
      <c r="M243" s="465"/>
      <c r="N243" s="465"/>
      <c r="O243" s="416"/>
      <c r="P243" s="417"/>
      <c r="Q243" s="405"/>
      <c r="R243" s="406"/>
      <c r="S243" s="405">
        <f>IF(NOT(ISERROR(MATCH(R243,_xlfn.ANCHORARRAY(G254),0))),Q256&amp;"Por favor no seleccionar los criterios de impacto",R243)</f>
        <v>0</v>
      </c>
      <c r="T243" s="408"/>
      <c r="U243" s="411"/>
      <c r="V243" s="414"/>
      <c r="W243" s="149">
        <v>4</v>
      </c>
      <c r="X243" s="182"/>
      <c r="Y243" s="149"/>
      <c r="Z243" s="149"/>
      <c r="AA243" s="304" t="str">
        <f t="shared" si="354"/>
        <v xml:space="preserve">  </v>
      </c>
      <c r="AB243" s="126" t="str">
        <f t="shared" ref="AB243:AB257" si="373">IF(OR(AC243="Preventivo",AC243="Detectivo"),"Probabilidad",IF(AC243="Correctivo","Impacto",""))</f>
        <v/>
      </c>
      <c r="AC243" s="127"/>
      <c r="AD243" s="127"/>
      <c r="AE243" s="128" t="str">
        <f t="shared" si="366"/>
        <v/>
      </c>
      <c r="AF243" s="127"/>
      <c r="AG243" s="127"/>
      <c r="AH243" s="127"/>
      <c r="AI243" s="129" t="str">
        <f t="shared" ref="AI243:AI245" si="374">IFERROR(IF(AND(AB242="Probabilidad",AB243="Probabilidad"),(AK242-(+AK242*AE243)),IF(AND(AB242="Impacto",AB243="Probabilidad"),(AK241-(+AK241*AE243)),IF(AB243="Impacto",AK242,""))),"")</f>
        <v/>
      </c>
      <c r="AJ243" s="130" t="str">
        <f t="shared" si="367"/>
        <v/>
      </c>
      <c r="AK243" s="128" t="str">
        <f t="shared" si="368"/>
        <v/>
      </c>
      <c r="AL243" s="130" t="str">
        <f t="shared" si="369"/>
        <v/>
      </c>
      <c r="AM243" s="128" t="str">
        <f t="shared" si="372"/>
        <v/>
      </c>
      <c r="AN243" s="131" t="str">
        <f>IFERROR(IF(OR(AND(AJ243="Muy Baja",AL243="Leve"),AND(AJ243="Muy Baja",AL243="Menor"),AND(AJ243="Baja",AL243="Leve")),"Bajo",IF(OR(AND(AJ243="Muy baja",AL243="Moderado"),AND(AJ243="Baja",AL243="Menor"),AND(AJ243="Baja",AL243="Moderado"),AND(AJ243="Media",AL243="Leve"),AND(AJ243="Media",AL243="Menor"),AND(AJ243="Media",AL243="Moderado"),AND(AJ243="Alta",AL243="Leve"),AND(AJ243="Alta",AL243="Menor")),"Moderado",IF(OR(AND(AJ243="Muy Baja",AL243="Mayor"),AND(AJ243="Baja",AL243="Mayor"),AND(AJ243="Media",AL243="Mayor"),AND(AJ243="Alta",AL243="Moderado"),AND(AJ243="Alta",AL243="Mayor"),AND(AJ243="Muy Alta",AL243="Leve"),AND(AJ243="Muy Alta",AL243="Menor"),AND(AJ243="Muy Alta",AL243="Moderado"),AND(AJ243="Muy Alta",AL243="Mayor")),"Alto",IF(OR(AND(AJ243="Muy Baja",AL243="Catastrófico"),AND(AJ243="Baja",AL243="Catastrófico"),AND(AJ243="Media",AL243="Catastrófico"),AND(AJ243="Alta",AL243="Catastrófico"),AND(AJ243="Muy Alta",AL243="Catastrófico")),"Extremo","")))),"")</f>
        <v/>
      </c>
      <c r="AO243" s="132"/>
      <c r="AP243" s="304"/>
      <c r="AQ243" s="304"/>
      <c r="AR243" s="304"/>
      <c r="AS243" s="304"/>
      <c r="AT243" s="400"/>
      <c r="AU243" s="400"/>
      <c r="AV243" s="400"/>
    </row>
    <row r="244" spans="1:48" x14ac:dyDescent="0.2">
      <c r="A244" s="398"/>
      <c r="B244" s="399"/>
      <c r="C244" s="495"/>
      <c r="D244" s="495"/>
      <c r="E244" s="495"/>
      <c r="F244" s="495"/>
      <c r="G244" s="401"/>
      <c r="H244" s="400"/>
      <c r="I244" s="403"/>
      <c r="J244" s="465"/>
      <c r="K244" s="465"/>
      <c r="L244" s="465"/>
      <c r="M244" s="465"/>
      <c r="N244" s="465"/>
      <c r="O244" s="416"/>
      <c r="P244" s="417"/>
      <c r="Q244" s="405"/>
      <c r="R244" s="406"/>
      <c r="S244" s="405">
        <f>IF(NOT(ISERROR(MATCH(R244,_xlfn.ANCHORARRAY(G255),0))),Q257&amp;"Por favor no seleccionar los criterios de impacto",R244)</f>
        <v>0</v>
      </c>
      <c r="T244" s="408"/>
      <c r="U244" s="411"/>
      <c r="V244" s="414"/>
      <c r="W244" s="149">
        <v>5</v>
      </c>
      <c r="X244" s="182"/>
      <c r="Y244" s="149"/>
      <c r="Z244" s="149"/>
      <c r="AA244" s="304" t="str">
        <f t="shared" si="354"/>
        <v xml:space="preserve">  </v>
      </c>
      <c r="AB244" s="126" t="str">
        <f t="shared" si="373"/>
        <v/>
      </c>
      <c r="AC244" s="127"/>
      <c r="AD244" s="127"/>
      <c r="AE244" s="128" t="str">
        <f t="shared" si="366"/>
        <v/>
      </c>
      <c r="AF244" s="127"/>
      <c r="AG244" s="127"/>
      <c r="AH244" s="127"/>
      <c r="AI244" s="129" t="str">
        <f t="shared" si="374"/>
        <v/>
      </c>
      <c r="AJ244" s="130" t="str">
        <f>IFERROR(IF(AI244="","",IF(AI244&lt;=0.2,"Muy Baja",IF(AI244&lt;=0.4,"Baja",IF(AI244&lt;=0.6,"Media",IF(AI244&lt;=0.8,"Alta","Muy Alta"))))),"")</f>
        <v/>
      </c>
      <c r="AK244" s="128" t="str">
        <f t="shared" si="368"/>
        <v/>
      </c>
      <c r="AL244" s="130" t="str">
        <f t="shared" si="369"/>
        <v/>
      </c>
      <c r="AM244" s="128" t="str">
        <f t="shared" si="372"/>
        <v/>
      </c>
      <c r="AN244" s="131" t="str">
        <f t="shared" ref="AN244:AN245" si="375">IFERROR(IF(OR(AND(AJ244="Muy Baja",AL244="Leve"),AND(AJ244="Muy Baja",AL244="Menor"),AND(AJ244="Baja",AL244="Leve")),"Bajo",IF(OR(AND(AJ244="Muy baja",AL244="Moderado"),AND(AJ244="Baja",AL244="Menor"),AND(AJ244="Baja",AL244="Moderado"),AND(AJ244="Media",AL244="Leve"),AND(AJ244="Media",AL244="Menor"),AND(AJ244="Media",AL244="Moderado"),AND(AJ244="Alta",AL244="Leve"),AND(AJ244="Alta",AL244="Menor")),"Moderado",IF(OR(AND(AJ244="Muy Baja",AL244="Mayor"),AND(AJ244="Baja",AL244="Mayor"),AND(AJ244="Media",AL244="Mayor"),AND(AJ244="Alta",AL244="Moderado"),AND(AJ244="Alta",AL244="Mayor"),AND(AJ244="Muy Alta",AL244="Leve"),AND(AJ244="Muy Alta",AL244="Menor"),AND(AJ244="Muy Alta",AL244="Moderado"),AND(AJ244="Muy Alta",AL244="Mayor")),"Alto",IF(OR(AND(AJ244="Muy Baja",AL244="Catastrófico"),AND(AJ244="Baja",AL244="Catastrófico"),AND(AJ244="Media",AL244="Catastrófico"),AND(AJ244="Alta",AL244="Catastrófico"),AND(AJ244="Muy Alta",AL244="Catastrófico")),"Extremo","")))),"")</f>
        <v/>
      </c>
      <c r="AO244" s="132"/>
      <c r="AP244" s="304"/>
      <c r="AQ244" s="304"/>
      <c r="AR244" s="304"/>
      <c r="AS244" s="304"/>
      <c r="AT244" s="400"/>
      <c r="AU244" s="400"/>
      <c r="AV244" s="400"/>
    </row>
    <row r="245" spans="1:48" x14ac:dyDescent="0.2">
      <c r="A245" s="398"/>
      <c r="B245" s="399"/>
      <c r="C245" s="495"/>
      <c r="D245" s="495"/>
      <c r="E245" s="495"/>
      <c r="F245" s="495"/>
      <c r="G245" s="401"/>
      <c r="H245" s="400"/>
      <c r="I245" s="404"/>
      <c r="J245" s="466"/>
      <c r="K245" s="466"/>
      <c r="L245" s="466"/>
      <c r="M245" s="466"/>
      <c r="N245" s="466"/>
      <c r="O245" s="416"/>
      <c r="P245" s="417"/>
      <c r="Q245" s="405"/>
      <c r="R245" s="406"/>
      <c r="S245" s="405">
        <f>IF(NOT(ISERROR(MATCH(R245,_xlfn.ANCHORARRAY(G256),0))),Q258&amp;"Por favor no seleccionar los criterios de impacto",R245)</f>
        <v>0</v>
      </c>
      <c r="T245" s="409"/>
      <c r="U245" s="412"/>
      <c r="V245" s="415"/>
      <c r="W245" s="149">
        <v>6</v>
      </c>
      <c r="X245" s="149"/>
      <c r="Y245" s="149"/>
      <c r="Z245" s="149"/>
      <c r="AA245" s="304" t="str">
        <f t="shared" si="354"/>
        <v xml:space="preserve">  </v>
      </c>
      <c r="AB245" s="126" t="str">
        <f t="shared" si="373"/>
        <v/>
      </c>
      <c r="AC245" s="127"/>
      <c r="AD245" s="127"/>
      <c r="AE245" s="128" t="str">
        <f t="shared" si="366"/>
        <v/>
      </c>
      <c r="AF245" s="127"/>
      <c r="AG245" s="127"/>
      <c r="AH245" s="127"/>
      <c r="AI245" s="129" t="str">
        <f t="shared" si="374"/>
        <v/>
      </c>
      <c r="AJ245" s="130" t="str">
        <f t="shared" ref="AJ245" si="376">IFERROR(IF(AI245="","",IF(AI245&lt;=0.2,"Muy Baja",IF(AI245&lt;=0.4,"Baja",IF(AI245&lt;=0.6,"Media",IF(AI245&lt;=0.8,"Alta","Muy Alta"))))),"")</f>
        <v/>
      </c>
      <c r="AK245" s="128" t="str">
        <f t="shared" si="368"/>
        <v/>
      </c>
      <c r="AL245" s="130" t="str">
        <f t="shared" si="369"/>
        <v/>
      </c>
      <c r="AM245" s="128" t="str">
        <f t="shared" si="372"/>
        <v/>
      </c>
      <c r="AN245" s="131" t="str">
        <f t="shared" si="375"/>
        <v/>
      </c>
      <c r="AO245" s="132"/>
      <c r="AP245" s="304"/>
      <c r="AQ245" s="304"/>
      <c r="AR245" s="304"/>
      <c r="AS245" s="304"/>
      <c r="AT245" s="400"/>
      <c r="AU245" s="400"/>
      <c r="AV245" s="400"/>
    </row>
    <row r="246" spans="1:48" ht="51.75" customHeight="1" x14ac:dyDescent="0.2">
      <c r="A246" s="398">
        <v>40</v>
      </c>
      <c r="B246" s="399" t="s">
        <v>565</v>
      </c>
      <c r="C246" s="400" t="s">
        <v>36</v>
      </c>
      <c r="D246" s="400" t="s">
        <v>1420</v>
      </c>
      <c r="E246" s="400" t="s">
        <v>1421</v>
      </c>
      <c r="F246" s="400" t="s">
        <v>1422</v>
      </c>
      <c r="G246" s="401" t="str">
        <f>+CONCATENATE(C246," ",D246," ",E246)</f>
        <v>Posibilidad de afectación económica Por la no realización del monitoreo y seguimiento de la calidad técnica de las intervenciones Debido la inadecuada  verificacion e inspeccion a las obras ejecutadas por la entidad</v>
      </c>
      <c r="H246" s="400" t="s">
        <v>391</v>
      </c>
      <c r="I246" s="402" t="s">
        <v>59</v>
      </c>
      <c r="J246" s="402" t="s">
        <v>1423</v>
      </c>
      <c r="K246" s="402" t="s">
        <v>1424</v>
      </c>
      <c r="L246" s="402" t="s">
        <v>1425</v>
      </c>
      <c r="M246" s="402" t="s">
        <v>60</v>
      </c>
      <c r="N246" s="402" t="s">
        <v>53</v>
      </c>
      <c r="O246" s="416">
        <v>18</v>
      </c>
      <c r="P246" s="417" t="str">
        <f>IF(O246&lt;=0,"",IF(O246&lt;=2,"Muy Baja",IF(O246&lt;=24,"Baja",IF(O246&lt;=500,"Media",IF(O246&lt;=5000,"Alta","Muy Alta")))))</f>
        <v>Baja</v>
      </c>
      <c r="Q246" s="405">
        <f>IF(P246="","",IF(P246="Muy Baja",0.2,IF(P246="Baja",0.4,IF(P246="Media",0.6,IF(P246="Alta",0.8,IF(P246="Muy Alta",1,))))))</f>
        <v>0.4</v>
      </c>
      <c r="R246" s="406" t="s">
        <v>513</v>
      </c>
      <c r="S246" s="405" t="str">
        <f>IF(NOT(ISERROR(MATCH(R246,'[10]Tabla Impacto'!$B$245:$B$247,0))),'[10]Tabla Impacto'!$F$224&amp;"Por favor no seleccionar los criterios de impacto(Afectación Económica o presupuestal y Pérdida Reputacional)",R246)</f>
        <v xml:space="preserve">     El riesgo afecta la imagen de la entidad internamente, de conocimiento general, nivel interno, de junta dircetiva y accionistas y/o de provedores</v>
      </c>
      <c r="T246" s="417" t="str">
        <f>IF(OR(S246='[10]Tabla Impacto'!$C$12,S246='[10]Tabla Impacto'!$D$12),"Leve",IF(OR(S246='[10]Tabla Impacto'!$C$13,S246='[10]Tabla Impacto'!$D$13),"Menor",IF(OR(S246='[10]Tabla Impacto'!$C$14,S246='[10]Tabla Impacto'!$D$14),"Moderado",IF(OR(S246='[10]Tabla Impacto'!$C$15,S246='[10]Tabla Impacto'!$D$15),"Mayor",IF(OR(S246='[10]Tabla Impacto'!$C$16,S246='[10]Tabla Impacto'!$D$16),"Catastrófico","")))))</f>
        <v>Menor</v>
      </c>
      <c r="U246" s="405">
        <f>IF(T246="","",IF(T246="Leve",0.2,IF(T246="Menor",0.4,IF(T246="Moderado",0.6,IF(T246="Mayor",0.8,IF(T246="Catastrófico",1,))))))</f>
        <v>0.4</v>
      </c>
      <c r="V246" s="418" t="str">
        <f>IF(OR(AND(P246="Muy Baja",T246="Leve"),AND(P246="Muy Baja",T246="Menor"),AND(P246="Baja",T246="Leve")),"Bajo",IF(OR(AND(P246="Muy baja",T246="Moderado"),AND(P246="Baja",T246="Menor"),AND(P246="Baja",T246="Moderado"),AND(P246="Media",T246="Leve"),AND(P246="Media",T246="Menor"),AND(P246="Media",T246="Moderado"),AND(P246="Alta",T246="Leve"),AND(P246="Alta",T246="Menor")),"Moderado",IF(OR(AND(P246="Muy Baja",T246="Mayor"),AND(P246="Baja",T246="Mayor"),AND(P246="Media",T246="Mayor"),AND(P246="Alta",T246="Moderado"),AND(P246="Alta",T246="Mayor"),AND(P246="Muy Alta",T246="Leve"),AND(P246="Muy Alta",T246="Menor"),AND(P246="Muy Alta",T246="Moderado"),AND(P246="Muy Alta",T246="Mayor")),"Alto",IF(OR(AND(P246="Muy Baja",T246="Catastrófico"),AND(P246="Baja",T246="Catastrófico"),AND(P246="Media",T246="Catastrófico"),AND(P246="Alta",T246="Catastrófico"),AND(P246="Muy Alta",T246="Catastrófico")),"Extremo",""))))</f>
        <v>Moderado</v>
      </c>
      <c r="W246" s="149">
        <v>1</v>
      </c>
      <c r="X246" s="182" t="s">
        <v>1426</v>
      </c>
      <c r="Y246" s="182" t="s">
        <v>37</v>
      </c>
      <c r="Z246" s="182" t="s">
        <v>1427</v>
      </c>
      <c r="AA246" s="174" t="str">
        <f>+CONCATENATE(X246," ",Y246," ",Z246)</f>
        <v xml:space="preserve">Lider de calidad Verifica Mensualmente que se halla programado y ejecutado una visita a obra por cada tipo de intervención realizada durante el mes en el cronograma de visitas de obra, en el caso de no  cumplir con la totalidad de las visitas programadas, las faltantes se programaran para el  siguiente mes   </v>
      </c>
      <c r="AB246" s="126" t="str">
        <f t="shared" si="373"/>
        <v>Probabilidad</v>
      </c>
      <c r="AC246" s="127" t="s">
        <v>393</v>
      </c>
      <c r="AD246" s="127" t="s">
        <v>394</v>
      </c>
      <c r="AE246" s="128" t="str">
        <f>IF(AND(AC246="Preventivo",AD246="Automático"),"50%",IF(AND(AC246="Preventivo",AD246="Manual"),"40%",IF(AND(AC246="Detectivo",AD246="Automático"),"40%",IF(AND(AC246="Detectivo",AD246="Manual"),"30%",IF(AND(AC246="Correctivo",AD246="Automático"),"35%",IF(AND(AC246="Correctivo",AD246="Manual"),"25%",""))))))</f>
        <v>30%</v>
      </c>
      <c r="AF246" s="127" t="s">
        <v>395</v>
      </c>
      <c r="AG246" s="127" t="s">
        <v>396</v>
      </c>
      <c r="AH246" s="127" t="s">
        <v>397</v>
      </c>
      <c r="AI246" s="129">
        <f>IFERROR(IF(AB246="Probabilidad",(Q246-(+Q246*AE246)),IF(AB246="Impacto",Q246,"")),"")</f>
        <v>0.28000000000000003</v>
      </c>
      <c r="AJ246" s="130" t="str">
        <f>IFERROR(IF(AI246="","",IF(AI246&lt;=0.2,"Muy Baja",IF(AI246&lt;=0.4,"Baja",IF(AI246&lt;=0.6,"Media",IF(AI246&lt;=0.8,"Alta","Muy Alta"))))),"")</f>
        <v>Baja</v>
      </c>
      <c r="AK246" s="128">
        <f>+AI246</f>
        <v>0.28000000000000003</v>
      </c>
      <c r="AL246" s="130" t="str">
        <f>IFERROR(IF(AM246="","",IF(AM246&lt;=0.2,"Leve",IF(AM246&lt;=0.4,"Menor",IF(AM246&lt;=0.6,"Moderado",IF(AM246&lt;=0.8,"Mayor","Catastrófico"))))),"")</f>
        <v>Menor</v>
      </c>
      <c r="AM246" s="128">
        <f>IFERROR(IF(AB246="Impacto",(U246-(+U246*AE246)),IF(AB246="Probabilidad",U246,"")),"")</f>
        <v>0.4</v>
      </c>
      <c r="AN246" s="131" t="str">
        <f>IFERROR(IF(OR(AND(AJ246="Muy Baja",AL246="Leve"),AND(AJ246="Muy Baja",AL246="Menor"),AND(AJ246="Baja",AL246="Leve")),"Bajo",IF(OR(AND(AJ246="Muy baja",AL246="Moderado"),AND(AJ246="Baja",AL246="Menor"),AND(AJ246="Baja",AL246="Moderado"),AND(AJ246="Media",AL246="Leve"),AND(AJ246="Media",AL246="Menor"),AND(AJ246="Media",AL246="Moderado"),AND(AJ246="Alta",AL246="Leve"),AND(AJ246="Alta",AL246="Menor")),"Moderado",IF(OR(AND(AJ246="Muy Baja",AL246="Mayor"),AND(AJ246="Baja",AL246="Mayor"),AND(AJ246="Media",AL246="Mayor"),AND(AJ246="Alta",AL246="Moderado"),AND(AJ246="Alta",AL246="Mayor"),AND(AJ246="Muy Alta",AL246="Leve"),AND(AJ246="Muy Alta",AL246="Menor"),AND(AJ246="Muy Alta",AL246="Moderado"),AND(AJ246="Muy Alta",AL246="Mayor")),"Alto",IF(OR(AND(AJ246="Muy Baja",AL246="Catastrófico"),AND(AJ246="Baja",AL246="Catastrófico"),AND(AJ246="Media",AL246="Catastrófico"),AND(AJ246="Alta",AL246="Catastrófico"),AND(AJ246="Muy Alta",AL246="Catastrófico")),"Extremo","")))),"")</f>
        <v>Moderado</v>
      </c>
      <c r="AO246" s="132"/>
      <c r="AP246" s="125"/>
      <c r="AQ246" s="133"/>
      <c r="AR246" s="150"/>
      <c r="AS246" s="134"/>
      <c r="AT246" s="400" t="s">
        <v>1428</v>
      </c>
      <c r="AU246" s="400" t="s">
        <v>1429</v>
      </c>
      <c r="AV246" s="400" t="s">
        <v>1426</v>
      </c>
    </row>
    <row r="247" spans="1:48" ht="51.75" customHeight="1" x14ac:dyDescent="0.2">
      <c r="A247" s="398"/>
      <c r="B247" s="399"/>
      <c r="C247" s="400"/>
      <c r="D247" s="400"/>
      <c r="E247" s="400"/>
      <c r="F247" s="400"/>
      <c r="G247" s="401"/>
      <c r="H247" s="400"/>
      <c r="I247" s="403"/>
      <c r="J247" s="403"/>
      <c r="K247" s="403"/>
      <c r="L247" s="403"/>
      <c r="M247" s="403"/>
      <c r="N247" s="403"/>
      <c r="O247" s="416"/>
      <c r="P247" s="417"/>
      <c r="Q247" s="405"/>
      <c r="R247" s="406"/>
      <c r="S247" s="405">
        <f>IF(NOT(ISERROR(MATCH(R247,_xlfn.ANCHORARRAY(G258),0))),Q260&amp;"Por favor no seleccionar los criterios de impacto",R247)</f>
        <v>0</v>
      </c>
      <c r="T247" s="417"/>
      <c r="U247" s="405"/>
      <c r="V247" s="418"/>
      <c r="W247" s="149">
        <v>2</v>
      </c>
      <c r="X247" s="182" t="s">
        <v>1426</v>
      </c>
      <c r="Y247" s="149" t="s">
        <v>37</v>
      </c>
      <c r="Z247" s="182" t="s">
        <v>1430</v>
      </c>
      <c r="AA247" s="174" t="str">
        <f>+CONCATENATE(X247," ",Y247," ",Z247)</f>
        <v xml:space="preserve">Lider de calidad Verifica Bimensualmente que se hayan analizado la totalidad de informes emitidos por el laboratorio en el informe de calidad, en el caso de que no se haya analizado algun informe, este se incluira en el informe de calidad del siguiente mes. </v>
      </c>
      <c r="AB247" s="126" t="str">
        <f t="shared" si="373"/>
        <v>Probabilidad</v>
      </c>
      <c r="AC247" s="127" t="s">
        <v>393</v>
      </c>
      <c r="AD247" s="127" t="s">
        <v>394</v>
      </c>
      <c r="AE247" s="128" t="str">
        <f t="shared" ref="AE247:AE251" si="377">IF(AND(AC247="Preventivo",AD247="Automático"),"50%",IF(AND(AC247="Preventivo",AD247="Manual"),"40%",IF(AND(AC247="Detectivo",AD247="Automático"),"40%",IF(AND(AC247="Detectivo",AD247="Manual"),"30%",IF(AND(AC247="Correctivo",AD247="Automático"),"35%",IF(AND(AC247="Correctivo",AD247="Manual"),"25%",""))))))</f>
        <v>30%</v>
      </c>
      <c r="AF247" s="127" t="s">
        <v>395</v>
      </c>
      <c r="AG247" s="127" t="s">
        <v>541</v>
      </c>
      <c r="AH247" s="127" t="s">
        <v>397</v>
      </c>
      <c r="AI247" s="129">
        <f>IFERROR(IF(AND(AB246="Probabilidad",AB247="Probabilidad"),(AK246-(+AK246*AE247)),IF(AB247="Probabilidad",(Q246-(+Q246*AE247)),IF(AB247="Impacto",AK246,""))),"")</f>
        <v>0.19600000000000001</v>
      </c>
      <c r="AJ247" s="130" t="str">
        <f t="shared" ref="AJ247:AJ251" si="378">IFERROR(IF(AI247="","",IF(AI247&lt;=0.2,"Muy Baja",IF(AI247&lt;=0.4,"Baja",IF(AI247&lt;=0.6,"Media",IF(AI247&lt;=0.8,"Alta","Muy Alta"))))),"")</f>
        <v>Muy Baja</v>
      </c>
      <c r="AK247" s="128">
        <f t="shared" ref="AK247:AK251" si="379">+AI247</f>
        <v>0.19600000000000001</v>
      </c>
      <c r="AL247" s="130" t="str">
        <f t="shared" ref="AL247:AL251" si="380">IFERROR(IF(AM247="","",IF(AM247&lt;=0.2,"Leve",IF(AM247&lt;=0.4,"Menor",IF(AM247&lt;=0.6,"Moderado",IF(AM247&lt;=0.8,"Mayor","Catastrófico"))))),"")</f>
        <v>Menor</v>
      </c>
      <c r="AM247" s="128">
        <f>IFERROR(IF(AND(AB246="Impacto",AB247="Impacto"),(AM246-(+AM246*AE247)),IF(AB247="Impacto",($T$13-(+$T$13*AE247)),IF(AB247="Probabilidad",AM246,""))),"")</f>
        <v>0.4</v>
      </c>
      <c r="AN247" s="131" t="str">
        <f t="shared" ref="AN247:AN251" si="381">IFERROR(IF(OR(AND(AJ247="Muy Baja",AL247="Leve"),AND(AJ247="Muy Baja",AL247="Menor"),AND(AJ247="Baja",AL247="Leve")),"Bajo",IF(OR(AND(AJ247="Muy baja",AL247="Moderado"),AND(AJ247="Baja",AL247="Menor"),AND(AJ247="Baja",AL247="Moderado"),AND(AJ247="Media",AL247="Leve"),AND(AJ247="Media",AL247="Menor"),AND(AJ247="Media",AL247="Moderado"),AND(AJ247="Alta",AL247="Leve"),AND(AJ247="Alta",AL247="Menor")),"Moderado",IF(OR(AND(AJ247="Muy Baja",AL247="Mayor"),AND(AJ247="Baja",AL247="Mayor"),AND(AJ247="Media",AL247="Mayor"),AND(AJ247="Alta",AL247="Moderado"),AND(AJ247="Alta",AL247="Mayor"),AND(AJ247="Muy Alta",AL247="Leve"),AND(AJ247="Muy Alta",AL247="Menor"),AND(AJ247="Muy Alta",AL247="Moderado"),AND(AJ247="Muy Alta",AL247="Mayor")),"Alto",IF(OR(AND(AJ247="Muy Baja",AL247="Catastrófico"),AND(AJ247="Baja",AL247="Catastrófico"),AND(AJ247="Media",AL247="Catastrófico"),AND(AJ247="Alta",AL247="Catastrófico"),AND(AJ247="Muy Alta",AL247="Catastrófico")),"Extremo","")))),"")</f>
        <v>Bajo</v>
      </c>
      <c r="AO247" s="132" t="s">
        <v>35</v>
      </c>
      <c r="AP247" s="125"/>
      <c r="AQ247" s="133"/>
      <c r="AR247" s="125"/>
      <c r="AS247" s="134"/>
      <c r="AT247" s="400"/>
      <c r="AU247" s="400"/>
      <c r="AV247" s="400"/>
    </row>
    <row r="248" spans="1:48" x14ac:dyDescent="0.2">
      <c r="A248" s="398"/>
      <c r="B248" s="399"/>
      <c r="C248" s="400"/>
      <c r="D248" s="400"/>
      <c r="E248" s="400"/>
      <c r="F248" s="400"/>
      <c r="G248" s="401"/>
      <c r="H248" s="400"/>
      <c r="I248" s="403"/>
      <c r="J248" s="403"/>
      <c r="K248" s="403"/>
      <c r="L248" s="403"/>
      <c r="M248" s="403"/>
      <c r="N248" s="403"/>
      <c r="O248" s="416"/>
      <c r="P248" s="417"/>
      <c r="Q248" s="405"/>
      <c r="R248" s="406"/>
      <c r="S248" s="405">
        <f>IF(NOT(ISERROR(MATCH(R248,_xlfn.ANCHORARRAY(G259),0))),Q261&amp;"Por favor no seleccionar los criterios de impacto",R248)</f>
        <v>0</v>
      </c>
      <c r="T248" s="417"/>
      <c r="U248" s="405"/>
      <c r="V248" s="418"/>
      <c r="W248" s="149">
        <v>3</v>
      </c>
      <c r="X248" s="182"/>
      <c r="Y248" s="149"/>
      <c r="Z248" s="149"/>
      <c r="AA248" s="174" t="str">
        <f t="shared" ref="AA248:AA251" si="382">+CONCATENATE(X248," ",Y248," ",Z248)</f>
        <v xml:space="preserve">  </v>
      </c>
      <c r="AB248" s="126" t="str">
        <f t="shared" si="373"/>
        <v/>
      </c>
      <c r="AC248" s="127"/>
      <c r="AD248" s="127"/>
      <c r="AE248" s="128" t="str">
        <f t="shared" si="377"/>
        <v/>
      </c>
      <c r="AF248" s="127"/>
      <c r="AG248" s="127"/>
      <c r="AH248" s="127"/>
      <c r="AI248" s="129" t="str">
        <f>IFERROR(IF(AND(AB247="Probabilidad",AB248="Probabilidad"),(AK247-(+AK247*AE248)),IF(AND(AB247="Impacto",AB248="Probabilidad"),(AK246-(+AK246*AE248)),IF(AB248="Impacto",AK247,""))),"")</f>
        <v/>
      </c>
      <c r="AJ248" s="130" t="str">
        <f t="shared" si="378"/>
        <v/>
      </c>
      <c r="AK248" s="128" t="str">
        <f t="shared" si="379"/>
        <v/>
      </c>
      <c r="AL248" s="130" t="str">
        <f t="shared" si="380"/>
        <v/>
      </c>
      <c r="AM248" s="128" t="str">
        <f>IFERROR(IF(AND(AB247="Impacto",AB248="Impacto"),(AM247-(+AM247*AE248)),IF(AND(AB247="Probabilidad",AB248="Impacto"),(AM246-(+AM246*AE248)),IF(AB248="Probabilidad",AM247,""))),"")</f>
        <v/>
      </c>
      <c r="AN248" s="131" t="str">
        <f t="shared" si="381"/>
        <v/>
      </c>
      <c r="AO248" s="132"/>
      <c r="AP248" s="125"/>
      <c r="AQ248" s="133"/>
      <c r="AR248" s="133"/>
      <c r="AS248" s="134"/>
      <c r="AT248" s="400"/>
      <c r="AU248" s="400"/>
      <c r="AV248" s="400"/>
    </row>
    <row r="249" spans="1:48" x14ac:dyDescent="0.2">
      <c r="A249" s="398"/>
      <c r="B249" s="399"/>
      <c r="C249" s="400"/>
      <c r="D249" s="400"/>
      <c r="E249" s="400"/>
      <c r="F249" s="400"/>
      <c r="G249" s="401"/>
      <c r="H249" s="400"/>
      <c r="I249" s="403"/>
      <c r="J249" s="403"/>
      <c r="K249" s="403"/>
      <c r="L249" s="403"/>
      <c r="M249" s="403"/>
      <c r="N249" s="403"/>
      <c r="O249" s="416"/>
      <c r="P249" s="417"/>
      <c r="Q249" s="405"/>
      <c r="R249" s="406"/>
      <c r="S249" s="405">
        <f>IF(NOT(ISERROR(MATCH(R249,_xlfn.ANCHORARRAY(G260),0))),Q262&amp;"Por favor no seleccionar los criterios de impacto",R249)</f>
        <v>0</v>
      </c>
      <c r="T249" s="417"/>
      <c r="U249" s="405"/>
      <c r="V249" s="418"/>
      <c r="W249" s="149">
        <v>4</v>
      </c>
      <c r="X249" s="182"/>
      <c r="Y249" s="149"/>
      <c r="Z249" s="149"/>
      <c r="AA249" s="174" t="str">
        <f t="shared" si="382"/>
        <v xml:space="preserve">  </v>
      </c>
      <c r="AB249" s="126" t="str">
        <f t="shared" si="373"/>
        <v/>
      </c>
      <c r="AC249" s="127"/>
      <c r="AD249" s="127"/>
      <c r="AE249" s="128" t="str">
        <f t="shared" si="377"/>
        <v/>
      </c>
      <c r="AF249" s="127"/>
      <c r="AG249" s="127"/>
      <c r="AH249" s="127"/>
      <c r="AI249" s="129" t="str">
        <f t="shared" ref="AI249:AI251" si="383">IFERROR(IF(AND(AB248="Probabilidad",AB249="Probabilidad"),(AK248-(+AK248*AE249)),IF(AND(AB248="Impacto",AB249="Probabilidad"),(AK247-(+AK247*AE249)),IF(AB249="Impacto",AK248,""))),"")</f>
        <v/>
      </c>
      <c r="AJ249" s="130" t="str">
        <f t="shared" si="378"/>
        <v/>
      </c>
      <c r="AK249" s="128" t="str">
        <f t="shared" si="379"/>
        <v/>
      </c>
      <c r="AL249" s="130" t="str">
        <f t="shared" si="380"/>
        <v/>
      </c>
      <c r="AM249" s="128" t="str">
        <f t="shared" ref="AM249:AM251" si="384">IFERROR(IF(AND(AB248="Impacto",AB249="Impacto"),(AM248-(+AM248*AE249)),IF(AND(AB248="Probabilidad",AB249="Impacto"),(AM247-(+AM247*AE249)),IF(AB249="Probabilidad",AM248,""))),"")</f>
        <v/>
      </c>
      <c r="AN249" s="131" t="str">
        <f>IFERROR(IF(OR(AND(AJ249="Muy Baja",AL249="Leve"),AND(AJ249="Muy Baja",AL249="Menor"),AND(AJ249="Baja",AL249="Leve")),"Bajo",IF(OR(AND(AJ249="Muy baja",AL249="Moderado"),AND(AJ249="Baja",AL249="Menor"),AND(AJ249="Baja",AL249="Moderado"),AND(AJ249="Media",AL249="Leve"),AND(AJ249="Media",AL249="Menor"),AND(AJ249="Media",AL249="Moderado"),AND(AJ249="Alta",AL249="Leve"),AND(AJ249="Alta",AL249="Menor")),"Moderado",IF(OR(AND(AJ249="Muy Baja",AL249="Mayor"),AND(AJ249="Baja",AL249="Mayor"),AND(AJ249="Media",AL249="Mayor"),AND(AJ249="Alta",AL249="Moderado"),AND(AJ249="Alta",AL249="Mayor"),AND(AJ249="Muy Alta",AL249="Leve"),AND(AJ249="Muy Alta",AL249="Menor"),AND(AJ249="Muy Alta",AL249="Moderado"),AND(AJ249="Muy Alta",AL249="Mayor")),"Alto",IF(OR(AND(AJ249="Muy Baja",AL249="Catastrófico"),AND(AJ249="Baja",AL249="Catastrófico"),AND(AJ249="Media",AL249="Catastrófico"),AND(AJ249="Alta",AL249="Catastrófico"),AND(AJ249="Muy Alta",AL249="Catastrófico")),"Extremo","")))),"")</f>
        <v/>
      </c>
      <c r="AO249" s="132"/>
      <c r="AP249" s="125"/>
      <c r="AQ249" s="133"/>
      <c r="AR249" s="133"/>
      <c r="AS249" s="134"/>
      <c r="AT249" s="400"/>
      <c r="AU249" s="400"/>
      <c r="AV249" s="400"/>
    </row>
    <row r="250" spans="1:48" x14ac:dyDescent="0.2">
      <c r="A250" s="398"/>
      <c r="B250" s="399"/>
      <c r="C250" s="400"/>
      <c r="D250" s="400"/>
      <c r="E250" s="400"/>
      <c r="F250" s="400"/>
      <c r="G250" s="401"/>
      <c r="H250" s="400"/>
      <c r="I250" s="403"/>
      <c r="J250" s="403"/>
      <c r="K250" s="403"/>
      <c r="L250" s="403"/>
      <c r="M250" s="403"/>
      <c r="N250" s="403"/>
      <c r="O250" s="416"/>
      <c r="P250" s="417"/>
      <c r="Q250" s="405"/>
      <c r="R250" s="406"/>
      <c r="S250" s="405">
        <f>IF(NOT(ISERROR(MATCH(R250,_xlfn.ANCHORARRAY(G261),0))),Q263&amp;"Por favor no seleccionar los criterios de impacto",R250)</f>
        <v>0</v>
      </c>
      <c r="T250" s="417"/>
      <c r="U250" s="405"/>
      <c r="V250" s="418"/>
      <c r="W250" s="149">
        <v>5</v>
      </c>
      <c r="X250" s="182"/>
      <c r="Y250" s="149"/>
      <c r="Z250" s="149"/>
      <c r="AA250" s="174" t="str">
        <f t="shared" si="382"/>
        <v xml:space="preserve">  </v>
      </c>
      <c r="AB250" s="126" t="str">
        <f t="shared" si="373"/>
        <v/>
      </c>
      <c r="AC250" s="127"/>
      <c r="AD250" s="127"/>
      <c r="AE250" s="128" t="str">
        <f t="shared" si="377"/>
        <v/>
      </c>
      <c r="AF250" s="127"/>
      <c r="AG250" s="127"/>
      <c r="AH250" s="127"/>
      <c r="AI250" s="129" t="str">
        <f t="shared" si="383"/>
        <v/>
      </c>
      <c r="AJ250" s="130" t="str">
        <f t="shared" si="378"/>
        <v/>
      </c>
      <c r="AK250" s="128" t="str">
        <f t="shared" si="379"/>
        <v/>
      </c>
      <c r="AL250" s="130" t="str">
        <f t="shared" si="380"/>
        <v/>
      </c>
      <c r="AM250" s="128" t="str">
        <f t="shared" si="384"/>
        <v/>
      </c>
      <c r="AN250" s="131" t="str">
        <f t="shared" si="381"/>
        <v/>
      </c>
      <c r="AO250" s="132"/>
      <c r="AP250" s="125"/>
      <c r="AQ250" s="133"/>
      <c r="AR250" s="133"/>
      <c r="AS250" s="134"/>
      <c r="AT250" s="400"/>
      <c r="AU250" s="400"/>
      <c r="AV250" s="400"/>
    </row>
    <row r="251" spans="1:48" x14ac:dyDescent="0.2">
      <c r="A251" s="398"/>
      <c r="B251" s="399"/>
      <c r="C251" s="400"/>
      <c r="D251" s="400"/>
      <c r="E251" s="400"/>
      <c r="F251" s="400"/>
      <c r="G251" s="401"/>
      <c r="H251" s="400"/>
      <c r="I251" s="404"/>
      <c r="J251" s="404"/>
      <c r="K251" s="404"/>
      <c r="L251" s="404"/>
      <c r="M251" s="404"/>
      <c r="N251" s="404"/>
      <c r="O251" s="416"/>
      <c r="P251" s="417"/>
      <c r="Q251" s="405"/>
      <c r="R251" s="406"/>
      <c r="S251" s="405">
        <f>IF(NOT(ISERROR(MATCH(R251,_xlfn.ANCHORARRAY(G262),0))),Q264&amp;"Por favor no seleccionar los criterios de impacto",R251)</f>
        <v>0</v>
      </c>
      <c r="T251" s="417"/>
      <c r="U251" s="405"/>
      <c r="V251" s="418"/>
      <c r="W251" s="149">
        <v>6</v>
      </c>
      <c r="X251" s="182"/>
      <c r="Y251" s="149"/>
      <c r="Z251" s="149"/>
      <c r="AA251" s="174" t="str">
        <f t="shared" si="382"/>
        <v xml:space="preserve">  </v>
      </c>
      <c r="AB251" s="126" t="str">
        <f t="shared" si="373"/>
        <v/>
      </c>
      <c r="AC251" s="127"/>
      <c r="AD251" s="127"/>
      <c r="AE251" s="128" t="str">
        <f t="shared" si="377"/>
        <v/>
      </c>
      <c r="AF251" s="127"/>
      <c r="AG251" s="127"/>
      <c r="AH251" s="127"/>
      <c r="AI251" s="129" t="str">
        <f t="shared" si="383"/>
        <v/>
      </c>
      <c r="AJ251" s="130" t="str">
        <f t="shared" si="378"/>
        <v/>
      </c>
      <c r="AK251" s="128" t="str">
        <f t="shared" si="379"/>
        <v/>
      </c>
      <c r="AL251" s="130" t="str">
        <f t="shared" si="380"/>
        <v/>
      </c>
      <c r="AM251" s="128" t="str">
        <f t="shared" si="384"/>
        <v/>
      </c>
      <c r="AN251" s="131" t="str">
        <f t="shared" si="381"/>
        <v/>
      </c>
      <c r="AO251" s="132"/>
      <c r="AP251" s="125"/>
      <c r="AQ251" s="133"/>
      <c r="AR251" s="133"/>
      <c r="AS251" s="134"/>
      <c r="AT251" s="400"/>
      <c r="AU251" s="400"/>
      <c r="AV251" s="400"/>
    </row>
    <row r="252" spans="1:48" ht="48.75" customHeight="1" x14ac:dyDescent="0.2">
      <c r="A252" s="398">
        <v>41</v>
      </c>
      <c r="B252" s="399" t="s">
        <v>38</v>
      </c>
      <c r="C252" s="400" t="s">
        <v>40</v>
      </c>
      <c r="D252" s="400" t="s">
        <v>1431</v>
      </c>
      <c r="E252" s="400" t="s">
        <v>1432</v>
      </c>
      <c r="F252" s="400" t="s">
        <v>1433</v>
      </c>
      <c r="G252" s="401" t="str">
        <f>+CONCATENATE(C252," ",D252," ",E252)</f>
        <v>Posibilidad de afectación reputacional por sanción de un ente regulador debido a que la información entregada asociada al cumplimiento de magnitud física y presupuestal del proyecto de inversión 8055 - Conservación de la red de infraestructura peatonal en Bogotá D.C., no esta validada por falta de articulación entre dependencias.</v>
      </c>
      <c r="H252" s="400" t="s">
        <v>391</v>
      </c>
      <c r="I252" s="402" t="s">
        <v>59</v>
      </c>
      <c r="J252" s="402" t="s">
        <v>1434</v>
      </c>
      <c r="K252" s="402" t="s">
        <v>1435</v>
      </c>
      <c r="L252" s="402" t="s">
        <v>1436</v>
      </c>
      <c r="M252" s="402" t="s">
        <v>60</v>
      </c>
      <c r="N252" s="402" t="s">
        <v>38</v>
      </c>
      <c r="O252" s="416">
        <v>12</v>
      </c>
      <c r="P252" s="417" t="str">
        <f>IF(O252&lt;=0,"",IF(O252&lt;=2,"Muy Baja",IF(O252&lt;=24,"Baja",IF(O252&lt;=500,"Media",IF(O252&lt;=5000,"Alta","Muy Alta")))))</f>
        <v>Baja</v>
      </c>
      <c r="Q252" s="405">
        <f>IF(P252="","",IF(P252="Muy Baja",0.2,IF(P252="Baja",0.4,IF(P252="Media",0.6,IF(P252="Alta",0.8,IF(P252="Muy Alta",1,))))))</f>
        <v>0.4</v>
      </c>
      <c r="R252" s="406" t="s">
        <v>428</v>
      </c>
      <c r="S252" s="405" t="str">
        <f>IF(NOT(ISERROR(MATCH(R252,'[11]Tabla Impacto'!$B$245:$B$247,0))),'[11]Tabla Impacto'!$F$224&amp;"Por favor no seleccionar los criterios de impacto(Afectación Económica o presupuestal y Pérdida Reputacional)",R252)</f>
        <v xml:space="preserve">     El riesgo afecta la imagen de la entidad con algunos usuarios de relevancia frente al logro de los objetivos</v>
      </c>
      <c r="T252" s="417" t="str">
        <f>IF(OR(S252='[11]Tabla Impacto'!$C$12,S252='[11]Tabla Impacto'!$D$12),"Leve",IF(OR(S252='[11]Tabla Impacto'!$C$13,S252='[11]Tabla Impacto'!$D$13),"Menor",IF(OR(S252='[11]Tabla Impacto'!$C$14,S252='[11]Tabla Impacto'!$D$14),"Moderado",IF(OR(S252='[11]Tabla Impacto'!$C$15,S252='[11]Tabla Impacto'!$D$15),"Mayor",IF(OR(S252='[11]Tabla Impacto'!$C$16,S252='[11]Tabla Impacto'!$D$16),"Catastrófico","")))))</f>
        <v>Moderado</v>
      </c>
      <c r="U252" s="405">
        <f>IF(T252="","",IF(T252="Leve",0.2,IF(T252="Menor",0.4,IF(T252="Moderado",0.6,IF(T252="Mayor",0.8,IF(T252="Catastrófico",1,))))))</f>
        <v>0.6</v>
      </c>
      <c r="V252" s="418" t="str">
        <f>IF(OR(AND(P252="Muy Baja",T252="Leve"),AND(P252="Muy Baja",T252="Menor"),AND(P252="Baja",T252="Leve")),"Bajo",IF(OR(AND(P252="Muy baja",T252="Moderado"),AND(P252="Baja",T252="Menor"),AND(P252="Baja",T252="Moderado"),AND(P252="Media",T252="Leve"),AND(P252="Media",T252="Menor"),AND(P252="Media",T252="Moderado"),AND(P252="Alta",T252="Leve"),AND(P252="Alta",T252="Menor")),"Moderado",IF(OR(AND(P252="Muy Baja",T252="Mayor"),AND(P252="Baja",T252="Mayor"),AND(P252="Media",T252="Mayor"),AND(P252="Alta",T252="Moderado"),AND(P252="Alta",T252="Mayor"),AND(P252="Muy Alta",T252="Leve"),AND(P252="Muy Alta",T252="Menor"),AND(P252="Muy Alta",T252="Moderado"),AND(P252="Muy Alta",T252="Mayor")),"Alto",IF(OR(AND(P252="Muy Baja",T252="Catastrófico"),AND(P252="Baja",T252="Catastrófico"),AND(P252="Media",T252="Catastrófico"),AND(P252="Alta",T252="Catastrófico"),AND(P252="Muy Alta",T252="Catastrófico")),"Extremo",""))))</f>
        <v>Moderado</v>
      </c>
      <c r="W252" s="149">
        <v>1</v>
      </c>
      <c r="X252" s="182" t="s">
        <v>1437</v>
      </c>
      <c r="Y252" s="182" t="s">
        <v>37</v>
      </c>
      <c r="Z252" s="182" t="s">
        <v>1438</v>
      </c>
      <c r="AA252" s="304" t="str">
        <f>+CONCATENATE(X252," ",Y252," ",Z252)</f>
        <v>El Gerente del Proyecto Verifica mensualmente en el comité de Planificación, Producción e Intervención de UAERMV, el cumplimiento de:
1 Priorizacion  alcanzada v/s priorización proyectada  (SPC)
2 Cumplimiento de la magintud de meta alcanzada v/s magnitud de meta programada (SII).
3 Cumplimiento de la ejecución presupuestal v/s programado (SPAL).
Dejando como evidencia dentro del acta:
1. Presentación de la priorización 
2. Presentación del avance de metas 
4. Presentación de ejecución presupuestal del mes.
Si se presentan desviaciones, estas son escaladas a la Dirección General.</v>
      </c>
      <c r="AB252" s="126" t="str">
        <f t="shared" si="373"/>
        <v>Probabilidad</v>
      </c>
      <c r="AC252" s="127" t="s">
        <v>398</v>
      </c>
      <c r="AD252" s="127" t="s">
        <v>394</v>
      </c>
      <c r="AE252" s="128" t="str">
        <f>IF(AND(AC252="Preventivo",AD252="Automático"),"50%",IF(AND(AC252="Preventivo",AD252="Manual"),"40%",IF(AND(AC252="Detectivo",AD252="Automático"),"40%",IF(AND(AC252="Detectivo",AD252="Manual"),"30%",IF(AND(AC252="Correctivo",AD252="Automático"),"35%",IF(AND(AC252="Correctivo",AD252="Manual"),"25%",""))))))</f>
        <v>40%</v>
      </c>
      <c r="AF252" s="127" t="s">
        <v>395</v>
      </c>
      <c r="AG252" s="127" t="s">
        <v>396</v>
      </c>
      <c r="AH252" s="127" t="s">
        <v>422</v>
      </c>
      <c r="AI252" s="129">
        <f>IFERROR(IF(AB252="Probabilidad",(Q252-(+Q252*AE252)),IF(AB252="Impacto",Q252,"")),"")</f>
        <v>0.24</v>
      </c>
      <c r="AJ252" s="130" t="str">
        <f>IFERROR(IF(AI252="","",IF(AI252&lt;=0.2,"Muy Baja",IF(AI252&lt;=0.4,"Baja",IF(AI252&lt;=0.6,"Media",IF(AI252&lt;=0.8,"Alta","Muy Alta"))))),"")</f>
        <v>Baja</v>
      </c>
      <c r="AK252" s="128">
        <f>+AI252</f>
        <v>0.24</v>
      </c>
      <c r="AL252" s="130" t="str">
        <f>IFERROR(IF(AM252="","",IF(AM252&lt;=0.2,"Leve",IF(AM252&lt;=0.4,"Menor",IF(AM252&lt;=0.6,"Moderado",IF(AM252&lt;=0.8,"Mayor","Catastrófico"))))),"")</f>
        <v>Moderado</v>
      </c>
      <c r="AM252" s="128">
        <f>IFERROR(IF(AB252="Impacto",(U252-(+U252*AE252)),IF(AB252="Probabilidad",U252,"")),"")</f>
        <v>0.6</v>
      </c>
      <c r="AN252" s="131" t="str">
        <f>IFERROR(IF(OR(AND(AJ252="Muy Baja",AL252="Leve"),AND(AJ252="Muy Baja",AL252="Menor"),AND(AJ252="Baja",AL252="Leve")),"Bajo",IF(OR(AND(AJ252="Muy baja",AL252="Moderado"),AND(AJ252="Baja",AL252="Menor"),AND(AJ252="Baja",AL252="Moderado"),AND(AJ252="Media",AL252="Leve"),AND(AJ252="Media",AL252="Menor"),AND(AJ252="Media",AL252="Moderado"),AND(AJ252="Alta",AL252="Leve"),AND(AJ252="Alta",AL252="Menor")),"Moderado",IF(OR(AND(AJ252="Muy Baja",AL252="Mayor"),AND(AJ252="Baja",AL252="Mayor"),AND(AJ252="Media",AL252="Mayor"),AND(AJ252="Alta",AL252="Moderado"),AND(AJ252="Alta",AL252="Mayor"),AND(AJ252="Muy Alta",AL252="Leve"),AND(AJ252="Muy Alta",AL252="Menor"),AND(AJ252="Muy Alta",AL252="Moderado"),AND(AJ252="Muy Alta",AL252="Mayor")),"Alto",IF(OR(AND(AJ252="Muy Baja",AL252="Catastrófico"),AND(AJ252="Baja",AL252="Catastrófico"),AND(AJ252="Media",AL252="Catastrófico"),AND(AJ252="Alta",AL252="Catastrófico"),AND(AJ252="Muy Alta",AL252="Catastrófico")),"Extremo","")))),"")</f>
        <v>Moderado</v>
      </c>
      <c r="AO252" s="132" t="s">
        <v>43</v>
      </c>
      <c r="AP252" s="125" t="s">
        <v>1439</v>
      </c>
      <c r="AQ252" s="125" t="s">
        <v>1440</v>
      </c>
      <c r="AR252" s="125" t="s">
        <v>1441</v>
      </c>
      <c r="AS252" s="134" t="s">
        <v>822</v>
      </c>
      <c r="AT252" s="400" t="s">
        <v>1442</v>
      </c>
      <c r="AU252" s="400" t="s">
        <v>1443</v>
      </c>
      <c r="AV252" s="400" t="s">
        <v>1444</v>
      </c>
    </row>
    <row r="253" spans="1:48" ht="27" customHeight="1" x14ac:dyDescent="0.2">
      <c r="A253" s="398"/>
      <c r="B253" s="399"/>
      <c r="C253" s="400"/>
      <c r="D253" s="400"/>
      <c r="E253" s="400"/>
      <c r="F253" s="400"/>
      <c r="G253" s="401"/>
      <c r="H253" s="400"/>
      <c r="I253" s="403"/>
      <c r="J253" s="403"/>
      <c r="K253" s="403"/>
      <c r="L253" s="403"/>
      <c r="M253" s="403"/>
      <c r="N253" s="403"/>
      <c r="O253" s="416"/>
      <c r="P253" s="417"/>
      <c r="Q253" s="405"/>
      <c r="R253" s="406"/>
      <c r="S253" s="405">
        <f>IF(NOT(ISERROR(MATCH(R253,_xlfn.ANCHORARRAY(G264),0))),Q266&amp;"Por favor no seleccionar los criterios de impacto",R253)</f>
        <v>0</v>
      </c>
      <c r="T253" s="417"/>
      <c r="U253" s="405"/>
      <c r="V253" s="418"/>
      <c r="W253" s="149">
        <v>2</v>
      </c>
      <c r="X253" s="182"/>
      <c r="Y253" s="149"/>
      <c r="Z253" s="149"/>
      <c r="AA253" s="304" t="str">
        <f t="shared" ref="AA253:AA269" si="385">+CONCATENATE(X253," ",Y253," ",Z253)</f>
        <v xml:space="preserve">  </v>
      </c>
      <c r="AB253" s="126" t="str">
        <f t="shared" si="373"/>
        <v/>
      </c>
      <c r="AC253" s="127"/>
      <c r="AD253" s="127"/>
      <c r="AE253" s="128" t="str">
        <f t="shared" ref="AE253:AE257" si="386">IF(AND(AC253="Preventivo",AD253="Automático"),"50%",IF(AND(AC253="Preventivo",AD253="Manual"),"40%",IF(AND(AC253="Detectivo",AD253="Automático"),"40%",IF(AND(AC253="Detectivo",AD253="Manual"),"30%",IF(AND(AC253="Correctivo",AD253="Automático"),"35%",IF(AND(AC253="Correctivo",AD253="Manual"),"25%",""))))))</f>
        <v/>
      </c>
      <c r="AF253" s="127"/>
      <c r="AG253" s="127"/>
      <c r="AH253" s="127"/>
      <c r="AI253" s="129" t="str">
        <f>IFERROR(IF(AND(AB252="Probabilidad",AB253="Probabilidad"),(AK252-(+AK252*AE253)),IF(AB253="Probabilidad",(Q252-(+Q252*AE253)),IF(AB253="Impacto",AK252,""))),"")</f>
        <v/>
      </c>
      <c r="AJ253" s="130" t="str">
        <f t="shared" ref="AJ253:AJ269" si="387">IFERROR(IF(AI253="","",IF(AI253&lt;=0.2,"Muy Baja",IF(AI253&lt;=0.4,"Baja",IF(AI253&lt;=0.6,"Media",IF(AI253&lt;=0.8,"Alta","Muy Alta"))))),"")</f>
        <v/>
      </c>
      <c r="AK253" s="128" t="str">
        <f t="shared" ref="AK253:AK257" si="388">+AI253</f>
        <v/>
      </c>
      <c r="AL253" s="130" t="str">
        <f t="shared" ref="AL253:AL269" si="389">IFERROR(IF(AM253="","",IF(AM253&lt;=0.2,"Leve",IF(AM253&lt;=0.4,"Menor",IF(AM253&lt;=0.6,"Moderado",IF(AM253&lt;=0.8,"Mayor","Catastrófico"))))),"")</f>
        <v/>
      </c>
      <c r="AM253" s="128" t="str">
        <f>IFERROR(IF(AND(AB252="Impacto",AB253="Impacto"),(AM252-(+AM252*AE253)),IF(AB253="Impacto",($T$13-(+$T$13*AE253)),IF(AB253="Probabilidad",AM252,""))),"")</f>
        <v/>
      </c>
      <c r="AN253" s="131" t="str">
        <f t="shared" ref="AN253:AN257" si="390">IFERROR(IF(OR(AND(AJ253="Muy Baja",AL253="Leve"),AND(AJ253="Muy Baja",AL253="Menor"),AND(AJ253="Baja",AL253="Leve")),"Bajo",IF(OR(AND(AJ253="Muy baja",AL253="Moderado"),AND(AJ253="Baja",AL253="Menor"),AND(AJ253="Baja",AL253="Moderado"),AND(AJ253="Media",AL253="Leve"),AND(AJ253="Media",AL253="Menor"),AND(AJ253="Media",AL253="Moderado"),AND(AJ253="Alta",AL253="Leve"),AND(AJ253="Alta",AL253="Menor")),"Moderado",IF(OR(AND(AJ253="Muy Baja",AL253="Mayor"),AND(AJ253="Baja",AL253="Mayor"),AND(AJ253="Media",AL253="Mayor"),AND(AJ253="Alta",AL253="Moderado"),AND(AJ253="Alta",AL253="Mayor"),AND(AJ253="Muy Alta",AL253="Leve"),AND(AJ253="Muy Alta",AL253="Menor"),AND(AJ253="Muy Alta",AL253="Moderado"),AND(AJ253="Muy Alta",AL253="Mayor")),"Alto",IF(OR(AND(AJ253="Muy Baja",AL253="Catastrófico"),AND(AJ253="Baja",AL253="Catastrófico"),AND(AJ253="Media",AL253="Catastrófico"),AND(AJ253="Alta",AL253="Catastrófico"),AND(AJ253="Muy Alta",AL253="Catastrófico")),"Extremo","")))),"")</f>
        <v/>
      </c>
      <c r="AO253" s="132"/>
      <c r="AP253" s="125" t="s">
        <v>1445</v>
      </c>
      <c r="AQ253" s="125" t="s">
        <v>1440</v>
      </c>
      <c r="AR253" s="125" t="s">
        <v>1446</v>
      </c>
      <c r="AS253" s="134" t="s">
        <v>822</v>
      </c>
      <c r="AT253" s="400"/>
      <c r="AU253" s="400"/>
      <c r="AV253" s="400"/>
    </row>
    <row r="254" spans="1:48" x14ac:dyDescent="0.2">
      <c r="A254" s="398"/>
      <c r="B254" s="399"/>
      <c r="C254" s="400"/>
      <c r="D254" s="400"/>
      <c r="E254" s="400"/>
      <c r="F254" s="400"/>
      <c r="G254" s="401"/>
      <c r="H254" s="400"/>
      <c r="I254" s="403"/>
      <c r="J254" s="403"/>
      <c r="K254" s="403"/>
      <c r="L254" s="403"/>
      <c r="M254" s="403"/>
      <c r="N254" s="403"/>
      <c r="O254" s="416"/>
      <c r="P254" s="417"/>
      <c r="Q254" s="405"/>
      <c r="R254" s="406"/>
      <c r="S254" s="405">
        <f>IF(NOT(ISERROR(MATCH(R254,_xlfn.ANCHORARRAY(G265),0))),Q267&amp;"Por favor no seleccionar los criterios de impacto",R254)</f>
        <v>0</v>
      </c>
      <c r="T254" s="417"/>
      <c r="U254" s="405"/>
      <c r="V254" s="418"/>
      <c r="W254" s="149">
        <v>3</v>
      </c>
      <c r="X254" s="182"/>
      <c r="Y254" s="149"/>
      <c r="Z254" s="149"/>
      <c r="AA254" s="304" t="str">
        <f t="shared" si="385"/>
        <v xml:space="preserve">  </v>
      </c>
      <c r="AB254" s="126" t="str">
        <f t="shared" si="373"/>
        <v/>
      </c>
      <c r="AC254" s="127"/>
      <c r="AD254" s="127"/>
      <c r="AE254" s="128" t="str">
        <f t="shared" si="386"/>
        <v/>
      </c>
      <c r="AF254" s="127"/>
      <c r="AG254" s="127"/>
      <c r="AH254" s="127"/>
      <c r="AI254" s="129" t="str">
        <f>IFERROR(IF(AND(AB253="Probabilidad",AB254="Probabilidad"),(AK253-(+AK253*AE254)),IF(AND(AB253="Impacto",AB254="Probabilidad"),(AK252-(+AK252*AE254)),IF(AB254="Impacto",AK253,""))),"")</f>
        <v/>
      </c>
      <c r="AJ254" s="130" t="str">
        <f t="shared" si="387"/>
        <v/>
      </c>
      <c r="AK254" s="128" t="str">
        <f t="shared" si="388"/>
        <v/>
      </c>
      <c r="AL254" s="130" t="str">
        <f t="shared" si="389"/>
        <v/>
      </c>
      <c r="AM254" s="128" t="str">
        <f t="shared" ref="AM254:AM257" si="391">IFERROR(IF(AND(AB253="Impacto",AB254="Impacto"),(AM253-(+AM253*AE254)),IF(AB254="Impacto",($T$13-(+$T$13*AE254)),IF(AB254="Probabilidad",AM253,""))),"")</f>
        <v/>
      </c>
      <c r="AN254" s="131" t="str">
        <f t="shared" si="390"/>
        <v/>
      </c>
      <c r="AO254" s="132"/>
      <c r="AP254" s="125"/>
      <c r="AQ254" s="133"/>
      <c r="AR254" s="133"/>
      <c r="AS254" s="134"/>
      <c r="AT254" s="400"/>
      <c r="AU254" s="400"/>
      <c r="AV254" s="400"/>
    </row>
    <row r="255" spans="1:48" x14ac:dyDescent="0.2">
      <c r="A255" s="398"/>
      <c r="B255" s="399"/>
      <c r="C255" s="400"/>
      <c r="D255" s="400"/>
      <c r="E255" s="400"/>
      <c r="F255" s="400"/>
      <c r="G255" s="401"/>
      <c r="H255" s="400"/>
      <c r="I255" s="403"/>
      <c r="J255" s="403"/>
      <c r="K255" s="403"/>
      <c r="L255" s="403"/>
      <c r="M255" s="403"/>
      <c r="N255" s="403"/>
      <c r="O255" s="416"/>
      <c r="P255" s="417"/>
      <c r="Q255" s="405"/>
      <c r="R255" s="406"/>
      <c r="S255" s="405">
        <f>IF(NOT(ISERROR(MATCH(R255,_xlfn.ANCHORARRAY(G266),0))),Q268&amp;"Por favor no seleccionar los criterios de impacto",R255)</f>
        <v>0</v>
      </c>
      <c r="T255" s="417"/>
      <c r="U255" s="405"/>
      <c r="V255" s="418"/>
      <c r="W255" s="149">
        <v>4</v>
      </c>
      <c r="X255" s="182"/>
      <c r="Y255" s="149"/>
      <c r="Z255" s="149"/>
      <c r="AA255" s="304" t="str">
        <f t="shared" si="385"/>
        <v xml:space="preserve">  </v>
      </c>
      <c r="AB255" s="126" t="str">
        <f t="shared" si="373"/>
        <v/>
      </c>
      <c r="AC255" s="127"/>
      <c r="AD255" s="127"/>
      <c r="AE255" s="128" t="str">
        <f t="shared" si="386"/>
        <v/>
      </c>
      <c r="AF255" s="127"/>
      <c r="AG255" s="127"/>
      <c r="AH255" s="127"/>
      <c r="AI255" s="129" t="str">
        <f t="shared" ref="AI255:AI257" si="392">IFERROR(IF(AND(AB254="Probabilidad",AB255="Probabilidad"),(AK254-(+AK254*AE255)),IF(AND(AB254="Impacto",AB255="Probabilidad"),(AK253-(+AK253*AE255)),IF(AB255="Impacto",AK254,""))),"")</f>
        <v/>
      </c>
      <c r="AJ255" s="130" t="str">
        <f t="shared" si="387"/>
        <v/>
      </c>
      <c r="AK255" s="128" t="str">
        <f t="shared" si="388"/>
        <v/>
      </c>
      <c r="AL255" s="130" t="str">
        <f t="shared" si="389"/>
        <v/>
      </c>
      <c r="AM255" s="128" t="str">
        <f t="shared" si="391"/>
        <v/>
      </c>
      <c r="AN255" s="131" t="str">
        <f>IFERROR(IF(OR(AND(AJ255="Muy Baja",AL255="Leve"),AND(AJ255="Muy Baja",AL255="Menor"),AND(AJ255="Baja",AL255="Leve")),"Bajo",IF(OR(AND(AJ255="Muy baja",AL255="Moderado"),AND(AJ255="Baja",AL255="Menor"),AND(AJ255="Baja",AL255="Moderado"),AND(AJ255="Media",AL255="Leve"),AND(AJ255="Media",AL255="Menor"),AND(AJ255="Media",AL255="Moderado"),AND(AJ255="Alta",AL255="Leve"),AND(AJ255="Alta",AL255="Menor")),"Moderado",IF(OR(AND(AJ255="Muy Baja",AL255="Mayor"),AND(AJ255="Baja",AL255="Mayor"),AND(AJ255="Media",AL255="Mayor"),AND(AJ255="Alta",AL255="Moderado"),AND(AJ255="Alta",AL255="Mayor"),AND(AJ255="Muy Alta",AL255="Leve"),AND(AJ255="Muy Alta",AL255="Menor"),AND(AJ255="Muy Alta",AL255="Moderado"),AND(AJ255="Muy Alta",AL255="Mayor")),"Alto",IF(OR(AND(AJ255="Muy Baja",AL255="Catastrófico"),AND(AJ255="Baja",AL255="Catastrófico"),AND(AJ255="Media",AL255="Catastrófico"),AND(AJ255="Alta",AL255="Catastrófico"),AND(AJ255="Muy Alta",AL255="Catastrófico")),"Extremo","")))),"")</f>
        <v/>
      </c>
      <c r="AO255" s="132"/>
      <c r="AP255" s="125"/>
      <c r="AQ255" s="133"/>
      <c r="AR255" s="133"/>
      <c r="AS255" s="134"/>
      <c r="AT255" s="400"/>
      <c r="AU255" s="400"/>
      <c r="AV255" s="400"/>
    </row>
    <row r="256" spans="1:48" x14ac:dyDescent="0.2">
      <c r="A256" s="398"/>
      <c r="B256" s="399"/>
      <c r="C256" s="400"/>
      <c r="D256" s="400"/>
      <c r="E256" s="400"/>
      <c r="F256" s="400"/>
      <c r="G256" s="401"/>
      <c r="H256" s="400"/>
      <c r="I256" s="403"/>
      <c r="J256" s="403"/>
      <c r="K256" s="403"/>
      <c r="L256" s="403"/>
      <c r="M256" s="403"/>
      <c r="N256" s="403"/>
      <c r="O256" s="416"/>
      <c r="P256" s="417"/>
      <c r="Q256" s="405"/>
      <c r="R256" s="406"/>
      <c r="S256" s="405">
        <f>IF(NOT(ISERROR(MATCH(R256,_xlfn.ANCHORARRAY(G267),0))),Q269&amp;"Por favor no seleccionar los criterios de impacto",R256)</f>
        <v>0</v>
      </c>
      <c r="T256" s="417"/>
      <c r="U256" s="405"/>
      <c r="V256" s="418"/>
      <c r="W256" s="149">
        <v>5</v>
      </c>
      <c r="X256" s="182"/>
      <c r="Y256" s="149"/>
      <c r="Z256" s="149"/>
      <c r="AA256" s="304" t="str">
        <f t="shared" si="385"/>
        <v xml:space="preserve">  </v>
      </c>
      <c r="AB256" s="126" t="str">
        <f t="shared" si="373"/>
        <v/>
      </c>
      <c r="AC256" s="127"/>
      <c r="AD256" s="127"/>
      <c r="AE256" s="128" t="str">
        <f t="shared" si="386"/>
        <v/>
      </c>
      <c r="AF256" s="127"/>
      <c r="AG256" s="127"/>
      <c r="AH256" s="127"/>
      <c r="AI256" s="129" t="str">
        <f t="shared" si="392"/>
        <v/>
      </c>
      <c r="AJ256" s="130" t="str">
        <f t="shared" si="387"/>
        <v/>
      </c>
      <c r="AK256" s="128" t="str">
        <f t="shared" si="388"/>
        <v/>
      </c>
      <c r="AL256" s="130" t="str">
        <f t="shared" si="389"/>
        <v/>
      </c>
      <c r="AM256" s="128" t="str">
        <f t="shared" si="391"/>
        <v/>
      </c>
      <c r="AN256" s="131" t="str">
        <f t="shared" si="390"/>
        <v/>
      </c>
      <c r="AO256" s="132"/>
      <c r="AP256" s="125"/>
      <c r="AQ256" s="133"/>
      <c r="AR256" s="133"/>
      <c r="AS256" s="134"/>
      <c r="AT256" s="400"/>
      <c r="AU256" s="400"/>
      <c r="AV256" s="400"/>
    </row>
    <row r="257" spans="1:48" x14ac:dyDescent="0.2">
      <c r="A257" s="398"/>
      <c r="B257" s="399"/>
      <c r="C257" s="400"/>
      <c r="D257" s="400"/>
      <c r="E257" s="400"/>
      <c r="F257" s="400"/>
      <c r="G257" s="401"/>
      <c r="H257" s="400"/>
      <c r="I257" s="404"/>
      <c r="J257" s="404"/>
      <c r="K257" s="404"/>
      <c r="L257" s="404"/>
      <c r="M257" s="404"/>
      <c r="N257" s="404"/>
      <c r="O257" s="416"/>
      <c r="P257" s="417"/>
      <c r="Q257" s="405"/>
      <c r="R257" s="406"/>
      <c r="S257" s="405">
        <f>IF(NOT(ISERROR(MATCH(R257,_xlfn.ANCHORARRAY(G268),0))),Q270&amp;"Por favor no seleccionar los criterios de impacto",R257)</f>
        <v>0</v>
      </c>
      <c r="T257" s="417"/>
      <c r="U257" s="405"/>
      <c r="V257" s="418"/>
      <c r="W257" s="149">
        <v>6</v>
      </c>
      <c r="X257" s="182"/>
      <c r="Y257" s="149"/>
      <c r="Z257" s="149"/>
      <c r="AA257" s="304" t="str">
        <f t="shared" si="385"/>
        <v xml:space="preserve">  </v>
      </c>
      <c r="AB257" s="126" t="str">
        <f t="shared" si="373"/>
        <v/>
      </c>
      <c r="AC257" s="127"/>
      <c r="AD257" s="127"/>
      <c r="AE257" s="128" t="str">
        <f t="shared" si="386"/>
        <v/>
      </c>
      <c r="AF257" s="127"/>
      <c r="AG257" s="127"/>
      <c r="AH257" s="127"/>
      <c r="AI257" s="129" t="str">
        <f t="shared" si="392"/>
        <v/>
      </c>
      <c r="AJ257" s="130" t="str">
        <f t="shared" si="387"/>
        <v/>
      </c>
      <c r="AK257" s="128" t="str">
        <f t="shared" si="388"/>
        <v/>
      </c>
      <c r="AL257" s="130" t="str">
        <f t="shared" si="389"/>
        <v/>
      </c>
      <c r="AM257" s="128" t="str">
        <f t="shared" si="391"/>
        <v/>
      </c>
      <c r="AN257" s="131" t="str">
        <f t="shared" si="390"/>
        <v/>
      </c>
      <c r="AO257" s="132"/>
      <c r="AP257" s="125"/>
      <c r="AQ257" s="133"/>
      <c r="AR257" s="133"/>
      <c r="AS257" s="134"/>
      <c r="AT257" s="400"/>
      <c r="AU257" s="400"/>
      <c r="AV257" s="400"/>
    </row>
    <row r="258" spans="1:48" ht="46.5" customHeight="1" x14ac:dyDescent="0.2">
      <c r="A258" s="398">
        <v>42</v>
      </c>
      <c r="B258" s="399" t="s">
        <v>38</v>
      </c>
      <c r="C258" s="400" t="s">
        <v>40</v>
      </c>
      <c r="D258" s="400" t="s">
        <v>1447</v>
      </c>
      <c r="E258" s="400" t="s">
        <v>1448</v>
      </c>
      <c r="F258" s="400" t="s">
        <v>1433</v>
      </c>
      <c r="G258" s="401" t="str">
        <f t="shared" ref="G258" si="393">+CONCATENATE(C258," ",D258," ",E258)</f>
        <v>Posibilidad de afectación reputacional por incumplimiento de las metas  debido a deficiencias en el seguimiento de las actividades programadas de Planificación, Producción, Apoyo Logistico e Intervención.</v>
      </c>
      <c r="H258" s="400" t="s">
        <v>391</v>
      </c>
      <c r="I258" s="402" t="s">
        <v>59</v>
      </c>
      <c r="J258" s="402" t="s">
        <v>1449</v>
      </c>
      <c r="K258" s="402" t="s">
        <v>1450</v>
      </c>
      <c r="L258" s="402" t="s">
        <v>1451</v>
      </c>
      <c r="M258" s="402" t="s">
        <v>60</v>
      </c>
      <c r="N258" s="402" t="s">
        <v>38</v>
      </c>
      <c r="O258" s="416">
        <v>12</v>
      </c>
      <c r="P258" s="417" t="str">
        <f>IF(O258&lt;=0,"",IF(O258&lt;=2,"Muy Baja",IF(O258&lt;=24,"Baja",IF(O258&lt;=500,"Media",IF(O258&lt;=5000,"Alta","Muy Alta")))))</f>
        <v>Baja</v>
      </c>
      <c r="Q258" s="405">
        <f>IF(P258="","",IF(P258="Muy Baja",0.2,IF(P258="Baja",0.4,IF(P258="Media",0.6,IF(P258="Alta",0.8,IF(P258="Muy Alta",1,))))))</f>
        <v>0.4</v>
      </c>
      <c r="R258" s="406" t="s">
        <v>428</v>
      </c>
      <c r="S258" s="405" t="str">
        <f>IF(NOT(ISERROR(MATCH(R258,'[11]Tabla Impacto'!$B$245:$B$247,0))),'[11]Tabla Impacto'!$F$224&amp;"Por favor no seleccionar los criterios de impacto(Afectación Económica o presupuestal y Pérdida Reputacional)",R258)</f>
        <v xml:space="preserve">     El riesgo afecta la imagen de la entidad con algunos usuarios de relevancia frente al logro de los objetivos</v>
      </c>
      <c r="T258" s="417" t="str">
        <f>IF(OR(S258='[11]Tabla Impacto'!$C$12,S258='[11]Tabla Impacto'!$D$12),"Leve",IF(OR(S258='[11]Tabla Impacto'!$C$13,S258='[11]Tabla Impacto'!$D$13),"Menor",IF(OR(S258='[11]Tabla Impacto'!$C$14,S258='[11]Tabla Impacto'!$D$14),"Moderado",IF(OR(S258='[11]Tabla Impacto'!$C$15,S258='[11]Tabla Impacto'!$D$15),"Mayor",IF(OR(S258='[11]Tabla Impacto'!$C$16,S258='[11]Tabla Impacto'!$D$16),"Catastrófico","")))))</f>
        <v>Moderado</v>
      </c>
      <c r="U258" s="405">
        <f>IF(T258="","",IF(T258="Leve",0.2,IF(T258="Menor",0.4,IF(T258="Moderado",0.6,IF(T258="Mayor",0.8,IF(T258="Catastrófico",1,))))))</f>
        <v>0.6</v>
      </c>
      <c r="V258" s="418" t="str">
        <f>IF(OR(AND(P258="Muy Baja",T258="Leve"),AND(P258="Muy Baja",T258="Menor"),AND(P258="Baja",T258="Leve")),"Bajo",IF(OR(AND(P258="Muy baja",T258="Moderado"),AND(P258="Baja",T258="Menor"),AND(P258="Baja",T258="Moderado"),AND(P258="Media",T258="Leve"),AND(P258="Media",T258="Menor"),AND(P258="Media",T258="Moderado"),AND(P258="Alta",T258="Leve"),AND(P258="Alta",T258="Menor")),"Moderado",IF(OR(AND(P258="Muy Baja",T258="Mayor"),AND(P258="Baja",T258="Mayor"),AND(P258="Media",T258="Mayor"),AND(P258="Alta",T258="Moderado"),AND(P258="Alta",T258="Mayor"),AND(P258="Muy Alta",T258="Leve"),AND(P258="Muy Alta",T258="Menor"),AND(P258="Muy Alta",T258="Moderado"),AND(P258="Muy Alta",T258="Mayor")),"Alto",IF(OR(AND(P258="Muy Baja",T258="Catastrófico"),AND(P258="Baja",T258="Catastrófico"),AND(P258="Media",T258="Catastrófico"),AND(P258="Alta",T258="Catastrófico"),AND(P258="Muy Alta",T258="Catastrófico")),"Extremo",""))))</f>
        <v>Moderado</v>
      </c>
      <c r="W258" s="149">
        <v>1</v>
      </c>
      <c r="X258" s="182" t="s">
        <v>1437</v>
      </c>
      <c r="Y258" s="149" t="s">
        <v>52</v>
      </c>
      <c r="Z258" s="182" t="s">
        <v>1452</v>
      </c>
      <c r="AA258" s="304" t="str">
        <f t="shared" si="385"/>
        <v>El Gerente del Proyecto Revisa mensualmente la ejecución presupuestal y física de los contratos de insumos, bienes y servicios financiados por el proyecto de inversión 8055.
Como evidencia queda el acta de Reunión de Seguimiento presupuestal a los contratos misionales.
En caso de evidenciar desviaciones se escala a la instancia de coordinación - Comité de Planificación, Producción e Intervención de UAERMV.</v>
      </c>
      <c r="AB258" s="126" t="str">
        <f>IF(OR(AC258="Preventivo",AC258="Detectivo"),"Probabilidad",IF(AC258="Correctivo","Impacto",""))</f>
        <v>Probabilidad</v>
      </c>
      <c r="AC258" s="127" t="s">
        <v>398</v>
      </c>
      <c r="AD258" s="127" t="s">
        <v>394</v>
      </c>
      <c r="AE258" s="128" t="str">
        <f>IF(AND(AC258="Preventivo",AD258="Automático"),"50%",IF(AND(AC258="Preventivo",AD258="Manual"),"40%",IF(AND(AC258="Detectivo",AD258="Automático"),"40%",IF(AND(AC258="Detectivo",AD258="Manual"),"30%",IF(AND(AC258="Correctivo",AD258="Automático"),"35%",IF(AND(AC258="Correctivo",AD258="Manual"),"25%",""))))))</f>
        <v>40%</v>
      </c>
      <c r="AF258" s="127" t="s">
        <v>395</v>
      </c>
      <c r="AG258" s="127" t="s">
        <v>396</v>
      </c>
      <c r="AH258" s="127" t="s">
        <v>397</v>
      </c>
      <c r="AI258" s="129">
        <f>IFERROR(IF(AB258="Probabilidad",(Q258-(+Q258*AE258)),IF(AB258="Impacto",Q258,"")),"")</f>
        <v>0.24</v>
      </c>
      <c r="AJ258" s="130" t="str">
        <f>IFERROR(IF(AI258="","",IF(AI258&lt;=0.2,"Muy Baja",IF(AI258&lt;=0.4,"Baja",IF(AI258&lt;=0.6,"Media",IF(AI258&lt;=0.8,"Alta","Muy Alta"))))),"")</f>
        <v>Baja</v>
      </c>
      <c r="AK258" s="128">
        <f>+AI258</f>
        <v>0.24</v>
      </c>
      <c r="AL258" s="130" t="str">
        <f>IFERROR(IF(AM258="","",IF(AM258&lt;=0.2,"Leve",IF(AM258&lt;=0.4,"Menor",IF(AM258&lt;=0.6,"Moderado",IF(AM258&lt;=0.8,"Mayor","Catastrófico"))))),"")</f>
        <v>Moderado</v>
      </c>
      <c r="AM258" s="128">
        <f>IFERROR(IF(AB258="Impacto",(U258-(+U258*AE258)),IF(AB258="Probabilidad",U258,"")),"")</f>
        <v>0.6</v>
      </c>
      <c r="AN258" s="131" t="str">
        <f>IFERROR(IF(OR(AND(AJ258="Muy Baja",AL258="Leve"),AND(AJ258="Muy Baja",AL258="Menor"),AND(AJ258="Baja",AL258="Leve")),"Bajo",IF(OR(AND(AJ258="Muy baja",AL258="Moderado"),AND(AJ258="Baja",AL258="Menor"),AND(AJ258="Baja",AL258="Moderado"),AND(AJ258="Media",AL258="Leve"),AND(AJ258="Media",AL258="Menor"),AND(AJ258="Media",AL258="Moderado"),AND(AJ258="Alta",AL258="Leve"),AND(AJ258="Alta",AL258="Menor")),"Moderado",IF(OR(AND(AJ258="Muy Baja",AL258="Mayor"),AND(AJ258="Baja",AL258="Mayor"),AND(AJ258="Media",AL258="Mayor"),AND(AJ258="Alta",AL258="Moderado"),AND(AJ258="Alta",AL258="Mayor"),AND(AJ258="Muy Alta",AL258="Leve"),AND(AJ258="Muy Alta",AL258="Menor"),AND(AJ258="Muy Alta",AL258="Moderado"),AND(AJ258="Muy Alta",AL258="Mayor")),"Alto",IF(OR(AND(AJ258="Muy Baja",AL258="Catastrófico"),AND(AJ258="Baja",AL258="Catastrófico"),AND(AJ258="Media",AL258="Catastrófico"),AND(AJ258="Alta",AL258="Catastrófico"),AND(AJ258="Muy Alta",AL258="Catastrófico")),"Extremo","")))),"")</f>
        <v>Moderado</v>
      </c>
      <c r="AO258" s="132" t="s">
        <v>43</v>
      </c>
      <c r="AP258" s="125" t="s">
        <v>1453</v>
      </c>
      <c r="AQ258" s="125" t="s">
        <v>1440</v>
      </c>
      <c r="AR258" s="133" t="s">
        <v>1454</v>
      </c>
      <c r="AS258" s="134" t="s">
        <v>822</v>
      </c>
      <c r="AT258" s="400" t="s">
        <v>1442</v>
      </c>
      <c r="AU258" s="400" t="s">
        <v>1443</v>
      </c>
      <c r="AV258" s="400" t="s">
        <v>1444</v>
      </c>
    </row>
    <row r="259" spans="1:48" x14ac:dyDescent="0.2">
      <c r="A259" s="398"/>
      <c r="B259" s="399"/>
      <c r="C259" s="400"/>
      <c r="D259" s="400"/>
      <c r="E259" s="400"/>
      <c r="F259" s="400"/>
      <c r="G259" s="401"/>
      <c r="H259" s="400"/>
      <c r="I259" s="403"/>
      <c r="J259" s="403"/>
      <c r="K259" s="403"/>
      <c r="L259" s="403"/>
      <c r="M259" s="403"/>
      <c r="N259" s="403"/>
      <c r="O259" s="416"/>
      <c r="P259" s="417"/>
      <c r="Q259" s="405"/>
      <c r="R259" s="406"/>
      <c r="S259" s="405">
        <f>IF(NOT(ISERROR(MATCH(R259,_xlfn.ANCHORARRAY(G270),0))),Q272&amp;"Por favor no seleccionar los criterios de impacto",R259)</f>
        <v>0</v>
      </c>
      <c r="T259" s="417"/>
      <c r="U259" s="405"/>
      <c r="V259" s="418"/>
      <c r="W259" s="149">
        <v>2</v>
      </c>
      <c r="X259" s="182"/>
      <c r="Y259" s="149"/>
      <c r="Z259" s="149"/>
      <c r="AA259" s="304" t="str">
        <f t="shared" si="385"/>
        <v xml:space="preserve">  </v>
      </c>
      <c r="AB259" s="126" t="str">
        <f>IF(OR(AC259="Preventivo",AC259="Detectivo"),"Probabilidad",IF(AC259="Correctivo","Impacto",""))</f>
        <v/>
      </c>
      <c r="AC259" s="127"/>
      <c r="AD259" s="127"/>
      <c r="AE259" s="128" t="str">
        <f t="shared" ref="AE259:AE263" si="394">IF(AND(AC259="Preventivo",AD259="Automático"),"50%",IF(AND(AC259="Preventivo",AD259="Manual"),"40%",IF(AND(AC259="Detectivo",AD259="Automático"),"40%",IF(AND(AC259="Detectivo",AD259="Manual"),"30%",IF(AND(AC259="Correctivo",AD259="Automático"),"35%",IF(AND(AC259="Correctivo",AD259="Manual"),"25%",""))))))</f>
        <v/>
      </c>
      <c r="AF259" s="127"/>
      <c r="AG259" s="127"/>
      <c r="AH259" s="127"/>
      <c r="AI259" s="129" t="str">
        <f>IFERROR(IF(AND(AB258="Probabilidad",AB259="Probabilidad"),(AK258-(+AK258*AE259)),IF(AB259="Probabilidad",(Q258-(+Q258*AE259)),IF(AB259="Impacto",AK258,""))),"")</f>
        <v/>
      </c>
      <c r="AJ259" s="130" t="str">
        <f t="shared" si="387"/>
        <v/>
      </c>
      <c r="AK259" s="128" t="str">
        <f t="shared" ref="AK259:AK263" si="395">+AI259</f>
        <v/>
      </c>
      <c r="AL259" s="130" t="str">
        <f t="shared" si="389"/>
        <v/>
      </c>
      <c r="AM259" s="128" t="str">
        <f t="shared" ref="AM259" si="396">IFERROR(IF(AND(AB258="Impacto",AB259="Impacto"),(AM258-(+AM258*AE259)),IF(AB259="Impacto",($T$13-(+$T$13*AE259)),IF(AB259="Probabilidad",AM258,""))),"")</f>
        <v/>
      </c>
      <c r="AN259" s="131" t="str">
        <f t="shared" ref="AN259:AN260" si="397">IFERROR(IF(OR(AND(AJ259="Muy Baja",AL259="Leve"),AND(AJ259="Muy Baja",AL259="Menor"),AND(AJ259="Baja",AL259="Leve")),"Bajo",IF(OR(AND(AJ259="Muy baja",AL259="Moderado"),AND(AJ259="Baja",AL259="Menor"),AND(AJ259="Baja",AL259="Moderado"),AND(AJ259="Media",AL259="Leve"),AND(AJ259="Media",AL259="Menor"),AND(AJ259="Media",AL259="Moderado"),AND(AJ259="Alta",AL259="Leve"),AND(AJ259="Alta",AL259="Menor")),"Moderado",IF(OR(AND(AJ259="Muy Baja",AL259="Mayor"),AND(AJ259="Baja",AL259="Mayor"),AND(AJ259="Media",AL259="Mayor"),AND(AJ259="Alta",AL259="Moderado"),AND(AJ259="Alta",AL259="Mayor"),AND(AJ259="Muy Alta",AL259="Leve"),AND(AJ259="Muy Alta",AL259="Menor"),AND(AJ259="Muy Alta",AL259="Moderado"),AND(AJ259="Muy Alta",AL259="Mayor")),"Alto",IF(OR(AND(AJ259="Muy Baja",AL259="Catastrófico"),AND(AJ259="Baja",AL259="Catastrófico"),AND(AJ259="Media",AL259="Catastrófico"),AND(AJ259="Alta",AL259="Catastrófico"),AND(AJ259="Muy Alta",AL259="Catastrófico")),"Extremo","")))),"")</f>
        <v/>
      </c>
      <c r="AO259" s="132"/>
      <c r="AP259" s="125"/>
      <c r="AQ259" s="133"/>
      <c r="AR259" s="125"/>
      <c r="AS259" s="134"/>
      <c r="AT259" s="400"/>
      <c r="AU259" s="400"/>
      <c r="AV259" s="400"/>
    </row>
    <row r="260" spans="1:48" x14ac:dyDescent="0.2">
      <c r="A260" s="398"/>
      <c r="B260" s="399"/>
      <c r="C260" s="400"/>
      <c r="D260" s="400"/>
      <c r="E260" s="400"/>
      <c r="F260" s="400"/>
      <c r="G260" s="401"/>
      <c r="H260" s="400"/>
      <c r="I260" s="403"/>
      <c r="J260" s="403"/>
      <c r="K260" s="403"/>
      <c r="L260" s="403"/>
      <c r="M260" s="403"/>
      <c r="N260" s="403"/>
      <c r="O260" s="416"/>
      <c r="P260" s="417"/>
      <c r="Q260" s="405"/>
      <c r="R260" s="406"/>
      <c r="S260" s="405">
        <f>IF(NOT(ISERROR(MATCH(R260,_xlfn.ANCHORARRAY(G271),0))),Q273&amp;"Por favor no seleccionar los criterios de impacto",R260)</f>
        <v>0</v>
      </c>
      <c r="T260" s="417"/>
      <c r="U260" s="405"/>
      <c r="V260" s="418"/>
      <c r="W260" s="149">
        <v>3</v>
      </c>
      <c r="X260" s="182"/>
      <c r="Y260" s="149"/>
      <c r="Z260" s="149"/>
      <c r="AA260" s="304" t="str">
        <f t="shared" si="385"/>
        <v xml:space="preserve">  </v>
      </c>
      <c r="AB260" s="126" t="str">
        <f>IF(OR(AC260="Preventivo",AC260="Detectivo"),"Probabilidad",IF(AC260="Correctivo","Impacto",""))</f>
        <v/>
      </c>
      <c r="AC260" s="127"/>
      <c r="AD260" s="127"/>
      <c r="AE260" s="128" t="str">
        <f t="shared" si="394"/>
        <v/>
      </c>
      <c r="AF260" s="127"/>
      <c r="AG260" s="127"/>
      <c r="AH260" s="127"/>
      <c r="AI260" s="129" t="str">
        <f>IFERROR(IF(AND(AB259="Probabilidad",AB260="Probabilidad"),(AK259-(+AK259*AE260)),IF(AND(AB259="Impacto",AB260="Probabilidad"),(AK258-(+AK258*AE260)),IF(AB260="Impacto",AK259,""))),"")</f>
        <v/>
      </c>
      <c r="AJ260" s="130" t="str">
        <f t="shared" si="387"/>
        <v/>
      </c>
      <c r="AK260" s="128" t="str">
        <f t="shared" si="395"/>
        <v/>
      </c>
      <c r="AL260" s="130" t="str">
        <f t="shared" si="389"/>
        <v/>
      </c>
      <c r="AM260" s="128" t="str">
        <f t="shared" ref="AM260:AM269" si="398">IFERROR(IF(AND(AB259="Impacto",AB260="Impacto"),(AM259-(+AM259*AE260)),IF(AND(AB259="Probabilidad",AB260="Impacto"),(AM258-(+AM258*AE260)),IF(AB260="Probabilidad",AM259,""))),"")</f>
        <v/>
      </c>
      <c r="AN260" s="131" t="str">
        <f t="shared" si="397"/>
        <v/>
      </c>
      <c r="AO260" s="132"/>
      <c r="AP260" s="125"/>
      <c r="AQ260" s="133"/>
      <c r="AR260" s="133"/>
      <c r="AS260" s="134"/>
      <c r="AT260" s="400"/>
      <c r="AU260" s="400"/>
      <c r="AV260" s="400"/>
    </row>
    <row r="261" spans="1:48" x14ac:dyDescent="0.2">
      <c r="A261" s="398"/>
      <c r="B261" s="399"/>
      <c r="C261" s="400"/>
      <c r="D261" s="400"/>
      <c r="E261" s="400"/>
      <c r="F261" s="400"/>
      <c r="G261" s="401"/>
      <c r="H261" s="400"/>
      <c r="I261" s="403"/>
      <c r="J261" s="403"/>
      <c r="K261" s="403"/>
      <c r="L261" s="403"/>
      <c r="M261" s="403"/>
      <c r="N261" s="403"/>
      <c r="O261" s="416"/>
      <c r="P261" s="417"/>
      <c r="Q261" s="405"/>
      <c r="R261" s="406"/>
      <c r="S261" s="405">
        <f>IF(NOT(ISERROR(MATCH(R261,_xlfn.ANCHORARRAY(G272),0))),Q274&amp;"Por favor no seleccionar los criterios de impacto",R261)</f>
        <v>0</v>
      </c>
      <c r="T261" s="417"/>
      <c r="U261" s="405"/>
      <c r="V261" s="418"/>
      <c r="W261" s="149">
        <v>4</v>
      </c>
      <c r="X261" s="182"/>
      <c r="Y261" s="149"/>
      <c r="Z261" s="149"/>
      <c r="AA261" s="304" t="str">
        <f t="shared" si="385"/>
        <v xml:space="preserve">  </v>
      </c>
      <c r="AB261" s="126" t="str">
        <f t="shared" ref="AB261:AB263" si="399">IF(OR(AC261="Preventivo",AC261="Detectivo"),"Probabilidad",IF(AC261="Correctivo","Impacto",""))</f>
        <v/>
      </c>
      <c r="AC261" s="127"/>
      <c r="AD261" s="127"/>
      <c r="AE261" s="128" t="str">
        <f t="shared" si="394"/>
        <v/>
      </c>
      <c r="AF261" s="127"/>
      <c r="AG261" s="127"/>
      <c r="AH261" s="127"/>
      <c r="AI261" s="129" t="str">
        <f t="shared" ref="AI261:AI263" si="400">IFERROR(IF(AND(AB260="Probabilidad",AB261="Probabilidad"),(AK260-(+AK260*AE261)),IF(AND(AB260="Impacto",AB261="Probabilidad"),(AK259-(+AK259*AE261)),IF(AB261="Impacto",AK260,""))),"")</f>
        <v/>
      </c>
      <c r="AJ261" s="130" t="str">
        <f t="shared" si="387"/>
        <v/>
      </c>
      <c r="AK261" s="128" t="str">
        <f t="shared" si="395"/>
        <v/>
      </c>
      <c r="AL261" s="130" t="str">
        <f t="shared" si="389"/>
        <v/>
      </c>
      <c r="AM261" s="128" t="str">
        <f t="shared" si="398"/>
        <v/>
      </c>
      <c r="AN261" s="131" t="str">
        <f>IFERROR(IF(OR(AND(AJ261="Muy Baja",AL261="Leve"),AND(AJ261="Muy Baja",AL261="Menor"),AND(AJ261="Baja",AL261="Leve")),"Bajo",IF(OR(AND(AJ261="Muy baja",AL261="Moderado"),AND(AJ261="Baja",AL261="Menor"),AND(AJ261="Baja",AL261="Moderado"),AND(AJ261="Media",AL261="Leve"),AND(AJ261="Media",AL261="Menor"),AND(AJ261="Media",AL261="Moderado"),AND(AJ261="Alta",AL261="Leve"),AND(AJ261="Alta",AL261="Menor")),"Moderado",IF(OR(AND(AJ261="Muy Baja",AL261="Mayor"),AND(AJ261="Baja",AL261="Mayor"),AND(AJ261="Media",AL261="Mayor"),AND(AJ261="Alta",AL261="Moderado"),AND(AJ261="Alta",AL261="Mayor"),AND(AJ261="Muy Alta",AL261="Leve"),AND(AJ261="Muy Alta",AL261="Menor"),AND(AJ261="Muy Alta",AL261="Moderado"),AND(AJ261="Muy Alta",AL261="Mayor")),"Alto",IF(OR(AND(AJ261="Muy Baja",AL261="Catastrófico"),AND(AJ261="Baja",AL261="Catastrófico"),AND(AJ261="Media",AL261="Catastrófico"),AND(AJ261="Alta",AL261="Catastrófico"),AND(AJ261="Muy Alta",AL261="Catastrófico")),"Extremo","")))),"")</f>
        <v/>
      </c>
      <c r="AO261" s="132"/>
      <c r="AP261" s="125"/>
      <c r="AQ261" s="133"/>
      <c r="AR261" s="133"/>
      <c r="AS261" s="134"/>
      <c r="AT261" s="400"/>
      <c r="AU261" s="400"/>
      <c r="AV261" s="400"/>
    </row>
    <row r="262" spans="1:48" x14ac:dyDescent="0.2">
      <c r="A262" s="398"/>
      <c r="B262" s="399"/>
      <c r="C262" s="400"/>
      <c r="D262" s="400"/>
      <c r="E262" s="400"/>
      <c r="F262" s="400"/>
      <c r="G262" s="401"/>
      <c r="H262" s="400"/>
      <c r="I262" s="403"/>
      <c r="J262" s="403"/>
      <c r="K262" s="403"/>
      <c r="L262" s="403"/>
      <c r="M262" s="403"/>
      <c r="N262" s="403"/>
      <c r="O262" s="416"/>
      <c r="P262" s="417"/>
      <c r="Q262" s="405"/>
      <c r="R262" s="406"/>
      <c r="S262" s="405">
        <f>IF(NOT(ISERROR(MATCH(R262,_xlfn.ANCHORARRAY(G273),0))),Q275&amp;"Por favor no seleccionar los criterios de impacto",R262)</f>
        <v>0</v>
      </c>
      <c r="T262" s="417"/>
      <c r="U262" s="405"/>
      <c r="V262" s="418"/>
      <c r="W262" s="149">
        <v>5</v>
      </c>
      <c r="X262" s="182"/>
      <c r="Y262" s="149"/>
      <c r="Z262" s="149"/>
      <c r="AA262" s="304" t="str">
        <f t="shared" si="385"/>
        <v xml:space="preserve">  </v>
      </c>
      <c r="AB262" s="126" t="str">
        <f t="shared" si="399"/>
        <v/>
      </c>
      <c r="AC262" s="127"/>
      <c r="AD262" s="127"/>
      <c r="AE262" s="128" t="str">
        <f t="shared" si="394"/>
        <v/>
      </c>
      <c r="AF262" s="127"/>
      <c r="AG262" s="127"/>
      <c r="AH262" s="127"/>
      <c r="AI262" s="129" t="str">
        <f t="shared" si="400"/>
        <v/>
      </c>
      <c r="AJ262" s="130" t="str">
        <f t="shared" si="387"/>
        <v/>
      </c>
      <c r="AK262" s="128" t="str">
        <f t="shared" si="395"/>
        <v/>
      </c>
      <c r="AL262" s="130" t="str">
        <f t="shared" si="389"/>
        <v/>
      </c>
      <c r="AM262" s="128" t="str">
        <f t="shared" si="398"/>
        <v/>
      </c>
      <c r="AN262" s="131" t="str">
        <f t="shared" ref="AN262:AN263" si="401">IFERROR(IF(OR(AND(AJ262="Muy Baja",AL262="Leve"),AND(AJ262="Muy Baja",AL262="Menor"),AND(AJ262="Baja",AL262="Leve")),"Bajo",IF(OR(AND(AJ262="Muy baja",AL262="Moderado"),AND(AJ262="Baja",AL262="Menor"),AND(AJ262="Baja",AL262="Moderado"),AND(AJ262="Media",AL262="Leve"),AND(AJ262="Media",AL262="Menor"),AND(AJ262="Media",AL262="Moderado"),AND(AJ262="Alta",AL262="Leve"),AND(AJ262="Alta",AL262="Menor")),"Moderado",IF(OR(AND(AJ262="Muy Baja",AL262="Mayor"),AND(AJ262="Baja",AL262="Mayor"),AND(AJ262="Media",AL262="Mayor"),AND(AJ262="Alta",AL262="Moderado"),AND(AJ262="Alta",AL262="Mayor"),AND(AJ262="Muy Alta",AL262="Leve"),AND(AJ262="Muy Alta",AL262="Menor"),AND(AJ262="Muy Alta",AL262="Moderado"),AND(AJ262="Muy Alta",AL262="Mayor")),"Alto",IF(OR(AND(AJ262="Muy Baja",AL262="Catastrófico"),AND(AJ262="Baja",AL262="Catastrófico"),AND(AJ262="Media",AL262="Catastrófico"),AND(AJ262="Alta",AL262="Catastrófico"),AND(AJ262="Muy Alta",AL262="Catastrófico")),"Extremo","")))),"")</f>
        <v/>
      </c>
      <c r="AO262" s="132"/>
      <c r="AP262" s="125"/>
      <c r="AQ262" s="133"/>
      <c r="AR262" s="133"/>
      <c r="AS262" s="134"/>
      <c r="AT262" s="400"/>
      <c r="AU262" s="400"/>
      <c r="AV262" s="400"/>
    </row>
    <row r="263" spans="1:48" x14ac:dyDescent="0.2">
      <c r="A263" s="398"/>
      <c r="B263" s="399"/>
      <c r="C263" s="400"/>
      <c r="D263" s="400"/>
      <c r="E263" s="400"/>
      <c r="F263" s="400"/>
      <c r="G263" s="401"/>
      <c r="H263" s="400"/>
      <c r="I263" s="404"/>
      <c r="J263" s="404"/>
      <c r="K263" s="404"/>
      <c r="L263" s="404"/>
      <c r="M263" s="404"/>
      <c r="N263" s="404"/>
      <c r="O263" s="416"/>
      <c r="P263" s="417"/>
      <c r="Q263" s="405"/>
      <c r="R263" s="406"/>
      <c r="S263" s="405">
        <f>IF(NOT(ISERROR(MATCH(R263,_xlfn.ANCHORARRAY(G274),0))),Q276&amp;"Por favor no seleccionar los criterios de impacto",R263)</f>
        <v>0</v>
      </c>
      <c r="T263" s="417"/>
      <c r="U263" s="405"/>
      <c r="V263" s="418"/>
      <c r="W263" s="149">
        <v>6</v>
      </c>
      <c r="X263" s="149"/>
      <c r="Y263" s="149"/>
      <c r="Z263" s="149"/>
      <c r="AA263" s="304" t="str">
        <f t="shared" si="385"/>
        <v xml:space="preserve">  </v>
      </c>
      <c r="AB263" s="126" t="str">
        <f t="shared" si="399"/>
        <v/>
      </c>
      <c r="AC263" s="127"/>
      <c r="AD263" s="127"/>
      <c r="AE263" s="128" t="str">
        <f t="shared" si="394"/>
        <v/>
      </c>
      <c r="AF263" s="127"/>
      <c r="AG263" s="127"/>
      <c r="AH263" s="127"/>
      <c r="AI263" s="129" t="str">
        <f t="shared" si="400"/>
        <v/>
      </c>
      <c r="AJ263" s="130" t="str">
        <f t="shared" si="387"/>
        <v/>
      </c>
      <c r="AK263" s="128" t="str">
        <f t="shared" si="395"/>
        <v/>
      </c>
      <c r="AL263" s="130" t="str">
        <f t="shared" si="389"/>
        <v/>
      </c>
      <c r="AM263" s="128" t="str">
        <f t="shared" si="398"/>
        <v/>
      </c>
      <c r="AN263" s="131" t="str">
        <f t="shared" si="401"/>
        <v/>
      </c>
      <c r="AO263" s="132"/>
      <c r="AP263" s="125"/>
      <c r="AQ263" s="133"/>
      <c r="AR263" s="133"/>
      <c r="AS263" s="134"/>
      <c r="AT263" s="400"/>
      <c r="AU263" s="400"/>
      <c r="AV263" s="400"/>
    </row>
    <row r="264" spans="1:48" ht="46.5" customHeight="1" x14ac:dyDescent="0.2">
      <c r="A264" s="398">
        <v>43</v>
      </c>
      <c r="B264" s="399" t="s">
        <v>38</v>
      </c>
      <c r="C264" s="400" t="s">
        <v>40</v>
      </c>
      <c r="D264" s="400" t="s">
        <v>1455</v>
      </c>
      <c r="E264" s="400" t="s">
        <v>1456</v>
      </c>
      <c r="F264" s="400" t="s">
        <v>1457</v>
      </c>
      <c r="G264" s="401" t="str">
        <f t="shared" ref="G264" si="402">+CONCATENATE(C264," ",D264," ",E264)</f>
        <v>Posibilidad de afectación reputacional por falta de calidad en las obras entregadas  debido a posibles incumplimientos en las especificaciones técnicas dentro de la cadena de abastecimiento, producción e intervención.</v>
      </c>
      <c r="H264" s="400" t="s">
        <v>391</v>
      </c>
      <c r="I264" s="402" t="s">
        <v>59</v>
      </c>
      <c r="J264" s="402" t="s">
        <v>1458</v>
      </c>
      <c r="K264" s="402" t="s">
        <v>1459</v>
      </c>
      <c r="L264" s="402" t="s">
        <v>1460</v>
      </c>
      <c r="M264" s="402" t="s">
        <v>60</v>
      </c>
      <c r="N264" s="402" t="s">
        <v>38</v>
      </c>
      <c r="O264" s="416">
        <v>12</v>
      </c>
      <c r="P264" s="417" t="str">
        <f>IF(O264&lt;=0,"",IF(O264&lt;=2,"Muy Baja",IF(O264&lt;=24,"Baja",IF(O264&lt;=500,"Media",IF(O264&lt;=5000,"Alta","Muy Alta")))))</f>
        <v>Baja</v>
      </c>
      <c r="Q264" s="405">
        <f>IF(P264="","",IF(P264="Muy Baja",0.2,IF(P264="Baja",0.4,IF(P264="Media",0.6,IF(P264="Alta",0.8,IF(P264="Muy Alta",1,))))))</f>
        <v>0.4</v>
      </c>
      <c r="R264" s="406" t="s">
        <v>428</v>
      </c>
      <c r="S264" s="405" t="str">
        <f>IF(NOT(ISERROR(MATCH(R264,'[11]Tabla Impacto'!$B$245:$B$247,0))),'[11]Tabla Impacto'!$F$224&amp;"Por favor no seleccionar los criterios de impacto(Afectación Económica o presupuestal y Pérdida Reputacional)",R264)</f>
        <v xml:space="preserve">     El riesgo afecta la imagen de la entidad con algunos usuarios de relevancia frente al logro de los objetivos</v>
      </c>
      <c r="T264" s="417" t="str">
        <f>IF(OR(S264='[11]Tabla Impacto'!$C$12,S264='[11]Tabla Impacto'!$D$12),"Leve",IF(OR(S264='[11]Tabla Impacto'!$C$13,S264='[11]Tabla Impacto'!$D$13),"Menor",IF(OR(S264='[11]Tabla Impacto'!$C$14,S264='[11]Tabla Impacto'!$D$14),"Moderado",IF(OR(S264='[11]Tabla Impacto'!$C$15,S264='[11]Tabla Impacto'!$D$15),"Mayor",IF(OR(S264='[11]Tabla Impacto'!$C$16,S264='[11]Tabla Impacto'!$D$16),"Catastrófico","")))))</f>
        <v>Moderado</v>
      </c>
      <c r="U264" s="405">
        <f>IF(T264="","",IF(T264="Leve",0.2,IF(T264="Menor",0.4,IF(T264="Moderado",0.6,IF(T264="Mayor",0.8,IF(T264="Catastrófico",1,))))))</f>
        <v>0.6</v>
      </c>
      <c r="V264" s="418" t="str">
        <f>IF(OR(AND(P264="Muy Baja",T264="Leve"),AND(P264="Muy Baja",T264="Menor"),AND(P264="Baja",T264="Leve")),"Bajo",IF(OR(AND(P264="Muy baja",T264="Moderado"),AND(P264="Baja",T264="Menor"),AND(P264="Baja",T264="Moderado"),AND(P264="Media",T264="Leve"),AND(P264="Media",T264="Menor"),AND(P264="Media",T264="Moderado"),AND(P264="Alta",T264="Leve"),AND(P264="Alta",T264="Menor")),"Moderado",IF(OR(AND(P264="Muy Baja",T264="Mayor"),AND(P264="Baja",T264="Mayor"),AND(P264="Media",T264="Mayor"),AND(P264="Alta",T264="Moderado"),AND(P264="Alta",T264="Mayor"),AND(P264="Muy Alta",T264="Leve"),AND(P264="Muy Alta",T264="Menor"),AND(P264="Muy Alta",T264="Moderado"),AND(P264="Muy Alta",T264="Mayor")),"Alto",IF(OR(AND(P264="Muy Baja",T264="Catastrófico"),AND(P264="Baja",T264="Catastrófico"),AND(P264="Media",T264="Catastrófico"),AND(P264="Alta",T264="Catastrófico"),AND(P264="Muy Alta",T264="Catastrófico")),"Extremo",""))))</f>
        <v>Moderado</v>
      </c>
      <c r="W264" s="149">
        <v>1</v>
      </c>
      <c r="X264" s="182" t="s">
        <v>1461</v>
      </c>
      <c r="Y264" s="149" t="s">
        <v>37</v>
      </c>
      <c r="Z264" s="182" t="s">
        <v>1462</v>
      </c>
      <c r="AA264" s="304" t="str">
        <f t="shared" si="385"/>
        <v>El Gerente para el Desarrollo, la Calidad y la Innovación Verifica mensualmente el cumplimiento de la calidad técnica de las intervenciones misionales, las especificaciones técnicas y los diseños establecidos, en cada una de las etapas de producción e intervención constructivas de las obras ejecutadas por la UAERMV, como evidencia queda el acta de reunión del Comité de Planificación, Producción e Intervención de UAERMV. 
En caso de evidenciar desviaciones se escala a la instancia de coordinación - Comité de Planificación, Producción e Intervención de UAERMV.</v>
      </c>
      <c r="AB264" s="126" t="str">
        <f>IF(OR(AC264="Preventivo",AC264="Detectivo"),"Probabilidad",IF(AC264="Correctivo","Impacto",""))</f>
        <v>Probabilidad</v>
      </c>
      <c r="AC264" s="127" t="s">
        <v>398</v>
      </c>
      <c r="AD264" s="127" t="s">
        <v>394</v>
      </c>
      <c r="AE264" s="128" t="str">
        <f>IF(AND(AC264="Preventivo",AD264="Automático"),"50%",IF(AND(AC264="Preventivo",AD264="Manual"),"40%",IF(AND(AC264="Detectivo",AD264="Automático"),"40%",IF(AND(AC264="Detectivo",AD264="Manual"),"30%",IF(AND(AC264="Correctivo",AD264="Automático"),"35%",IF(AND(AC264="Correctivo",AD264="Manual"),"25%",""))))))</f>
        <v>40%</v>
      </c>
      <c r="AF264" s="127" t="s">
        <v>395</v>
      </c>
      <c r="AG264" s="127" t="s">
        <v>396</v>
      </c>
      <c r="AH264" s="127" t="s">
        <v>397</v>
      </c>
      <c r="AI264" s="129">
        <f>IFERROR(IF(AB264="Probabilidad",(Q264-(+Q264*AE264)),IF(AB264="Impacto",Q264,"")),"")</f>
        <v>0.24</v>
      </c>
      <c r="AJ264" s="130" t="str">
        <f>IFERROR(IF(AI264="","",IF(AI264&lt;=0.2,"Muy Baja",IF(AI264&lt;=0.4,"Baja",IF(AI264&lt;=0.6,"Media",IF(AI264&lt;=0.8,"Alta","Muy Alta"))))),"")</f>
        <v>Baja</v>
      </c>
      <c r="AK264" s="128">
        <f>+AI264</f>
        <v>0.24</v>
      </c>
      <c r="AL264" s="130" t="str">
        <f>IFERROR(IF(AM264="","",IF(AM264&lt;=0.2,"Leve",IF(AM264&lt;=0.4,"Menor",IF(AM264&lt;=0.6,"Moderado",IF(AM264&lt;=0.8,"Mayor","Catastrófico"))))),"")</f>
        <v>Moderado</v>
      </c>
      <c r="AM264" s="128">
        <f t="shared" ref="AM264" si="403">IFERROR(IF(AB264="Impacto",(U264-(+U264*AE264)),IF(AB264="Probabilidad",U264,"")),"")</f>
        <v>0.6</v>
      </c>
      <c r="AN264" s="131" t="str">
        <f>IFERROR(IF(OR(AND(AJ264="Muy Baja",AL264="Leve"),AND(AJ264="Muy Baja",AL264="Menor"),AND(AJ264="Baja",AL264="Leve")),"Bajo",IF(OR(AND(AJ264="Muy baja",AL264="Moderado"),AND(AJ264="Baja",AL264="Menor"),AND(AJ264="Baja",AL264="Moderado"),AND(AJ264="Media",AL264="Leve"),AND(AJ264="Media",AL264="Menor"),AND(AJ264="Media",AL264="Moderado"),AND(AJ264="Alta",AL264="Leve"),AND(AJ264="Alta",AL264="Menor")),"Moderado",IF(OR(AND(AJ264="Muy Baja",AL264="Mayor"),AND(AJ264="Baja",AL264="Mayor"),AND(AJ264="Media",AL264="Mayor"),AND(AJ264="Alta",AL264="Moderado"),AND(AJ264="Alta",AL264="Mayor"),AND(AJ264="Muy Alta",AL264="Leve"),AND(AJ264="Muy Alta",AL264="Menor"),AND(AJ264="Muy Alta",AL264="Moderado"),AND(AJ264="Muy Alta",AL264="Mayor")),"Alto",IF(OR(AND(AJ264="Muy Baja",AL264="Catastrófico"),AND(AJ264="Baja",AL264="Catastrófico"),AND(AJ264="Media",AL264="Catastrófico"),AND(AJ264="Alta",AL264="Catastrófico"),AND(AJ264="Muy Alta",AL264="Catastrófico")),"Extremo","")))),"")</f>
        <v>Moderado</v>
      </c>
      <c r="AO264" s="132" t="s">
        <v>43</v>
      </c>
      <c r="AP264" s="125" t="s">
        <v>1463</v>
      </c>
      <c r="AQ264" s="125" t="s">
        <v>1464</v>
      </c>
      <c r="AR264" s="125" t="s">
        <v>1465</v>
      </c>
      <c r="AS264" s="134" t="s">
        <v>822</v>
      </c>
      <c r="AT264" s="400" t="s">
        <v>1442</v>
      </c>
      <c r="AU264" s="400" t="s">
        <v>1443</v>
      </c>
      <c r="AV264" s="400" t="s">
        <v>907</v>
      </c>
    </row>
    <row r="265" spans="1:48" x14ac:dyDescent="0.2">
      <c r="A265" s="398"/>
      <c r="B265" s="399"/>
      <c r="C265" s="400"/>
      <c r="D265" s="400"/>
      <c r="E265" s="400"/>
      <c r="F265" s="400"/>
      <c r="G265" s="401"/>
      <c r="H265" s="400"/>
      <c r="I265" s="403"/>
      <c r="J265" s="403"/>
      <c r="K265" s="403"/>
      <c r="L265" s="403"/>
      <c r="M265" s="403"/>
      <c r="N265" s="403"/>
      <c r="O265" s="416"/>
      <c r="P265" s="417"/>
      <c r="Q265" s="405"/>
      <c r="R265" s="406"/>
      <c r="S265" s="405">
        <f>IF(NOT(ISERROR(MATCH(R265,_xlfn.ANCHORARRAY(G276),0))),Q278&amp;"Por favor no seleccionar los criterios de impacto",R265)</f>
        <v>0</v>
      </c>
      <c r="T265" s="417"/>
      <c r="U265" s="405"/>
      <c r="V265" s="418"/>
      <c r="W265" s="149">
        <v>2</v>
      </c>
      <c r="X265" s="149"/>
      <c r="Y265" s="149"/>
      <c r="Z265" s="149"/>
      <c r="AA265" s="304" t="str">
        <f t="shared" si="385"/>
        <v xml:space="preserve">  </v>
      </c>
      <c r="AB265" s="126" t="str">
        <f>IF(OR(AC265="Preventivo",AC265="Detectivo"),"Probabilidad",IF(AC265="Correctivo","Impacto",""))</f>
        <v/>
      </c>
      <c r="AC265" s="127"/>
      <c r="AD265" s="127"/>
      <c r="AE265" s="128" t="str">
        <f t="shared" ref="AE265:AE269" si="404">IF(AND(AC265="Preventivo",AD265="Automático"),"50%",IF(AND(AC265="Preventivo",AD265="Manual"),"40%",IF(AND(AC265="Detectivo",AD265="Automático"),"40%",IF(AND(AC265="Detectivo",AD265="Manual"),"30%",IF(AND(AC265="Correctivo",AD265="Automático"),"35%",IF(AND(AC265="Correctivo",AD265="Manual"),"25%",""))))))</f>
        <v/>
      </c>
      <c r="AF265" s="127"/>
      <c r="AG265" s="127"/>
      <c r="AH265" s="127"/>
      <c r="AI265" s="129" t="str">
        <f>IFERROR(IF(AND(AB264="Probabilidad",AB265="Probabilidad"),(AK264-(+AK264*AE265)),IF(AB265="Probabilidad",(Q264-(+Q264*AE265)),IF(AB265="Impacto",AK264,""))),"")</f>
        <v/>
      </c>
      <c r="AJ265" s="130" t="str">
        <f t="shared" si="387"/>
        <v/>
      </c>
      <c r="AK265" s="128" t="str">
        <f t="shared" ref="AK265:AK269" si="405">+AI265</f>
        <v/>
      </c>
      <c r="AL265" s="130" t="str">
        <f t="shared" si="389"/>
        <v/>
      </c>
      <c r="AM265" s="128" t="str">
        <f t="shared" ref="AM265" si="406">IFERROR(IF(AND(AB264="Impacto",AB265="Impacto"),(AM264-(+AM264*AE265)),IF(AB265="Impacto",($T$13-(+$T$13*AE265)),IF(AB265="Probabilidad",AM264,""))),"")</f>
        <v/>
      </c>
      <c r="AN265" s="131" t="str">
        <f t="shared" ref="AN265:AN266" si="407">IFERROR(IF(OR(AND(AJ265="Muy Baja",AL265="Leve"),AND(AJ265="Muy Baja",AL265="Menor"),AND(AJ265="Baja",AL265="Leve")),"Bajo",IF(OR(AND(AJ265="Muy baja",AL265="Moderado"),AND(AJ265="Baja",AL265="Menor"),AND(AJ265="Baja",AL265="Moderado"),AND(AJ265="Media",AL265="Leve"),AND(AJ265="Media",AL265="Menor"),AND(AJ265="Media",AL265="Moderado"),AND(AJ265="Alta",AL265="Leve"),AND(AJ265="Alta",AL265="Menor")),"Moderado",IF(OR(AND(AJ265="Muy Baja",AL265="Mayor"),AND(AJ265="Baja",AL265="Mayor"),AND(AJ265="Media",AL265="Mayor"),AND(AJ265="Alta",AL265="Moderado"),AND(AJ265="Alta",AL265="Mayor"),AND(AJ265="Muy Alta",AL265="Leve"),AND(AJ265="Muy Alta",AL265="Menor"),AND(AJ265="Muy Alta",AL265="Moderado"),AND(AJ265="Muy Alta",AL265="Mayor")),"Alto",IF(OR(AND(AJ265="Muy Baja",AL265="Catastrófico"),AND(AJ265="Baja",AL265="Catastrófico"),AND(AJ265="Media",AL265="Catastrófico"),AND(AJ265="Alta",AL265="Catastrófico"),AND(AJ265="Muy Alta",AL265="Catastrófico")),"Extremo","")))),"")</f>
        <v/>
      </c>
      <c r="AO265" s="132"/>
      <c r="AP265" s="125"/>
      <c r="AQ265" s="133"/>
      <c r="AR265" s="133"/>
      <c r="AS265" s="134"/>
      <c r="AT265" s="400"/>
      <c r="AU265" s="400"/>
      <c r="AV265" s="400"/>
    </row>
    <row r="266" spans="1:48" x14ac:dyDescent="0.2">
      <c r="A266" s="398"/>
      <c r="B266" s="399"/>
      <c r="C266" s="400"/>
      <c r="D266" s="400"/>
      <c r="E266" s="400"/>
      <c r="F266" s="400"/>
      <c r="G266" s="401"/>
      <c r="H266" s="400"/>
      <c r="I266" s="403"/>
      <c r="J266" s="403"/>
      <c r="K266" s="403"/>
      <c r="L266" s="403"/>
      <c r="M266" s="403"/>
      <c r="N266" s="403"/>
      <c r="O266" s="416"/>
      <c r="P266" s="417"/>
      <c r="Q266" s="405"/>
      <c r="R266" s="406"/>
      <c r="S266" s="405">
        <f>IF(NOT(ISERROR(MATCH(R266,_xlfn.ANCHORARRAY(G277),0))),Q279&amp;"Por favor no seleccionar los criterios de impacto",R266)</f>
        <v>0</v>
      </c>
      <c r="T266" s="417"/>
      <c r="U266" s="405"/>
      <c r="V266" s="418"/>
      <c r="W266" s="149">
        <v>3</v>
      </c>
      <c r="X266" s="149"/>
      <c r="Y266" s="149"/>
      <c r="Z266" s="149"/>
      <c r="AA266" s="304" t="str">
        <f t="shared" si="385"/>
        <v xml:space="preserve">  </v>
      </c>
      <c r="AB266" s="126" t="str">
        <f>IF(OR(AC266="Preventivo",AC266="Detectivo"),"Probabilidad",IF(AC266="Correctivo","Impacto",""))</f>
        <v/>
      </c>
      <c r="AC266" s="127"/>
      <c r="AD266" s="127"/>
      <c r="AE266" s="128" t="str">
        <f t="shared" si="404"/>
        <v/>
      </c>
      <c r="AF266" s="127"/>
      <c r="AG266" s="127"/>
      <c r="AH266" s="127"/>
      <c r="AI266" s="129" t="str">
        <f>IFERROR(IF(AND(AB265="Probabilidad",AB266="Probabilidad"),(AK265-(+AK265*AE266)),IF(AND(AB265="Impacto",AB266="Probabilidad"),(AK264-(+AK264*AE266)),IF(AB266="Impacto",AK265,""))),"")</f>
        <v/>
      </c>
      <c r="AJ266" s="130" t="str">
        <f t="shared" si="387"/>
        <v/>
      </c>
      <c r="AK266" s="128" t="str">
        <f t="shared" si="405"/>
        <v/>
      </c>
      <c r="AL266" s="130" t="str">
        <f t="shared" si="389"/>
        <v/>
      </c>
      <c r="AM266" s="128" t="str">
        <f t="shared" ref="AM266" si="408">IFERROR(IF(AND(AB265="Impacto",AB266="Impacto"),(AM265-(+AM265*AE266)),IF(AND(AB265="Probabilidad",AB266="Impacto"),(AM264-(+AM264*AE266)),IF(AB266="Probabilidad",AM265,""))),"")</f>
        <v/>
      </c>
      <c r="AN266" s="131" t="str">
        <f t="shared" si="407"/>
        <v/>
      </c>
      <c r="AO266" s="132"/>
      <c r="AP266" s="125"/>
      <c r="AQ266" s="133"/>
      <c r="AR266" s="133"/>
      <c r="AS266" s="134"/>
      <c r="AT266" s="400"/>
      <c r="AU266" s="400"/>
      <c r="AV266" s="400"/>
    </row>
    <row r="267" spans="1:48" x14ac:dyDescent="0.2">
      <c r="A267" s="398"/>
      <c r="B267" s="399"/>
      <c r="C267" s="400"/>
      <c r="D267" s="400"/>
      <c r="E267" s="400"/>
      <c r="F267" s="400"/>
      <c r="G267" s="401"/>
      <c r="H267" s="400"/>
      <c r="I267" s="403"/>
      <c r="J267" s="403"/>
      <c r="K267" s="403"/>
      <c r="L267" s="403"/>
      <c r="M267" s="403"/>
      <c r="N267" s="403"/>
      <c r="O267" s="416"/>
      <c r="P267" s="417"/>
      <c r="Q267" s="405"/>
      <c r="R267" s="406"/>
      <c r="S267" s="405">
        <f>IF(NOT(ISERROR(MATCH(R267,_xlfn.ANCHORARRAY(G278),0))),Q280&amp;"Por favor no seleccionar los criterios de impacto",R267)</f>
        <v>0</v>
      </c>
      <c r="T267" s="417"/>
      <c r="U267" s="405"/>
      <c r="V267" s="418"/>
      <c r="W267" s="149">
        <v>4</v>
      </c>
      <c r="X267" s="149"/>
      <c r="Y267" s="149"/>
      <c r="Z267" s="149"/>
      <c r="AA267" s="304" t="str">
        <f t="shared" si="385"/>
        <v xml:space="preserve">  </v>
      </c>
      <c r="AB267" s="126" t="str">
        <f t="shared" ref="AB267:AB275" si="409">IF(OR(AC267="Preventivo",AC267="Detectivo"),"Probabilidad",IF(AC267="Correctivo","Impacto",""))</f>
        <v/>
      </c>
      <c r="AC267" s="127"/>
      <c r="AD267" s="127"/>
      <c r="AE267" s="128" t="str">
        <f t="shared" si="404"/>
        <v/>
      </c>
      <c r="AF267" s="127"/>
      <c r="AG267" s="127"/>
      <c r="AH267" s="127"/>
      <c r="AI267" s="129" t="str">
        <f t="shared" ref="AI267:AI269" si="410">IFERROR(IF(AND(AB266="Probabilidad",AB267="Probabilidad"),(AK266-(+AK266*AE267)),IF(AND(AB266="Impacto",AB267="Probabilidad"),(AK265-(+AK265*AE267)),IF(AB267="Impacto",AK266,""))),"")</f>
        <v/>
      </c>
      <c r="AJ267" s="130" t="str">
        <f t="shared" si="387"/>
        <v/>
      </c>
      <c r="AK267" s="128" t="str">
        <f t="shared" si="405"/>
        <v/>
      </c>
      <c r="AL267" s="130" t="str">
        <f t="shared" si="389"/>
        <v/>
      </c>
      <c r="AM267" s="128" t="str">
        <f t="shared" si="398"/>
        <v/>
      </c>
      <c r="AN267" s="131" t="str">
        <f>IFERROR(IF(OR(AND(AJ267="Muy Baja",AL267="Leve"),AND(AJ267="Muy Baja",AL267="Menor"),AND(AJ267="Baja",AL267="Leve")),"Bajo",IF(OR(AND(AJ267="Muy baja",AL267="Moderado"),AND(AJ267="Baja",AL267="Menor"),AND(AJ267="Baja",AL267="Moderado"),AND(AJ267="Media",AL267="Leve"),AND(AJ267="Media",AL267="Menor"),AND(AJ267="Media",AL267="Moderado"),AND(AJ267="Alta",AL267="Leve"),AND(AJ267="Alta",AL267="Menor")),"Moderado",IF(OR(AND(AJ267="Muy Baja",AL267="Mayor"),AND(AJ267="Baja",AL267="Mayor"),AND(AJ267="Media",AL267="Mayor"),AND(AJ267="Alta",AL267="Moderado"),AND(AJ267="Alta",AL267="Mayor"),AND(AJ267="Muy Alta",AL267="Leve"),AND(AJ267="Muy Alta",AL267="Menor"),AND(AJ267="Muy Alta",AL267="Moderado"),AND(AJ267="Muy Alta",AL267="Mayor")),"Alto",IF(OR(AND(AJ267="Muy Baja",AL267="Catastrófico"),AND(AJ267="Baja",AL267="Catastrófico"),AND(AJ267="Media",AL267="Catastrófico"),AND(AJ267="Alta",AL267="Catastrófico"),AND(AJ267="Muy Alta",AL267="Catastrófico")),"Extremo","")))),"")</f>
        <v/>
      </c>
      <c r="AO267" s="132"/>
      <c r="AP267" s="125"/>
      <c r="AQ267" s="133"/>
      <c r="AR267" s="133"/>
      <c r="AS267" s="134"/>
      <c r="AT267" s="400"/>
      <c r="AU267" s="400"/>
      <c r="AV267" s="400"/>
    </row>
    <row r="268" spans="1:48" x14ac:dyDescent="0.2">
      <c r="A268" s="398"/>
      <c r="B268" s="399"/>
      <c r="C268" s="400"/>
      <c r="D268" s="400"/>
      <c r="E268" s="400"/>
      <c r="F268" s="400"/>
      <c r="G268" s="401"/>
      <c r="H268" s="400"/>
      <c r="I268" s="403"/>
      <c r="J268" s="403"/>
      <c r="K268" s="403"/>
      <c r="L268" s="403"/>
      <c r="M268" s="403"/>
      <c r="N268" s="403"/>
      <c r="O268" s="416"/>
      <c r="P268" s="417"/>
      <c r="Q268" s="405"/>
      <c r="R268" s="406"/>
      <c r="S268" s="405">
        <f>IF(NOT(ISERROR(MATCH(R268,_xlfn.ANCHORARRAY(G279),0))),Q281&amp;"Por favor no seleccionar los criterios de impacto",R268)</f>
        <v>0</v>
      </c>
      <c r="T268" s="417"/>
      <c r="U268" s="405"/>
      <c r="V268" s="418"/>
      <c r="W268" s="149">
        <v>5</v>
      </c>
      <c r="X268" s="149"/>
      <c r="Y268" s="149"/>
      <c r="Z268" s="149"/>
      <c r="AA268" s="304" t="str">
        <f t="shared" si="385"/>
        <v xml:space="preserve">  </v>
      </c>
      <c r="AB268" s="126" t="str">
        <f t="shared" si="409"/>
        <v/>
      </c>
      <c r="AC268" s="127"/>
      <c r="AD268" s="127"/>
      <c r="AE268" s="128" t="str">
        <f t="shared" si="404"/>
        <v/>
      </c>
      <c r="AF268" s="127"/>
      <c r="AG268" s="127"/>
      <c r="AH268" s="127"/>
      <c r="AI268" s="129" t="str">
        <f t="shared" si="410"/>
        <v/>
      </c>
      <c r="AJ268" s="130" t="str">
        <f t="shared" si="387"/>
        <v/>
      </c>
      <c r="AK268" s="128" t="str">
        <f t="shared" si="405"/>
        <v/>
      </c>
      <c r="AL268" s="130" t="str">
        <f t="shared" si="389"/>
        <v/>
      </c>
      <c r="AM268" s="128" t="str">
        <f t="shared" si="398"/>
        <v/>
      </c>
      <c r="AN268" s="131" t="str">
        <f t="shared" ref="AN268:AN269" si="411">IFERROR(IF(OR(AND(AJ268="Muy Baja",AL268="Leve"),AND(AJ268="Muy Baja",AL268="Menor"),AND(AJ268="Baja",AL268="Leve")),"Bajo",IF(OR(AND(AJ268="Muy baja",AL268="Moderado"),AND(AJ268="Baja",AL268="Menor"),AND(AJ268="Baja",AL268="Moderado"),AND(AJ268="Media",AL268="Leve"),AND(AJ268="Media",AL268="Menor"),AND(AJ268="Media",AL268="Moderado"),AND(AJ268="Alta",AL268="Leve"),AND(AJ268="Alta",AL268="Menor")),"Moderado",IF(OR(AND(AJ268="Muy Baja",AL268="Mayor"),AND(AJ268="Baja",AL268="Mayor"),AND(AJ268="Media",AL268="Mayor"),AND(AJ268="Alta",AL268="Moderado"),AND(AJ268="Alta",AL268="Mayor"),AND(AJ268="Muy Alta",AL268="Leve"),AND(AJ268="Muy Alta",AL268="Menor"),AND(AJ268="Muy Alta",AL268="Moderado"),AND(AJ268="Muy Alta",AL268="Mayor")),"Alto",IF(OR(AND(AJ268="Muy Baja",AL268="Catastrófico"),AND(AJ268="Baja",AL268="Catastrófico"),AND(AJ268="Media",AL268="Catastrófico"),AND(AJ268="Alta",AL268="Catastrófico"),AND(AJ268="Muy Alta",AL268="Catastrófico")),"Extremo","")))),"")</f>
        <v/>
      </c>
      <c r="AO268" s="132"/>
      <c r="AP268" s="125"/>
      <c r="AQ268" s="133"/>
      <c r="AR268" s="133"/>
      <c r="AS268" s="134"/>
      <c r="AT268" s="400"/>
      <c r="AU268" s="400"/>
      <c r="AV268" s="400"/>
    </row>
    <row r="269" spans="1:48" x14ac:dyDescent="0.2">
      <c r="A269" s="398"/>
      <c r="B269" s="399"/>
      <c r="C269" s="400"/>
      <c r="D269" s="400"/>
      <c r="E269" s="400"/>
      <c r="F269" s="400"/>
      <c r="G269" s="401"/>
      <c r="H269" s="400"/>
      <c r="I269" s="404"/>
      <c r="J269" s="404"/>
      <c r="K269" s="404"/>
      <c r="L269" s="404"/>
      <c r="M269" s="404"/>
      <c r="N269" s="404"/>
      <c r="O269" s="416"/>
      <c r="P269" s="417"/>
      <c r="Q269" s="405"/>
      <c r="R269" s="406"/>
      <c r="S269" s="405">
        <f>IF(NOT(ISERROR(MATCH(R269,_xlfn.ANCHORARRAY(G280),0))),Q282&amp;"Por favor no seleccionar los criterios de impacto",R269)</f>
        <v>0</v>
      </c>
      <c r="T269" s="417"/>
      <c r="U269" s="405"/>
      <c r="V269" s="418"/>
      <c r="W269" s="149">
        <v>6</v>
      </c>
      <c r="X269" s="149"/>
      <c r="Y269" s="149"/>
      <c r="Z269" s="149"/>
      <c r="AA269" s="304" t="str">
        <f t="shared" si="385"/>
        <v xml:space="preserve">  </v>
      </c>
      <c r="AB269" s="126" t="str">
        <f t="shared" si="409"/>
        <v/>
      </c>
      <c r="AC269" s="127"/>
      <c r="AD269" s="127"/>
      <c r="AE269" s="128" t="str">
        <f t="shared" si="404"/>
        <v/>
      </c>
      <c r="AF269" s="127"/>
      <c r="AG269" s="127"/>
      <c r="AH269" s="127"/>
      <c r="AI269" s="129" t="str">
        <f t="shared" si="410"/>
        <v/>
      </c>
      <c r="AJ269" s="130" t="str">
        <f t="shared" si="387"/>
        <v/>
      </c>
      <c r="AK269" s="128" t="str">
        <f t="shared" si="405"/>
        <v/>
      </c>
      <c r="AL269" s="130" t="str">
        <f t="shared" si="389"/>
        <v/>
      </c>
      <c r="AM269" s="128" t="str">
        <f t="shared" si="398"/>
        <v/>
      </c>
      <c r="AN269" s="131" t="str">
        <f t="shared" si="411"/>
        <v/>
      </c>
      <c r="AO269" s="132"/>
      <c r="AP269" s="125"/>
      <c r="AQ269" s="133"/>
      <c r="AR269" s="133"/>
      <c r="AS269" s="134"/>
      <c r="AT269" s="400"/>
      <c r="AU269" s="400"/>
      <c r="AV269" s="400"/>
    </row>
    <row r="270" spans="1:48" ht="61.5" customHeight="1" x14ac:dyDescent="0.2">
      <c r="A270" s="398">
        <v>44</v>
      </c>
      <c r="B270" s="399" t="s">
        <v>42</v>
      </c>
      <c r="C270" s="400" t="s">
        <v>40</v>
      </c>
      <c r="D270" s="400" t="s">
        <v>1431</v>
      </c>
      <c r="E270" s="400" t="s">
        <v>1466</v>
      </c>
      <c r="F270" s="400" t="s">
        <v>1433</v>
      </c>
      <c r="G270" s="401" t="str">
        <f>+CONCATENATE(C270," ",D270," ",E270)</f>
        <v>Posibilidad de afectación reputacional por sanción de un ente regulador debido a que la información entregada asociada al cumplimiento de magnitud física y presupuestal del proyecto de inversión 8081 - Conservación de la red vial y red de cicloinfraestructura de Bogotá D.C.., no esta validada por falta de articulación entre dependencias.</v>
      </c>
      <c r="H270" s="400" t="s">
        <v>391</v>
      </c>
      <c r="I270" s="402" t="s">
        <v>59</v>
      </c>
      <c r="J270" s="402" t="s">
        <v>1434</v>
      </c>
      <c r="K270" s="402" t="s">
        <v>1435</v>
      </c>
      <c r="L270" s="402" t="s">
        <v>1436</v>
      </c>
      <c r="M270" s="402" t="s">
        <v>63</v>
      </c>
      <c r="N270" s="402" t="s">
        <v>42</v>
      </c>
      <c r="O270" s="416">
        <v>12</v>
      </c>
      <c r="P270" s="417" t="str">
        <f>IF(O270&lt;=0,"",IF(O270&lt;=2,"Muy Baja",IF(O270&lt;=24,"Baja",IF(O270&lt;=500,"Media",IF(O270&lt;=5000,"Alta","Muy Alta")))))</f>
        <v>Baja</v>
      </c>
      <c r="Q270" s="405">
        <f>IF(P270="","",IF(P270="Muy Baja",0.2,IF(P270="Baja",0.4,IF(P270="Media",0.6,IF(P270="Alta",0.8,IF(P270="Muy Alta",1,))))))</f>
        <v>0.4</v>
      </c>
      <c r="R270" s="406" t="s">
        <v>428</v>
      </c>
      <c r="S270" s="405" t="str">
        <f>IF(NOT(ISERROR(MATCH(R270,'[12]Tabla Impacto'!$B$245:$B$247,0))),'[12]Tabla Impacto'!$F$224&amp;"Por favor no seleccionar los criterios de impacto(Afectación Económica o presupuestal y Pérdida Reputacional)",R270)</f>
        <v xml:space="preserve">     El riesgo afecta la imagen de la entidad con algunos usuarios de relevancia frente al logro de los objetivos</v>
      </c>
      <c r="T270" s="417" t="str">
        <f>IF(OR(S270='[12]Tabla Impacto'!$C$12,S270='[12]Tabla Impacto'!$D$12),"Leve",IF(OR(S270='[12]Tabla Impacto'!$C$13,S270='[12]Tabla Impacto'!$D$13),"Menor",IF(OR(S270='[12]Tabla Impacto'!$C$14,S270='[12]Tabla Impacto'!$D$14),"Moderado",IF(OR(S270='[12]Tabla Impacto'!$C$15,S270='[12]Tabla Impacto'!$D$15),"Mayor",IF(OR(S270='[12]Tabla Impacto'!$C$16,S270='[12]Tabla Impacto'!$D$16),"Catastrófico","")))))</f>
        <v>Moderado</v>
      </c>
      <c r="U270" s="405">
        <f>IF(T270="","",IF(T270="Leve",0.2,IF(T270="Menor",0.4,IF(T270="Moderado",0.6,IF(T270="Mayor",0.8,IF(T270="Catastrófico",1,))))))</f>
        <v>0.6</v>
      </c>
      <c r="V270" s="418" t="str">
        <f>IF(OR(AND(P270="Muy Baja",T270="Leve"),AND(P270="Muy Baja",T270="Menor"),AND(P270="Baja",T270="Leve")),"Bajo",IF(OR(AND(P270="Muy baja",T270="Moderado"),AND(P270="Baja",T270="Menor"),AND(P270="Baja",T270="Moderado"),AND(P270="Media",T270="Leve"),AND(P270="Media",T270="Menor"),AND(P270="Media",T270="Moderado"),AND(P270="Alta",T270="Leve"),AND(P270="Alta",T270="Menor")),"Moderado",IF(OR(AND(P270="Muy Baja",T270="Mayor"),AND(P270="Baja",T270="Mayor"),AND(P270="Media",T270="Mayor"),AND(P270="Alta",T270="Moderado"),AND(P270="Alta",T270="Mayor"),AND(P270="Muy Alta",T270="Leve"),AND(P270="Muy Alta",T270="Menor"),AND(P270="Muy Alta",T270="Moderado"),AND(P270="Muy Alta",T270="Mayor")),"Alto",IF(OR(AND(P270="Muy Baja",T270="Catastrófico"),AND(P270="Baja",T270="Catastrófico"),AND(P270="Media",T270="Catastrófico"),AND(P270="Alta",T270="Catastrófico"),AND(P270="Muy Alta",T270="Catastrófico")),"Extremo",""))))</f>
        <v>Moderado</v>
      </c>
      <c r="W270" s="149">
        <v>1</v>
      </c>
      <c r="X270" s="182" t="s">
        <v>1437</v>
      </c>
      <c r="Y270" s="182" t="s">
        <v>37</v>
      </c>
      <c r="Z270" s="182" t="s">
        <v>1467</v>
      </c>
      <c r="AA270" s="304" t="str">
        <f>+CONCATENATE(X270," ",Y270," ",Z270)</f>
        <v>El Gerente del Proyecto Verifica mensualmente en el comité de Planificación, Producción e Intervención de UAERMV, el cumplimiento de:
1 Priorizacion  alcanzada v/s priorización proyectada  (SPC)
2 Cumplimiento de la magintud de meta alcanzada v/s magnitud de meta programada (SII).
3 Cumplimiento de la ejecución presupuestal v/s programado (SPAL).
Dejando como evidencia dentro del acta:
1. Presentación de la priorización 
2. Presentación del avance de metas 
4. Presentación de ejecución presupuestal del mes.
Si se presentan desviaciones, estas son escaladas a la Dirección General.</v>
      </c>
      <c r="AB270" s="126" t="str">
        <f t="shared" si="409"/>
        <v>Probabilidad</v>
      </c>
      <c r="AC270" s="127" t="s">
        <v>398</v>
      </c>
      <c r="AD270" s="127" t="s">
        <v>394</v>
      </c>
      <c r="AE270" s="128" t="str">
        <f>IF(AND(AC270="Preventivo",AD270="Automático"),"50%",IF(AND(AC270="Preventivo",AD270="Manual"),"40%",IF(AND(AC270="Detectivo",AD270="Automático"),"40%",IF(AND(AC270="Detectivo",AD270="Manual"),"30%",IF(AND(AC270="Correctivo",AD270="Automático"),"35%",IF(AND(AC270="Correctivo",AD270="Manual"),"25%",""))))))</f>
        <v>40%</v>
      </c>
      <c r="AF270" s="127" t="s">
        <v>395</v>
      </c>
      <c r="AG270" s="127" t="s">
        <v>396</v>
      </c>
      <c r="AH270" s="127" t="s">
        <v>422</v>
      </c>
      <c r="AI270" s="129">
        <f>IFERROR(IF(AB270="Probabilidad",(Q270-(+Q270*AE270)),IF(AB270="Impacto",Q270,"")),"")</f>
        <v>0.24</v>
      </c>
      <c r="AJ270" s="130" t="str">
        <f>IFERROR(IF(AI270="","",IF(AI270&lt;=0.2,"Muy Baja",IF(AI270&lt;=0.4,"Baja",IF(AI270&lt;=0.6,"Media",IF(AI270&lt;=0.8,"Alta","Muy Alta"))))),"")</f>
        <v>Baja</v>
      </c>
      <c r="AK270" s="128">
        <f>+AI270</f>
        <v>0.24</v>
      </c>
      <c r="AL270" s="130" t="str">
        <f>IFERROR(IF(AM270="","",IF(AM270&lt;=0.2,"Leve",IF(AM270&lt;=0.4,"Menor",IF(AM270&lt;=0.6,"Moderado",IF(AM270&lt;=0.8,"Mayor","Catastrófico"))))),"")</f>
        <v>Moderado</v>
      </c>
      <c r="AM270" s="128">
        <f>IFERROR(IF(AB270="Impacto",(U270-(+U270*AE270)),IF(AB270="Probabilidad",U270,"")),"")</f>
        <v>0.6</v>
      </c>
      <c r="AN270" s="131" t="str">
        <f>IFERROR(IF(OR(AND(AJ270="Muy Baja",AL270="Leve"),AND(AJ270="Muy Baja",AL270="Menor"),AND(AJ270="Baja",AL270="Leve")),"Bajo",IF(OR(AND(AJ270="Muy baja",AL270="Moderado"),AND(AJ270="Baja",AL270="Menor"),AND(AJ270="Baja",AL270="Moderado"),AND(AJ270="Media",AL270="Leve"),AND(AJ270="Media",AL270="Menor"),AND(AJ270="Media",AL270="Moderado"),AND(AJ270="Alta",AL270="Leve"),AND(AJ270="Alta",AL270="Menor")),"Moderado",IF(OR(AND(AJ270="Muy Baja",AL270="Mayor"),AND(AJ270="Baja",AL270="Mayor"),AND(AJ270="Media",AL270="Mayor"),AND(AJ270="Alta",AL270="Moderado"),AND(AJ270="Alta",AL270="Mayor"),AND(AJ270="Muy Alta",AL270="Leve"),AND(AJ270="Muy Alta",AL270="Menor"),AND(AJ270="Muy Alta",AL270="Moderado"),AND(AJ270="Muy Alta",AL270="Mayor")),"Alto",IF(OR(AND(AJ270="Muy Baja",AL270="Catastrófico"),AND(AJ270="Baja",AL270="Catastrófico"),AND(AJ270="Media",AL270="Catastrófico"),AND(AJ270="Alta",AL270="Catastrófico"),AND(AJ270="Muy Alta",AL270="Catastrófico")),"Extremo","")))),"")</f>
        <v>Moderado</v>
      </c>
      <c r="AO270" s="132" t="s">
        <v>43</v>
      </c>
      <c r="AP270" s="125" t="s">
        <v>1439</v>
      </c>
      <c r="AQ270" s="125" t="s">
        <v>1440</v>
      </c>
      <c r="AR270" s="125" t="s">
        <v>1441</v>
      </c>
      <c r="AS270" s="134" t="s">
        <v>822</v>
      </c>
      <c r="AT270" s="400" t="s">
        <v>1442</v>
      </c>
      <c r="AU270" s="400" t="s">
        <v>1443</v>
      </c>
      <c r="AV270" s="400" t="s">
        <v>1444</v>
      </c>
    </row>
    <row r="271" spans="1:48" ht="26.25" customHeight="1" x14ac:dyDescent="0.2">
      <c r="A271" s="398"/>
      <c r="B271" s="399"/>
      <c r="C271" s="400"/>
      <c r="D271" s="400"/>
      <c r="E271" s="400"/>
      <c r="F271" s="400"/>
      <c r="G271" s="401"/>
      <c r="H271" s="400"/>
      <c r="I271" s="403"/>
      <c r="J271" s="403"/>
      <c r="K271" s="403"/>
      <c r="L271" s="403"/>
      <c r="M271" s="403"/>
      <c r="N271" s="403"/>
      <c r="O271" s="416"/>
      <c r="P271" s="417"/>
      <c r="Q271" s="405"/>
      <c r="R271" s="406"/>
      <c r="S271" s="405">
        <f>IF(NOT(ISERROR(MATCH(R271,_xlfn.ANCHORARRAY(G282),0))),Q284&amp;"Por favor no seleccionar los criterios de impacto",R271)</f>
        <v>0</v>
      </c>
      <c r="T271" s="417"/>
      <c r="U271" s="405"/>
      <c r="V271" s="418"/>
      <c r="W271" s="149">
        <v>2</v>
      </c>
      <c r="X271" s="182"/>
      <c r="Y271" s="149"/>
      <c r="Z271" s="149"/>
      <c r="AA271" s="304" t="str">
        <f t="shared" ref="AA271:AA287" si="412">+CONCATENATE(X271," ",Y271," ",Z271)</f>
        <v xml:space="preserve">  </v>
      </c>
      <c r="AB271" s="126" t="str">
        <f t="shared" si="409"/>
        <v/>
      </c>
      <c r="AC271" s="127"/>
      <c r="AD271" s="127"/>
      <c r="AE271" s="128" t="str">
        <f t="shared" ref="AE271:AE275" si="413">IF(AND(AC271="Preventivo",AD271="Automático"),"50%",IF(AND(AC271="Preventivo",AD271="Manual"),"40%",IF(AND(AC271="Detectivo",AD271="Automático"),"40%",IF(AND(AC271="Detectivo",AD271="Manual"),"30%",IF(AND(AC271="Correctivo",AD271="Automático"),"35%",IF(AND(AC271="Correctivo",AD271="Manual"),"25%",""))))))</f>
        <v/>
      </c>
      <c r="AF271" s="127"/>
      <c r="AG271" s="127"/>
      <c r="AH271" s="127"/>
      <c r="AI271" s="129" t="str">
        <f>IFERROR(IF(AND(AB270="Probabilidad",AB271="Probabilidad"),(AK270-(+AK270*AE271)),IF(AB271="Probabilidad",(Q270-(+Q270*AE271)),IF(AB271="Impacto",AK270,""))),"")</f>
        <v/>
      </c>
      <c r="AJ271" s="130" t="str">
        <f t="shared" ref="AJ271:AJ287" si="414">IFERROR(IF(AI271="","",IF(AI271&lt;=0.2,"Muy Baja",IF(AI271&lt;=0.4,"Baja",IF(AI271&lt;=0.6,"Media",IF(AI271&lt;=0.8,"Alta","Muy Alta"))))),"")</f>
        <v/>
      </c>
      <c r="AK271" s="128" t="str">
        <f t="shared" ref="AK271:AK275" si="415">+AI271</f>
        <v/>
      </c>
      <c r="AL271" s="130" t="str">
        <f t="shared" ref="AL271:AL287" si="416">IFERROR(IF(AM271="","",IF(AM271&lt;=0.2,"Leve",IF(AM271&lt;=0.4,"Menor",IF(AM271&lt;=0.6,"Moderado",IF(AM271&lt;=0.8,"Mayor","Catastrófico"))))),"")</f>
        <v/>
      </c>
      <c r="AM271" s="128" t="str">
        <f>IFERROR(IF(AND(AB270="Impacto",AB271="Impacto"),(AM270-(+AM270*AE271)),IF(AB271="Impacto",($T$13-(+$T$13*AE271)),IF(AB271="Probabilidad",AM270,""))),"")</f>
        <v/>
      </c>
      <c r="AN271" s="131" t="str">
        <f t="shared" ref="AN271:AN275" si="417">IFERROR(IF(OR(AND(AJ271="Muy Baja",AL271="Leve"),AND(AJ271="Muy Baja",AL271="Menor"),AND(AJ271="Baja",AL271="Leve")),"Bajo",IF(OR(AND(AJ271="Muy baja",AL271="Moderado"),AND(AJ271="Baja",AL271="Menor"),AND(AJ271="Baja",AL271="Moderado"),AND(AJ271="Media",AL271="Leve"),AND(AJ271="Media",AL271="Menor"),AND(AJ271="Media",AL271="Moderado"),AND(AJ271="Alta",AL271="Leve"),AND(AJ271="Alta",AL271="Menor")),"Moderado",IF(OR(AND(AJ271="Muy Baja",AL271="Mayor"),AND(AJ271="Baja",AL271="Mayor"),AND(AJ271="Media",AL271="Mayor"),AND(AJ271="Alta",AL271="Moderado"),AND(AJ271="Alta",AL271="Mayor"),AND(AJ271="Muy Alta",AL271="Leve"),AND(AJ271="Muy Alta",AL271="Menor"),AND(AJ271="Muy Alta",AL271="Moderado"),AND(AJ271="Muy Alta",AL271="Mayor")),"Alto",IF(OR(AND(AJ271="Muy Baja",AL271="Catastrófico"),AND(AJ271="Baja",AL271="Catastrófico"),AND(AJ271="Media",AL271="Catastrófico"),AND(AJ271="Alta",AL271="Catastrófico"),AND(AJ271="Muy Alta",AL271="Catastrófico")),"Extremo","")))),"")</f>
        <v/>
      </c>
      <c r="AO271" s="132"/>
      <c r="AP271" s="125" t="s">
        <v>1445</v>
      </c>
      <c r="AQ271" s="125" t="s">
        <v>1440</v>
      </c>
      <c r="AR271" s="125" t="s">
        <v>1446</v>
      </c>
      <c r="AS271" s="134" t="s">
        <v>822</v>
      </c>
      <c r="AT271" s="400"/>
      <c r="AU271" s="400"/>
      <c r="AV271" s="400"/>
    </row>
    <row r="272" spans="1:48" x14ac:dyDescent="0.2">
      <c r="A272" s="398"/>
      <c r="B272" s="399"/>
      <c r="C272" s="400"/>
      <c r="D272" s="400"/>
      <c r="E272" s="400"/>
      <c r="F272" s="400"/>
      <c r="G272" s="401"/>
      <c r="H272" s="400"/>
      <c r="I272" s="403"/>
      <c r="J272" s="403"/>
      <c r="K272" s="403"/>
      <c r="L272" s="403"/>
      <c r="M272" s="403"/>
      <c r="N272" s="403"/>
      <c r="O272" s="416"/>
      <c r="P272" s="417"/>
      <c r="Q272" s="405"/>
      <c r="R272" s="406"/>
      <c r="S272" s="405">
        <f>IF(NOT(ISERROR(MATCH(R272,_xlfn.ANCHORARRAY(G283),0))),Q285&amp;"Por favor no seleccionar los criterios de impacto",R272)</f>
        <v>0</v>
      </c>
      <c r="T272" s="417"/>
      <c r="U272" s="405"/>
      <c r="V272" s="418"/>
      <c r="W272" s="149">
        <v>3</v>
      </c>
      <c r="X272" s="182"/>
      <c r="Y272" s="149"/>
      <c r="Z272" s="149"/>
      <c r="AA272" s="304" t="str">
        <f t="shared" si="412"/>
        <v xml:space="preserve">  </v>
      </c>
      <c r="AB272" s="126" t="str">
        <f t="shared" si="409"/>
        <v/>
      </c>
      <c r="AC272" s="127"/>
      <c r="AD272" s="127"/>
      <c r="AE272" s="128" t="str">
        <f t="shared" si="413"/>
        <v/>
      </c>
      <c r="AF272" s="127"/>
      <c r="AG272" s="127"/>
      <c r="AH272" s="127"/>
      <c r="AI272" s="129" t="str">
        <f>IFERROR(IF(AND(AB271="Probabilidad",AB272="Probabilidad"),(AK271-(+AK271*AE272)),IF(AND(AB271="Impacto",AB272="Probabilidad"),(AK270-(+AK270*AE272)),IF(AB272="Impacto",AK271,""))),"")</f>
        <v/>
      </c>
      <c r="AJ272" s="130" t="str">
        <f t="shared" si="414"/>
        <v/>
      </c>
      <c r="AK272" s="128" t="str">
        <f t="shared" si="415"/>
        <v/>
      </c>
      <c r="AL272" s="130" t="str">
        <f t="shared" si="416"/>
        <v/>
      </c>
      <c r="AM272" s="128" t="str">
        <f t="shared" ref="AM272:AM275" si="418">IFERROR(IF(AND(AB271="Impacto",AB272="Impacto"),(AM271-(+AM271*AE272)),IF(AB272="Impacto",($T$13-(+$T$13*AE272)),IF(AB272="Probabilidad",AM271,""))),"")</f>
        <v/>
      </c>
      <c r="AN272" s="131" t="str">
        <f t="shared" si="417"/>
        <v/>
      </c>
      <c r="AO272" s="132"/>
      <c r="AP272" s="125"/>
      <c r="AQ272" s="133"/>
      <c r="AR272" s="133"/>
      <c r="AS272" s="134"/>
      <c r="AT272" s="400"/>
      <c r="AU272" s="400"/>
      <c r="AV272" s="400"/>
    </row>
    <row r="273" spans="1:48" x14ac:dyDescent="0.2">
      <c r="A273" s="398"/>
      <c r="B273" s="399"/>
      <c r="C273" s="400"/>
      <c r="D273" s="400"/>
      <c r="E273" s="400"/>
      <c r="F273" s="400"/>
      <c r="G273" s="401"/>
      <c r="H273" s="400"/>
      <c r="I273" s="403"/>
      <c r="J273" s="403"/>
      <c r="K273" s="403"/>
      <c r="L273" s="403"/>
      <c r="M273" s="403"/>
      <c r="N273" s="403"/>
      <c r="O273" s="416"/>
      <c r="P273" s="417"/>
      <c r="Q273" s="405"/>
      <c r="R273" s="406"/>
      <c r="S273" s="405">
        <f>IF(NOT(ISERROR(MATCH(R273,_xlfn.ANCHORARRAY(G284),0))),Q286&amp;"Por favor no seleccionar los criterios de impacto",R273)</f>
        <v>0</v>
      </c>
      <c r="T273" s="417"/>
      <c r="U273" s="405"/>
      <c r="V273" s="418"/>
      <c r="W273" s="149">
        <v>4</v>
      </c>
      <c r="X273" s="182"/>
      <c r="Y273" s="149"/>
      <c r="Z273" s="149"/>
      <c r="AA273" s="304" t="str">
        <f t="shared" si="412"/>
        <v xml:space="preserve">  </v>
      </c>
      <c r="AB273" s="126" t="str">
        <f t="shared" si="409"/>
        <v/>
      </c>
      <c r="AC273" s="127"/>
      <c r="AD273" s="127"/>
      <c r="AE273" s="128" t="str">
        <f t="shared" si="413"/>
        <v/>
      </c>
      <c r="AF273" s="127"/>
      <c r="AG273" s="127"/>
      <c r="AH273" s="127"/>
      <c r="AI273" s="129" t="str">
        <f t="shared" ref="AI273:AI275" si="419">IFERROR(IF(AND(AB272="Probabilidad",AB273="Probabilidad"),(AK272-(+AK272*AE273)),IF(AND(AB272="Impacto",AB273="Probabilidad"),(AK271-(+AK271*AE273)),IF(AB273="Impacto",AK272,""))),"")</f>
        <v/>
      </c>
      <c r="AJ273" s="130" t="str">
        <f t="shared" si="414"/>
        <v/>
      </c>
      <c r="AK273" s="128" t="str">
        <f t="shared" si="415"/>
        <v/>
      </c>
      <c r="AL273" s="130" t="str">
        <f t="shared" si="416"/>
        <v/>
      </c>
      <c r="AM273" s="128" t="str">
        <f t="shared" si="418"/>
        <v/>
      </c>
      <c r="AN273" s="131" t="str">
        <f>IFERROR(IF(OR(AND(AJ273="Muy Baja",AL273="Leve"),AND(AJ273="Muy Baja",AL273="Menor"),AND(AJ273="Baja",AL273="Leve")),"Bajo",IF(OR(AND(AJ273="Muy baja",AL273="Moderado"),AND(AJ273="Baja",AL273="Menor"),AND(AJ273="Baja",AL273="Moderado"),AND(AJ273="Media",AL273="Leve"),AND(AJ273="Media",AL273="Menor"),AND(AJ273="Media",AL273="Moderado"),AND(AJ273="Alta",AL273="Leve"),AND(AJ273="Alta",AL273="Menor")),"Moderado",IF(OR(AND(AJ273="Muy Baja",AL273="Mayor"),AND(AJ273="Baja",AL273="Mayor"),AND(AJ273="Media",AL273="Mayor"),AND(AJ273="Alta",AL273="Moderado"),AND(AJ273="Alta",AL273="Mayor"),AND(AJ273="Muy Alta",AL273="Leve"),AND(AJ273="Muy Alta",AL273="Menor"),AND(AJ273="Muy Alta",AL273="Moderado"),AND(AJ273="Muy Alta",AL273="Mayor")),"Alto",IF(OR(AND(AJ273="Muy Baja",AL273="Catastrófico"),AND(AJ273="Baja",AL273="Catastrófico"),AND(AJ273="Media",AL273="Catastrófico"),AND(AJ273="Alta",AL273="Catastrófico"),AND(AJ273="Muy Alta",AL273="Catastrófico")),"Extremo","")))),"")</f>
        <v/>
      </c>
      <c r="AO273" s="132"/>
      <c r="AP273" s="125"/>
      <c r="AQ273" s="133"/>
      <c r="AR273" s="133"/>
      <c r="AS273" s="134"/>
      <c r="AT273" s="400"/>
      <c r="AU273" s="400"/>
      <c r="AV273" s="400"/>
    </row>
    <row r="274" spans="1:48" x14ac:dyDescent="0.2">
      <c r="A274" s="398"/>
      <c r="B274" s="399"/>
      <c r="C274" s="400"/>
      <c r="D274" s="400"/>
      <c r="E274" s="400"/>
      <c r="F274" s="400"/>
      <c r="G274" s="401"/>
      <c r="H274" s="400"/>
      <c r="I274" s="403"/>
      <c r="J274" s="403"/>
      <c r="K274" s="403"/>
      <c r="L274" s="403"/>
      <c r="M274" s="403"/>
      <c r="N274" s="403"/>
      <c r="O274" s="416"/>
      <c r="P274" s="417"/>
      <c r="Q274" s="405"/>
      <c r="R274" s="406"/>
      <c r="S274" s="405">
        <f>IF(NOT(ISERROR(MATCH(R274,_xlfn.ANCHORARRAY(G285),0))),Q287&amp;"Por favor no seleccionar los criterios de impacto",R274)</f>
        <v>0</v>
      </c>
      <c r="T274" s="417"/>
      <c r="U274" s="405"/>
      <c r="V274" s="418"/>
      <c r="W274" s="149">
        <v>5</v>
      </c>
      <c r="X274" s="182"/>
      <c r="Y274" s="149"/>
      <c r="Z274" s="149"/>
      <c r="AA274" s="304" t="str">
        <f t="shared" si="412"/>
        <v xml:space="preserve">  </v>
      </c>
      <c r="AB274" s="126" t="str">
        <f t="shared" si="409"/>
        <v/>
      </c>
      <c r="AC274" s="127"/>
      <c r="AD274" s="127"/>
      <c r="AE274" s="128" t="str">
        <f t="shared" si="413"/>
        <v/>
      </c>
      <c r="AF274" s="127"/>
      <c r="AG274" s="127"/>
      <c r="AH274" s="127"/>
      <c r="AI274" s="129" t="str">
        <f t="shared" si="419"/>
        <v/>
      </c>
      <c r="AJ274" s="130" t="str">
        <f t="shared" si="414"/>
        <v/>
      </c>
      <c r="AK274" s="128" t="str">
        <f t="shared" si="415"/>
        <v/>
      </c>
      <c r="AL274" s="130" t="str">
        <f t="shared" si="416"/>
        <v/>
      </c>
      <c r="AM274" s="128" t="str">
        <f t="shared" si="418"/>
        <v/>
      </c>
      <c r="AN274" s="131" t="str">
        <f t="shared" si="417"/>
        <v/>
      </c>
      <c r="AO274" s="132"/>
      <c r="AP274" s="125"/>
      <c r="AQ274" s="133"/>
      <c r="AR274" s="133"/>
      <c r="AS274" s="134"/>
      <c r="AT274" s="400"/>
      <c r="AU274" s="400"/>
      <c r="AV274" s="400"/>
    </row>
    <row r="275" spans="1:48" x14ac:dyDescent="0.2">
      <c r="A275" s="398"/>
      <c r="B275" s="399"/>
      <c r="C275" s="400"/>
      <c r="D275" s="400"/>
      <c r="E275" s="400"/>
      <c r="F275" s="400"/>
      <c r="G275" s="401"/>
      <c r="H275" s="400"/>
      <c r="I275" s="404"/>
      <c r="J275" s="404"/>
      <c r="K275" s="404"/>
      <c r="L275" s="404"/>
      <c r="M275" s="404"/>
      <c r="N275" s="404"/>
      <c r="O275" s="416"/>
      <c r="P275" s="417"/>
      <c r="Q275" s="405"/>
      <c r="R275" s="406"/>
      <c r="S275" s="405">
        <f>IF(NOT(ISERROR(MATCH(R275,_xlfn.ANCHORARRAY(G286),0))),Q288&amp;"Por favor no seleccionar los criterios de impacto",R275)</f>
        <v>0</v>
      </c>
      <c r="T275" s="417"/>
      <c r="U275" s="405"/>
      <c r="V275" s="418"/>
      <c r="W275" s="149">
        <v>6</v>
      </c>
      <c r="X275" s="182"/>
      <c r="Y275" s="149"/>
      <c r="Z275" s="149"/>
      <c r="AA275" s="304" t="str">
        <f t="shared" si="412"/>
        <v xml:space="preserve">  </v>
      </c>
      <c r="AB275" s="126" t="str">
        <f t="shared" si="409"/>
        <v/>
      </c>
      <c r="AC275" s="127"/>
      <c r="AD275" s="127"/>
      <c r="AE275" s="128" t="str">
        <f t="shared" si="413"/>
        <v/>
      </c>
      <c r="AF275" s="127"/>
      <c r="AG275" s="127"/>
      <c r="AH275" s="127"/>
      <c r="AI275" s="129" t="str">
        <f t="shared" si="419"/>
        <v/>
      </c>
      <c r="AJ275" s="130" t="str">
        <f t="shared" si="414"/>
        <v/>
      </c>
      <c r="AK275" s="128" t="str">
        <f t="shared" si="415"/>
        <v/>
      </c>
      <c r="AL275" s="130" t="str">
        <f t="shared" si="416"/>
        <v/>
      </c>
      <c r="AM275" s="128" t="str">
        <f t="shared" si="418"/>
        <v/>
      </c>
      <c r="AN275" s="131" t="str">
        <f t="shared" si="417"/>
        <v/>
      </c>
      <c r="AO275" s="132"/>
      <c r="AP275" s="125"/>
      <c r="AQ275" s="133"/>
      <c r="AR275" s="133"/>
      <c r="AS275" s="134"/>
      <c r="AT275" s="400"/>
      <c r="AU275" s="400"/>
      <c r="AV275" s="400"/>
    </row>
    <row r="276" spans="1:48" ht="48.75" customHeight="1" x14ac:dyDescent="0.2">
      <c r="A276" s="398">
        <v>45</v>
      </c>
      <c r="B276" s="399" t="s">
        <v>42</v>
      </c>
      <c r="C276" s="400" t="s">
        <v>40</v>
      </c>
      <c r="D276" s="400" t="s">
        <v>1447</v>
      </c>
      <c r="E276" s="400" t="s">
        <v>1448</v>
      </c>
      <c r="F276" s="400" t="s">
        <v>1433</v>
      </c>
      <c r="G276" s="401" t="str">
        <f t="shared" ref="G276" si="420">+CONCATENATE(C276," ",D276," ",E276)</f>
        <v>Posibilidad de afectación reputacional por incumplimiento de las metas  debido a deficiencias en el seguimiento de las actividades programadas de Planificación, Producción, Apoyo Logistico e Intervención.</v>
      </c>
      <c r="H276" s="400" t="s">
        <v>391</v>
      </c>
      <c r="I276" s="402" t="s">
        <v>59</v>
      </c>
      <c r="J276" s="402" t="s">
        <v>1449</v>
      </c>
      <c r="K276" s="402" t="s">
        <v>1450</v>
      </c>
      <c r="L276" s="402" t="s">
        <v>1451</v>
      </c>
      <c r="M276" s="402" t="s">
        <v>63</v>
      </c>
      <c r="N276" s="402" t="s">
        <v>42</v>
      </c>
      <c r="O276" s="416">
        <v>12</v>
      </c>
      <c r="P276" s="417" t="str">
        <f>IF(O276&lt;=0,"",IF(O276&lt;=2,"Muy Baja",IF(O276&lt;=24,"Baja",IF(O276&lt;=500,"Media",IF(O276&lt;=5000,"Alta","Muy Alta")))))</f>
        <v>Baja</v>
      </c>
      <c r="Q276" s="405">
        <f>IF(P276="","",IF(P276="Muy Baja",0.2,IF(P276="Baja",0.4,IF(P276="Media",0.6,IF(P276="Alta",0.8,IF(P276="Muy Alta",1,))))))</f>
        <v>0.4</v>
      </c>
      <c r="R276" s="406" t="s">
        <v>428</v>
      </c>
      <c r="S276" s="405" t="str">
        <f>IF(NOT(ISERROR(MATCH(R276,'[12]Tabla Impacto'!$B$245:$B$247,0))),'[12]Tabla Impacto'!$F$224&amp;"Por favor no seleccionar los criterios de impacto(Afectación Económica o presupuestal y Pérdida Reputacional)",R276)</f>
        <v xml:space="preserve">     El riesgo afecta la imagen de la entidad con algunos usuarios de relevancia frente al logro de los objetivos</v>
      </c>
      <c r="T276" s="417" t="str">
        <f>IF(OR(S276='[12]Tabla Impacto'!$C$12,S276='[12]Tabla Impacto'!$D$12),"Leve",IF(OR(S276='[12]Tabla Impacto'!$C$13,S276='[12]Tabla Impacto'!$D$13),"Menor",IF(OR(S276='[12]Tabla Impacto'!$C$14,S276='[12]Tabla Impacto'!$D$14),"Moderado",IF(OR(S276='[12]Tabla Impacto'!$C$15,S276='[12]Tabla Impacto'!$D$15),"Mayor",IF(OR(S276='[12]Tabla Impacto'!$C$16,S276='[12]Tabla Impacto'!$D$16),"Catastrófico","")))))</f>
        <v>Moderado</v>
      </c>
      <c r="U276" s="405">
        <f>IF(T276="","",IF(T276="Leve",0.2,IF(T276="Menor",0.4,IF(T276="Moderado",0.6,IF(T276="Mayor",0.8,IF(T276="Catastrófico",1,))))))</f>
        <v>0.6</v>
      </c>
      <c r="V276" s="418" t="str">
        <f>IF(OR(AND(P276="Muy Baja",T276="Leve"),AND(P276="Muy Baja",T276="Menor"),AND(P276="Baja",T276="Leve")),"Bajo",IF(OR(AND(P276="Muy baja",T276="Moderado"),AND(P276="Baja",T276="Menor"),AND(P276="Baja",T276="Moderado"),AND(P276="Media",T276="Leve"),AND(P276="Media",T276="Menor"),AND(P276="Media",T276="Moderado"),AND(P276="Alta",T276="Leve"),AND(P276="Alta",T276="Menor")),"Moderado",IF(OR(AND(P276="Muy Baja",T276="Mayor"),AND(P276="Baja",T276="Mayor"),AND(P276="Media",T276="Mayor"),AND(P276="Alta",T276="Moderado"),AND(P276="Alta",T276="Mayor"),AND(P276="Muy Alta",T276="Leve"),AND(P276="Muy Alta",T276="Menor"),AND(P276="Muy Alta",T276="Moderado"),AND(P276="Muy Alta",T276="Mayor")),"Alto",IF(OR(AND(P276="Muy Baja",T276="Catastrófico"),AND(P276="Baja",T276="Catastrófico"),AND(P276="Media",T276="Catastrófico"),AND(P276="Alta",T276="Catastrófico"),AND(P276="Muy Alta",T276="Catastrófico")),"Extremo",""))))</f>
        <v>Moderado</v>
      </c>
      <c r="W276" s="149">
        <v>1</v>
      </c>
      <c r="X276" s="182" t="s">
        <v>1437</v>
      </c>
      <c r="Y276" s="149" t="s">
        <v>52</v>
      </c>
      <c r="Z276" s="182" t="s">
        <v>1468</v>
      </c>
      <c r="AA276" s="304" t="str">
        <f t="shared" si="412"/>
        <v>El Gerente del Proyecto Revisa mensualmente la ejecución presupuestal y física de los contratos de insumos, bienes y servicios financiados por el proyecto de inversión 8081.
Como evidencia queda el acta de Reunión de Seguimiento presupuestal a los contratos misionales.
En caso de evidenciar desviaciones se escala a la instancia de coordinación - Comité de Planificación, Producción e Intervención de UAERMV.</v>
      </c>
      <c r="AB276" s="126" t="str">
        <f>IF(OR(AC276="Preventivo",AC276="Detectivo"),"Probabilidad",IF(AC276="Correctivo","Impacto",""))</f>
        <v>Probabilidad</v>
      </c>
      <c r="AC276" s="127" t="s">
        <v>398</v>
      </c>
      <c r="AD276" s="127" t="s">
        <v>394</v>
      </c>
      <c r="AE276" s="128" t="str">
        <f>IF(AND(AC276="Preventivo",AD276="Automático"),"50%",IF(AND(AC276="Preventivo",AD276="Manual"),"40%",IF(AND(AC276="Detectivo",AD276="Automático"),"40%",IF(AND(AC276="Detectivo",AD276="Manual"),"30%",IF(AND(AC276="Correctivo",AD276="Automático"),"35%",IF(AND(AC276="Correctivo",AD276="Manual"),"25%",""))))))</f>
        <v>40%</v>
      </c>
      <c r="AF276" s="127" t="s">
        <v>395</v>
      </c>
      <c r="AG276" s="127" t="s">
        <v>396</v>
      </c>
      <c r="AH276" s="127" t="s">
        <v>397</v>
      </c>
      <c r="AI276" s="129">
        <f>IFERROR(IF(AB276="Probabilidad",(Q276-(+Q276*AE276)),IF(AB276="Impacto",Q276,"")),"")</f>
        <v>0.24</v>
      </c>
      <c r="AJ276" s="130" t="str">
        <f>IFERROR(IF(AI276="","",IF(AI276&lt;=0.2,"Muy Baja",IF(AI276&lt;=0.4,"Baja",IF(AI276&lt;=0.6,"Media",IF(AI276&lt;=0.8,"Alta","Muy Alta"))))),"")</f>
        <v>Baja</v>
      </c>
      <c r="AK276" s="128">
        <f>+AI276</f>
        <v>0.24</v>
      </c>
      <c r="AL276" s="130" t="str">
        <f>IFERROR(IF(AM276="","",IF(AM276&lt;=0.2,"Leve",IF(AM276&lt;=0.4,"Menor",IF(AM276&lt;=0.6,"Moderado",IF(AM276&lt;=0.8,"Mayor","Catastrófico"))))),"")</f>
        <v>Moderado</v>
      </c>
      <c r="AM276" s="128">
        <f>IFERROR(IF(AB276="Impacto",(U276-(+U276*AE276)),IF(AB276="Probabilidad",U276,"")),"")</f>
        <v>0.6</v>
      </c>
      <c r="AN276" s="131" t="str">
        <f>IFERROR(IF(OR(AND(AJ276="Muy Baja",AL276="Leve"),AND(AJ276="Muy Baja",AL276="Menor"),AND(AJ276="Baja",AL276="Leve")),"Bajo",IF(OR(AND(AJ276="Muy baja",AL276="Moderado"),AND(AJ276="Baja",AL276="Menor"),AND(AJ276="Baja",AL276="Moderado"),AND(AJ276="Media",AL276="Leve"),AND(AJ276="Media",AL276="Menor"),AND(AJ276="Media",AL276="Moderado"),AND(AJ276="Alta",AL276="Leve"),AND(AJ276="Alta",AL276="Menor")),"Moderado",IF(OR(AND(AJ276="Muy Baja",AL276="Mayor"),AND(AJ276="Baja",AL276="Mayor"),AND(AJ276="Media",AL276="Mayor"),AND(AJ276="Alta",AL276="Moderado"),AND(AJ276="Alta",AL276="Mayor"),AND(AJ276="Muy Alta",AL276="Leve"),AND(AJ276="Muy Alta",AL276="Menor"),AND(AJ276="Muy Alta",AL276="Moderado"),AND(AJ276="Muy Alta",AL276="Mayor")),"Alto",IF(OR(AND(AJ276="Muy Baja",AL276="Catastrófico"),AND(AJ276="Baja",AL276="Catastrófico"),AND(AJ276="Media",AL276="Catastrófico"),AND(AJ276="Alta",AL276="Catastrófico"),AND(AJ276="Muy Alta",AL276="Catastrófico")),"Extremo","")))),"")</f>
        <v>Moderado</v>
      </c>
      <c r="AO276" s="132" t="s">
        <v>43</v>
      </c>
      <c r="AP276" s="125" t="s">
        <v>1453</v>
      </c>
      <c r="AQ276" s="125" t="s">
        <v>1440</v>
      </c>
      <c r="AR276" s="133" t="s">
        <v>1454</v>
      </c>
      <c r="AS276" s="134" t="s">
        <v>822</v>
      </c>
      <c r="AT276" s="400" t="s">
        <v>1442</v>
      </c>
      <c r="AU276" s="400" t="s">
        <v>1443</v>
      </c>
      <c r="AV276" s="400" t="s">
        <v>1444</v>
      </c>
    </row>
    <row r="277" spans="1:48" x14ac:dyDescent="0.2">
      <c r="A277" s="398"/>
      <c r="B277" s="399"/>
      <c r="C277" s="400"/>
      <c r="D277" s="400"/>
      <c r="E277" s="400"/>
      <c r="F277" s="400"/>
      <c r="G277" s="401"/>
      <c r="H277" s="400"/>
      <c r="I277" s="403"/>
      <c r="J277" s="403"/>
      <c r="K277" s="403"/>
      <c r="L277" s="403"/>
      <c r="M277" s="403"/>
      <c r="N277" s="403"/>
      <c r="O277" s="416"/>
      <c r="P277" s="417"/>
      <c r="Q277" s="405"/>
      <c r="R277" s="406"/>
      <c r="S277" s="405">
        <f>IF(NOT(ISERROR(MATCH(R277,_xlfn.ANCHORARRAY(G288),0))),Q290&amp;"Por favor no seleccionar los criterios de impacto",R277)</f>
        <v>0</v>
      </c>
      <c r="T277" s="417"/>
      <c r="U277" s="405"/>
      <c r="V277" s="418"/>
      <c r="W277" s="149">
        <v>2</v>
      </c>
      <c r="X277" s="182"/>
      <c r="Y277" s="149"/>
      <c r="Z277" s="149"/>
      <c r="AA277" s="304" t="str">
        <f t="shared" si="412"/>
        <v xml:space="preserve">  </v>
      </c>
      <c r="AB277" s="126" t="str">
        <f>IF(OR(AC277="Preventivo",AC277="Detectivo"),"Probabilidad",IF(AC277="Correctivo","Impacto",""))</f>
        <v/>
      </c>
      <c r="AC277" s="127"/>
      <c r="AD277" s="127"/>
      <c r="AE277" s="128" t="str">
        <f t="shared" ref="AE277:AE281" si="421">IF(AND(AC277="Preventivo",AD277="Automático"),"50%",IF(AND(AC277="Preventivo",AD277="Manual"),"40%",IF(AND(AC277="Detectivo",AD277="Automático"),"40%",IF(AND(AC277="Detectivo",AD277="Manual"),"30%",IF(AND(AC277="Correctivo",AD277="Automático"),"35%",IF(AND(AC277="Correctivo",AD277="Manual"),"25%",""))))))</f>
        <v/>
      </c>
      <c r="AF277" s="127"/>
      <c r="AG277" s="127"/>
      <c r="AH277" s="127"/>
      <c r="AI277" s="129" t="str">
        <f>IFERROR(IF(AND(AB276="Probabilidad",AB277="Probabilidad"),(AK276-(+AK276*AE277)),IF(AB277="Probabilidad",(Q276-(+Q276*AE277)),IF(AB277="Impacto",AK276,""))),"")</f>
        <v/>
      </c>
      <c r="AJ277" s="130" t="str">
        <f t="shared" si="414"/>
        <v/>
      </c>
      <c r="AK277" s="128" t="str">
        <f t="shared" ref="AK277:AK281" si="422">+AI277</f>
        <v/>
      </c>
      <c r="AL277" s="130" t="str">
        <f t="shared" si="416"/>
        <v/>
      </c>
      <c r="AM277" s="128" t="str">
        <f t="shared" ref="AM277" si="423">IFERROR(IF(AND(AB276="Impacto",AB277="Impacto"),(AM276-(+AM276*AE277)),IF(AB277="Impacto",($T$13-(+$T$13*AE277)),IF(AB277="Probabilidad",AM276,""))),"")</f>
        <v/>
      </c>
      <c r="AN277" s="131" t="str">
        <f t="shared" ref="AN277:AN278" si="424">IFERROR(IF(OR(AND(AJ277="Muy Baja",AL277="Leve"),AND(AJ277="Muy Baja",AL277="Menor"),AND(AJ277="Baja",AL277="Leve")),"Bajo",IF(OR(AND(AJ277="Muy baja",AL277="Moderado"),AND(AJ277="Baja",AL277="Menor"),AND(AJ277="Baja",AL277="Moderado"),AND(AJ277="Media",AL277="Leve"),AND(AJ277="Media",AL277="Menor"),AND(AJ277="Media",AL277="Moderado"),AND(AJ277="Alta",AL277="Leve"),AND(AJ277="Alta",AL277="Menor")),"Moderado",IF(OR(AND(AJ277="Muy Baja",AL277="Mayor"),AND(AJ277="Baja",AL277="Mayor"),AND(AJ277="Media",AL277="Mayor"),AND(AJ277="Alta",AL277="Moderado"),AND(AJ277="Alta",AL277="Mayor"),AND(AJ277="Muy Alta",AL277="Leve"),AND(AJ277="Muy Alta",AL277="Menor"),AND(AJ277="Muy Alta",AL277="Moderado"),AND(AJ277="Muy Alta",AL277="Mayor")),"Alto",IF(OR(AND(AJ277="Muy Baja",AL277="Catastrófico"),AND(AJ277="Baja",AL277="Catastrófico"),AND(AJ277="Media",AL277="Catastrófico"),AND(AJ277="Alta",AL277="Catastrófico"),AND(AJ277="Muy Alta",AL277="Catastrófico")),"Extremo","")))),"")</f>
        <v/>
      </c>
      <c r="AO277" s="132"/>
      <c r="AP277" s="125"/>
      <c r="AQ277" s="133"/>
      <c r="AR277" s="125"/>
      <c r="AS277" s="134"/>
      <c r="AT277" s="400"/>
      <c r="AU277" s="400"/>
      <c r="AV277" s="400"/>
    </row>
    <row r="278" spans="1:48" x14ac:dyDescent="0.2">
      <c r="A278" s="398"/>
      <c r="B278" s="399"/>
      <c r="C278" s="400"/>
      <c r="D278" s="400"/>
      <c r="E278" s="400"/>
      <c r="F278" s="400"/>
      <c r="G278" s="401"/>
      <c r="H278" s="400"/>
      <c r="I278" s="403"/>
      <c r="J278" s="403"/>
      <c r="K278" s="403"/>
      <c r="L278" s="403"/>
      <c r="M278" s="403"/>
      <c r="N278" s="403"/>
      <c r="O278" s="416"/>
      <c r="P278" s="417"/>
      <c r="Q278" s="405"/>
      <c r="R278" s="406"/>
      <c r="S278" s="405">
        <f>IF(NOT(ISERROR(MATCH(R278,_xlfn.ANCHORARRAY(G289),0))),Q291&amp;"Por favor no seleccionar los criterios de impacto",R278)</f>
        <v>0</v>
      </c>
      <c r="T278" s="417"/>
      <c r="U278" s="405"/>
      <c r="V278" s="418"/>
      <c r="W278" s="149">
        <v>3</v>
      </c>
      <c r="X278" s="182"/>
      <c r="Y278" s="149"/>
      <c r="Z278" s="149"/>
      <c r="AA278" s="304" t="str">
        <f t="shared" si="412"/>
        <v xml:space="preserve">  </v>
      </c>
      <c r="AB278" s="126" t="str">
        <f>IF(OR(AC278="Preventivo",AC278="Detectivo"),"Probabilidad",IF(AC278="Correctivo","Impacto",""))</f>
        <v/>
      </c>
      <c r="AC278" s="127"/>
      <c r="AD278" s="127"/>
      <c r="AE278" s="128" t="str">
        <f t="shared" si="421"/>
        <v/>
      </c>
      <c r="AF278" s="127"/>
      <c r="AG278" s="127"/>
      <c r="AH278" s="127"/>
      <c r="AI278" s="129" t="str">
        <f>IFERROR(IF(AND(AB277="Probabilidad",AB278="Probabilidad"),(AK277-(+AK277*AE278)),IF(AND(AB277="Impacto",AB278="Probabilidad"),(AK276-(+AK276*AE278)),IF(AB278="Impacto",AK277,""))),"")</f>
        <v/>
      </c>
      <c r="AJ278" s="130" t="str">
        <f t="shared" si="414"/>
        <v/>
      </c>
      <c r="AK278" s="128" t="str">
        <f t="shared" si="422"/>
        <v/>
      </c>
      <c r="AL278" s="130" t="str">
        <f t="shared" si="416"/>
        <v/>
      </c>
      <c r="AM278" s="128" t="str">
        <f t="shared" ref="AM278:AM287" si="425">IFERROR(IF(AND(AB277="Impacto",AB278="Impacto"),(AM277-(+AM277*AE278)),IF(AND(AB277="Probabilidad",AB278="Impacto"),(AM276-(+AM276*AE278)),IF(AB278="Probabilidad",AM277,""))),"")</f>
        <v/>
      </c>
      <c r="AN278" s="131" t="str">
        <f t="shared" si="424"/>
        <v/>
      </c>
      <c r="AO278" s="132"/>
      <c r="AP278" s="125"/>
      <c r="AQ278" s="133"/>
      <c r="AR278" s="133"/>
      <c r="AS278" s="134"/>
      <c r="AT278" s="400"/>
      <c r="AU278" s="400"/>
      <c r="AV278" s="400"/>
    </row>
    <row r="279" spans="1:48" x14ac:dyDescent="0.2">
      <c r="A279" s="398"/>
      <c r="B279" s="399"/>
      <c r="C279" s="400"/>
      <c r="D279" s="400"/>
      <c r="E279" s="400"/>
      <c r="F279" s="400"/>
      <c r="G279" s="401"/>
      <c r="H279" s="400"/>
      <c r="I279" s="403"/>
      <c r="J279" s="403"/>
      <c r="K279" s="403"/>
      <c r="L279" s="403"/>
      <c r="M279" s="403"/>
      <c r="N279" s="403"/>
      <c r="O279" s="416"/>
      <c r="P279" s="417"/>
      <c r="Q279" s="405"/>
      <c r="R279" s="406"/>
      <c r="S279" s="405">
        <f>IF(NOT(ISERROR(MATCH(R279,_xlfn.ANCHORARRAY(G290),0))),Q292&amp;"Por favor no seleccionar los criterios de impacto",R279)</f>
        <v>0</v>
      </c>
      <c r="T279" s="417"/>
      <c r="U279" s="405"/>
      <c r="V279" s="418"/>
      <c r="W279" s="149">
        <v>4</v>
      </c>
      <c r="X279" s="182"/>
      <c r="Y279" s="149"/>
      <c r="Z279" s="149"/>
      <c r="AA279" s="304" t="str">
        <f t="shared" si="412"/>
        <v xml:space="preserve">  </v>
      </c>
      <c r="AB279" s="126" t="str">
        <f t="shared" ref="AB279:AB281" si="426">IF(OR(AC279="Preventivo",AC279="Detectivo"),"Probabilidad",IF(AC279="Correctivo","Impacto",""))</f>
        <v/>
      </c>
      <c r="AC279" s="127"/>
      <c r="AD279" s="127"/>
      <c r="AE279" s="128" t="str">
        <f t="shared" si="421"/>
        <v/>
      </c>
      <c r="AF279" s="127"/>
      <c r="AG279" s="127"/>
      <c r="AH279" s="127"/>
      <c r="AI279" s="129" t="str">
        <f t="shared" ref="AI279:AI281" si="427">IFERROR(IF(AND(AB278="Probabilidad",AB279="Probabilidad"),(AK278-(+AK278*AE279)),IF(AND(AB278="Impacto",AB279="Probabilidad"),(AK277-(+AK277*AE279)),IF(AB279="Impacto",AK278,""))),"")</f>
        <v/>
      </c>
      <c r="AJ279" s="130" t="str">
        <f t="shared" si="414"/>
        <v/>
      </c>
      <c r="AK279" s="128" t="str">
        <f t="shared" si="422"/>
        <v/>
      </c>
      <c r="AL279" s="130" t="str">
        <f t="shared" si="416"/>
        <v/>
      </c>
      <c r="AM279" s="128" t="str">
        <f t="shared" si="425"/>
        <v/>
      </c>
      <c r="AN279" s="131" t="str">
        <f>IFERROR(IF(OR(AND(AJ279="Muy Baja",AL279="Leve"),AND(AJ279="Muy Baja",AL279="Menor"),AND(AJ279="Baja",AL279="Leve")),"Bajo",IF(OR(AND(AJ279="Muy baja",AL279="Moderado"),AND(AJ279="Baja",AL279="Menor"),AND(AJ279="Baja",AL279="Moderado"),AND(AJ279="Media",AL279="Leve"),AND(AJ279="Media",AL279="Menor"),AND(AJ279="Media",AL279="Moderado"),AND(AJ279="Alta",AL279="Leve"),AND(AJ279="Alta",AL279="Menor")),"Moderado",IF(OR(AND(AJ279="Muy Baja",AL279="Mayor"),AND(AJ279="Baja",AL279="Mayor"),AND(AJ279="Media",AL279="Mayor"),AND(AJ279="Alta",AL279="Moderado"),AND(AJ279="Alta",AL279="Mayor"),AND(AJ279="Muy Alta",AL279="Leve"),AND(AJ279="Muy Alta",AL279="Menor"),AND(AJ279="Muy Alta",AL279="Moderado"),AND(AJ279="Muy Alta",AL279="Mayor")),"Alto",IF(OR(AND(AJ279="Muy Baja",AL279="Catastrófico"),AND(AJ279="Baja",AL279="Catastrófico"),AND(AJ279="Media",AL279="Catastrófico"),AND(AJ279="Alta",AL279="Catastrófico"),AND(AJ279="Muy Alta",AL279="Catastrófico")),"Extremo","")))),"")</f>
        <v/>
      </c>
      <c r="AO279" s="132"/>
      <c r="AP279" s="125"/>
      <c r="AQ279" s="133"/>
      <c r="AR279" s="133"/>
      <c r="AS279" s="134"/>
      <c r="AT279" s="400"/>
      <c r="AU279" s="400"/>
      <c r="AV279" s="400"/>
    </row>
    <row r="280" spans="1:48" x14ac:dyDescent="0.2">
      <c r="A280" s="398"/>
      <c r="B280" s="399"/>
      <c r="C280" s="400"/>
      <c r="D280" s="400"/>
      <c r="E280" s="400"/>
      <c r="F280" s="400"/>
      <c r="G280" s="401"/>
      <c r="H280" s="400"/>
      <c r="I280" s="403"/>
      <c r="J280" s="403"/>
      <c r="K280" s="403"/>
      <c r="L280" s="403"/>
      <c r="M280" s="403"/>
      <c r="N280" s="403"/>
      <c r="O280" s="416"/>
      <c r="P280" s="417"/>
      <c r="Q280" s="405"/>
      <c r="R280" s="406"/>
      <c r="S280" s="405">
        <f>IF(NOT(ISERROR(MATCH(R280,_xlfn.ANCHORARRAY(G291),0))),Q293&amp;"Por favor no seleccionar los criterios de impacto",R280)</f>
        <v>0</v>
      </c>
      <c r="T280" s="417"/>
      <c r="U280" s="405"/>
      <c r="V280" s="418"/>
      <c r="W280" s="149">
        <v>5</v>
      </c>
      <c r="X280" s="182"/>
      <c r="Y280" s="149"/>
      <c r="Z280" s="149"/>
      <c r="AA280" s="304" t="str">
        <f t="shared" si="412"/>
        <v xml:space="preserve">  </v>
      </c>
      <c r="AB280" s="126" t="str">
        <f t="shared" si="426"/>
        <v/>
      </c>
      <c r="AC280" s="127"/>
      <c r="AD280" s="127"/>
      <c r="AE280" s="128" t="str">
        <f t="shared" si="421"/>
        <v/>
      </c>
      <c r="AF280" s="127"/>
      <c r="AG280" s="127"/>
      <c r="AH280" s="127"/>
      <c r="AI280" s="129" t="str">
        <f t="shared" si="427"/>
        <v/>
      </c>
      <c r="AJ280" s="130" t="str">
        <f t="shared" si="414"/>
        <v/>
      </c>
      <c r="AK280" s="128" t="str">
        <f t="shared" si="422"/>
        <v/>
      </c>
      <c r="AL280" s="130" t="str">
        <f t="shared" si="416"/>
        <v/>
      </c>
      <c r="AM280" s="128" t="str">
        <f t="shared" si="425"/>
        <v/>
      </c>
      <c r="AN280" s="131" t="str">
        <f t="shared" ref="AN280:AN281" si="428">IFERROR(IF(OR(AND(AJ280="Muy Baja",AL280="Leve"),AND(AJ280="Muy Baja",AL280="Menor"),AND(AJ280="Baja",AL280="Leve")),"Bajo",IF(OR(AND(AJ280="Muy baja",AL280="Moderado"),AND(AJ280="Baja",AL280="Menor"),AND(AJ280="Baja",AL280="Moderado"),AND(AJ280="Media",AL280="Leve"),AND(AJ280="Media",AL280="Menor"),AND(AJ280="Media",AL280="Moderado"),AND(AJ280="Alta",AL280="Leve"),AND(AJ280="Alta",AL280="Menor")),"Moderado",IF(OR(AND(AJ280="Muy Baja",AL280="Mayor"),AND(AJ280="Baja",AL280="Mayor"),AND(AJ280="Media",AL280="Mayor"),AND(AJ280="Alta",AL280="Moderado"),AND(AJ280="Alta",AL280="Mayor"),AND(AJ280="Muy Alta",AL280="Leve"),AND(AJ280="Muy Alta",AL280="Menor"),AND(AJ280="Muy Alta",AL280="Moderado"),AND(AJ280="Muy Alta",AL280="Mayor")),"Alto",IF(OR(AND(AJ280="Muy Baja",AL280="Catastrófico"),AND(AJ280="Baja",AL280="Catastrófico"),AND(AJ280="Media",AL280="Catastrófico"),AND(AJ280="Alta",AL280="Catastrófico"),AND(AJ280="Muy Alta",AL280="Catastrófico")),"Extremo","")))),"")</f>
        <v/>
      </c>
      <c r="AO280" s="132"/>
      <c r="AP280" s="125"/>
      <c r="AQ280" s="133"/>
      <c r="AR280" s="133"/>
      <c r="AS280" s="134"/>
      <c r="AT280" s="400"/>
      <c r="AU280" s="400"/>
      <c r="AV280" s="400"/>
    </row>
    <row r="281" spans="1:48" x14ac:dyDescent="0.2">
      <c r="A281" s="398"/>
      <c r="B281" s="399"/>
      <c r="C281" s="400"/>
      <c r="D281" s="400"/>
      <c r="E281" s="400"/>
      <c r="F281" s="400"/>
      <c r="G281" s="401"/>
      <c r="H281" s="400"/>
      <c r="I281" s="404"/>
      <c r="J281" s="404"/>
      <c r="K281" s="404"/>
      <c r="L281" s="404"/>
      <c r="M281" s="404"/>
      <c r="N281" s="404"/>
      <c r="O281" s="416"/>
      <c r="P281" s="417"/>
      <c r="Q281" s="405"/>
      <c r="R281" s="406"/>
      <c r="S281" s="405">
        <f>IF(NOT(ISERROR(MATCH(R281,_xlfn.ANCHORARRAY(G292),0))),Q294&amp;"Por favor no seleccionar los criterios de impacto",R281)</f>
        <v>0</v>
      </c>
      <c r="T281" s="417"/>
      <c r="U281" s="405"/>
      <c r="V281" s="418"/>
      <c r="W281" s="149">
        <v>6</v>
      </c>
      <c r="X281" s="149"/>
      <c r="Y281" s="149"/>
      <c r="Z281" s="149"/>
      <c r="AA281" s="304" t="str">
        <f t="shared" si="412"/>
        <v xml:space="preserve">  </v>
      </c>
      <c r="AB281" s="126" t="str">
        <f t="shared" si="426"/>
        <v/>
      </c>
      <c r="AC281" s="127"/>
      <c r="AD281" s="127"/>
      <c r="AE281" s="128" t="str">
        <f t="shared" si="421"/>
        <v/>
      </c>
      <c r="AF281" s="127"/>
      <c r="AG281" s="127"/>
      <c r="AH281" s="127"/>
      <c r="AI281" s="129" t="str">
        <f t="shared" si="427"/>
        <v/>
      </c>
      <c r="AJ281" s="130" t="str">
        <f t="shared" si="414"/>
        <v/>
      </c>
      <c r="AK281" s="128" t="str">
        <f t="shared" si="422"/>
        <v/>
      </c>
      <c r="AL281" s="130" t="str">
        <f t="shared" si="416"/>
        <v/>
      </c>
      <c r="AM281" s="128" t="str">
        <f t="shared" si="425"/>
        <v/>
      </c>
      <c r="AN281" s="131" t="str">
        <f t="shared" si="428"/>
        <v/>
      </c>
      <c r="AO281" s="132"/>
      <c r="AP281" s="125"/>
      <c r="AQ281" s="133"/>
      <c r="AR281" s="133"/>
      <c r="AS281" s="134"/>
      <c r="AT281" s="400"/>
      <c r="AU281" s="400"/>
      <c r="AV281" s="400"/>
    </row>
    <row r="282" spans="1:48" ht="48.75" customHeight="1" x14ac:dyDescent="0.2">
      <c r="A282" s="398">
        <v>46</v>
      </c>
      <c r="B282" s="399" t="s">
        <v>42</v>
      </c>
      <c r="C282" s="400" t="s">
        <v>40</v>
      </c>
      <c r="D282" s="400" t="s">
        <v>1455</v>
      </c>
      <c r="E282" s="400" t="s">
        <v>1456</v>
      </c>
      <c r="F282" s="400" t="s">
        <v>1457</v>
      </c>
      <c r="G282" s="401" t="str">
        <f t="shared" ref="G282" si="429">+CONCATENATE(C282," ",D282," ",E282)</f>
        <v>Posibilidad de afectación reputacional por falta de calidad en las obras entregadas  debido a posibles incumplimientos en las especificaciones técnicas dentro de la cadena de abastecimiento, producción e intervención.</v>
      </c>
      <c r="H282" s="400" t="s">
        <v>391</v>
      </c>
      <c r="I282" s="402" t="s">
        <v>59</v>
      </c>
      <c r="J282" s="402" t="s">
        <v>1458</v>
      </c>
      <c r="K282" s="402" t="s">
        <v>1459</v>
      </c>
      <c r="L282" s="402" t="s">
        <v>1460</v>
      </c>
      <c r="M282" s="402" t="s">
        <v>63</v>
      </c>
      <c r="N282" s="402" t="s">
        <v>42</v>
      </c>
      <c r="O282" s="416">
        <v>12</v>
      </c>
      <c r="P282" s="417" t="str">
        <f>IF(O282&lt;=0,"",IF(O282&lt;=2,"Muy Baja",IF(O282&lt;=24,"Baja",IF(O282&lt;=500,"Media",IF(O282&lt;=5000,"Alta","Muy Alta")))))</f>
        <v>Baja</v>
      </c>
      <c r="Q282" s="405">
        <f>IF(P282="","",IF(P282="Muy Baja",0.2,IF(P282="Baja",0.4,IF(P282="Media",0.6,IF(P282="Alta",0.8,IF(P282="Muy Alta",1,))))))</f>
        <v>0.4</v>
      </c>
      <c r="R282" s="406" t="s">
        <v>428</v>
      </c>
      <c r="S282" s="405" t="str">
        <f>IF(NOT(ISERROR(MATCH(R282,'[12]Tabla Impacto'!$B$245:$B$247,0))),'[12]Tabla Impacto'!$F$224&amp;"Por favor no seleccionar los criterios de impacto(Afectación Económica o presupuestal y Pérdida Reputacional)",R282)</f>
        <v xml:space="preserve">     El riesgo afecta la imagen de la entidad con algunos usuarios de relevancia frente al logro de los objetivos</v>
      </c>
      <c r="T282" s="417" t="str">
        <f>IF(OR(S282='[12]Tabla Impacto'!$C$12,S282='[12]Tabla Impacto'!$D$12),"Leve",IF(OR(S282='[12]Tabla Impacto'!$C$13,S282='[12]Tabla Impacto'!$D$13),"Menor",IF(OR(S282='[12]Tabla Impacto'!$C$14,S282='[12]Tabla Impacto'!$D$14),"Moderado",IF(OR(S282='[12]Tabla Impacto'!$C$15,S282='[12]Tabla Impacto'!$D$15),"Mayor",IF(OR(S282='[12]Tabla Impacto'!$C$16,S282='[12]Tabla Impacto'!$D$16),"Catastrófico","")))))</f>
        <v>Moderado</v>
      </c>
      <c r="U282" s="405">
        <f>IF(T282="","",IF(T282="Leve",0.2,IF(T282="Menor",0.4,IF(T282="Moderado",0.6,IF(T282="Mayor",0.8,IF(T282="Catastrófico",1,))))))</f>
        <v>0.6</v>
      </c>
      <c r="V282" s="418" t="str">
        <f>IF(OR(AND(P282="Muy Baja",T282="Leve"),AND(P282="Muy Baja",T282="Menor"),AND(P282="Baja",T282="Leve")),"Bajo",IF(OR(AND(P282="Muy baja",T282="Moderado"),AND(P282="Baja",T282="Menor"),AND(P282="Baja",T282="Moderado"),AND(P282="Media",T282="Leve"),AND(P282="Media",T282="Menor"),AND(P282="Media",T282="Moderado"),AND(P282="Alta",T282="Leve"),AND(P282="Alta",T282="Menor")),"Moderado",IF(OR(AND(P282="Muy Baja",T282="Mayor"),AND(P282="Baja",T282="Mayor"),AND(P282="Media",T282="Mayor"),AND(P282="Alta",T282="Moderado"),AND(P282="Alta",T282="Mayor"),AND(P282="Muy Alta",T282="Leve"),AND(P282="Muy Alta",T282="Menor"),AND(P282="Muy Alta",T282="Moderado"),AND(P282="Muy Alta",T282="Mayor")),"Alto",IF(OR(AND(P282="Muy Baja",T282="Catastrófico"),AND(P282="Baja",T282="Catastrófico"),AND(P282="Media",T282="Catastrófico"),AND(P282="Alta",T282="Catastrófico"),AND(P282="Muy Alta",T282="Catastrófico")),"Extremo",""))))</f>
        <v>Moderado</v>
      </c>
      <c r="W282" s="149">
        <v>1</v>
      </c>
      <c r="X282" s="182" t="s">
        <v>1461</v>
      </c>
      <c r="Y282" s="149" t="s">
        <v>37</v>
      </c>
      <c r="Z282" s="182" t="s">
        <v>1469</v>
      </c>
      <c r="AA282" s="304" t="str">
        <f t="shared" si="412"/>
        <v>El Gerente para el Desarrollo, la Calidad y la Innovación Verifica mensualmente el cumplimiento de la calidad técnica de las intervenciones misionales, las especificaciones técnicas y los diseños establecidos, en cada una de las etapas de producción e intervención constructivas de las obras ejecutadas por la UAERMV, como evidencia queda el acta de reunión del Comité de Planificación, Producción e Intervención de UAERMV. 
En caso de evidenciar desviaciones se escala a la instancia de coordinación - Comité de Planificación, Producción e Intervención de UAERMV.</v>
      </c>
      <c r="AB282" s="126" t="str">
        <f>IF(OR(AC282="Preventivo",AC282="Detectivo"),"Probabilidad",IF(AC282="Correctivo","Impacto",""))</f>
        <v>Probabilidad</v>
      </c>
      <c r="AC282" s="127" t="s">
        <v>398</v>
      </c>
      <c r="AD282" s="127" t="s">
        <v>394</v>
      </c>
      <c r="AE282" s="128" t="str">
        <f>IF(AND(AC282="Preventivo",AD282="Automático"),"50%",IF(AND(AC282="Preventivo",AD282="Manual"),"40%",IF(AND(AC282="Detectivo",AD282="Automático"),"40%",IF(AND(AC282="Detectivo",AD282="Manual"),"30%",IF(AND(AC282="Correctivo",AD282="Automático"),"35%",IF(AND(AC282="Correctivo",AD282="Manual"),"25%",""))))))</f>
        <v>40%</v>
      </c>
      <c r="AF282" s="127" t="s">
        <v>395</v>
      </c>
      <c r="AG282" s="127" t="s">
        <v>396</v>
      </c>
      <c r="AH282" s="127" t="s">
        <v>397</v>
      </c>
      <c r="AI282" s="129">
        <f>IFERROR(IF(AB282="Probabilidad",(Q282-(+Q282*AE282)),IF(AB282="Impacto",Q282,"")),"")</f>
        <v>0.24</v>
      </c>
      <c r="AJ282" s="130" t="str">
        <f>IFERROR(IF(AI282="","",IF(AI282&lt;=0.2,"Muy Baja",IF(AI282&lt;=0.4,"Baja",IF(AI282&lt;=0.6,"Media",IF(AI282&lt;=0.8,"Alta","Muy Alta"))))),"")</f>
        <v>Baja</v>
      </c>
      <c r="AK282" s="128">
        <f>+AI282</f>
        <v>0.24</v>
      </c>
      <c r="AL282" s="130" t="str">
        <f>IFERROR(IF(AM282="","",IF(AM282&lt;=0.2,"Leve",IF(AM282&lt;=0.4,"Menor",IF(AM282&lt;=0.6,"Moderado",IF(AM282&lt;=0.8,"Mayor","Catastrófico"))))),"")</f>
        <v>Moderado</v>
      </c>
      <c r="AM282" s="128">
        <f t="shared" ref="AM282" si="430">IFERROR(IF(AB282="Impacto",(U282-(+U282*AE282)),IF(AB282="Probabilidad",U282,"")),"")</f>
        <v>0.6</v>
      </c>
      <c r="AN282" s="131" t="str">
        <f>IFERROR(IF(OR(AND(AJ282="Muy Baja",AL282="Leve"),AND(AJ282="Muy Baja",AL282="Menor"),AND(AJ282="Baja",AL282="Leve")),"Bajo",IF(OR(AND(AJ282="Muy baja",AL282="Moderado"),AND(AJ282="Baja",AL282="Menor"),AND(AJ282="Baja",AL282="Moderado"),AND(AJ282="Media",AL282="Leve"),AND(AJ282="Media",AL282="Menor"),AND(AJ282="Media",AL282="Moderado"),AND(AJ282="Alta",AL282="Leve"),AND(AJ282="Alta",AL282="Menor")),"Moderado",IF(OR(AND(AJ282="Muy Baja",AL282="Mayor"),AND(AJ282="Baja",AL282="Mayor"),AND(AJ282="Media",AL282="Mayor"),AND(AJ282="Alta",AL282="Moderado"),AND(AJ282="Alta",AL282="Mayor"),AND(AJ282="Muy Alta",AL282="Leve"),AND(AJ282="Muy Alta",AL282="Menor"),AND(AJ282="Muy Alta",AL282="Moderado"),AND(AJ282="Muy Alta",AL282="Mayor")),"Alto",IF(OR(AND(AJ282="Muy Baja",AL282="Catastrófico"),AND(AJ282="Baja",AL282="Catastrófico"),AND(AJ282="Media",AL282="Catastrófico"),AND(AJ282="Alta",AL282="Catastrófico"),AND(AJ282="Muy Alta",AL282="Catastrófico")),"Extremo","")))),"")</f>
        <v>Moderado</v>
      </c>
      <c r="AO282" s="132" t="s">
        <v>43</v>
      </c>
      <c r="AP282" s="125" t="s">
        <v>1463</v>
      </c>
      <c r="AQ282" s="125" t="s">
        <v>1464</v>
      </c>
      <c r="AR282" s="125" t="s">
        <v>1465</v>
      </c>
      <c r="AS282" s="134" t="s">
        <v>822</v>
      </c>
      <c r="AT282" s="400" t="s">
        <v>1442</v>
      </c>
      <c r="AU282" s="400" t="s">
        <v>1443</v>
      </c>
      <c r="AV282" s="400" t="s">
        <v>907</v>
      </c>
    </row>
    <row r="283" spans="1:48" x14ac:dyDescent="0.2">
      <c r="A283" s="398"/>
      <c r="B283" s="399"/>
      <c r="C283" s="400"/>
      <c r="D283" s="400"/>
      <c r="E283" s="400"/>
      <c r="F283" s="400"/>
      <c r="G283" s="401"/>
      <c r="H283" s="400"/>
      <c r="I283" s="403"/>
      <c r="J283" s="403"/>
      <c r="K283" s="403"/>
      <c r="L283" s="403"/>
      <c r="M283" s="403"/>
      <c r="N283" s="403"/>
      <c r="O283" s="416"/>
      <c r="P283" s="417"/>
      <c r="Q283" s="405"/>
      <c r="R283" s="406"/>
      <c r="S283" s="405">
        <f>IF(NOT(ISERROR(MATCH(R283,_xlfn.ANCHORARRAY(G294),0))),Q296&amp;"Por favor no seleccionar los criterios de impacto",R283)</f>
        <v>0</v>
      </c>
      <c r="T283" s="417"/>
      <c r="U283" s="405"/>
      <c r="V283" s="418"/>
      <c r="W283" s="149">
        <v>2</v>
      </c>
      <c r="X283" s="149"/>
      <c r="Y283" s="149"/>
      <c r="Z283" s="149"/>
      <c r="AA283" s="304" t="str">
        <f t="shared" si="412"/>
        <v xml:space="preserve">  </v>
      </c>
      <c r="AB283" s="126" t="str">
        <f>IF(OR(AC283="Preventivo",AC283="Detectivo"),"Probabilidad",IF(AC283="Correctivo","Impacto",""))</f>
        <v/>
      </c>
      <c r="AC283" s="127"/>
      <c r="AD283" s="127"/>
      <c r="AE283" s="128" t="str">
        <f t="shared" ref="AE283:AE287" si="431">IF(AND(AC283="Preventivo",AD283="Automático"),"50%",IF(AND(AC283="Preventivo",AD283="Manual"),"40%",IF(AND(AC283="Detectivo",AD283="Automático"),"40%",IF(AND(AC283="Detectivo",AD283="Manual"),"30%",IF(AND(AC283="Correctivo",AD283="Automático"),"35%",IF(AND(AC283="Correctivo",AD283="Manual"),"25%",""))))))</f>
        <v/>
      </c>
      <c r="AF283" s="127"/>
      <c r="AG283" s="127"/>
      <c r="AH283" s="127"/>
      <c r="AI283" s="129" t="str">
        <f>IFERROR(IF(AND(AB282="Probabilidad",AB283="Probabilidad"),(AK282-(+AK282*AE283)),IF(AB283="Probabilidad",(Q282-(+Q282*AE283)),IF(AB283="Impacto",AK282,""))),"")</f>
        <v/>
      </c>
      <c r="AJ283" s="130" t="str">
        <f t="shared" si="414"/>
        <v/>
      </c>
      <c r="AK283" s="128" t="str">
        <f t="shared" ref="AK283:AK287" si="432">+AI283</f>
        <v/>
      </c>
      <c r="AL283" s="130" t="str">
        <f t="shared" si="416"/>
        <v/>
      </c>
      <c r="AM283" s="128" t="str">
        <f t="shared" ref="AM283" si="433">IFERROR(IF(AND(AB282="Impacto",AB283="Impacto"),(AM282-(+AM282*AE283)),IF(AB283="Impacto",($T$13-(+$T$13*AE283)),IF(AB283="Probabilidad",AM282,""))),"")</f>
        <v/>
      </c>
      <c r="AN283" s="131" t="str">
        <f t="shared" ref="AN283:AN284" si="434">IFERROR(IF(OR(AND(AJ283="Muy Baja",AL283="Leve"),AND(AJ283="Muy Baja",AL283="Menor"),AND(AJ283="Baja",AL283="Leve")),"Bajo",IF(OR(AND(AJ283="Muy baja",AL283="Moderado"),AND(AJ283="Baja",AL283="Menor"),AND(AJ283="Baja",AL283="Moderado"),AND(AJ283="Media",AL283="Leve"),AND(AJ283="Media",AL283="Menor"),AND(AJ283="Media",AL283="Moderado"),AND(AJ283="Alta",AL283="Leve"),AND(AJ283="Alta",AL283="Menor")),"Moderado",IF(OR(AND(AJ283="Muy Baja",AL283="Mayor"),AND(AJ283="Baja",AL283="Mayor"),AND(AJ283="Media",AL283="Mayor"),AND(AJ283="Alta",AL283="Moderado"),AND(AJ283="Alta",AL283="Mayor"),AND(AJ283="Muy Alta",AL283="Leve"),AND(AJ283="Muy Alta",AL283="Menor"),AND(AJ283="Muy Alta",AL283="Moderado"),AND(AJ283="Muy Alta",AL283="Mayor")),"Alto",IF(OR(AND(AJ283="Muy Baja",AL283="Catastrófico"),AND(AJ283="Baja",AL283="Catastrófico"),AND(AJ283="Media",AL283="Catastrófico"),AND(AJ283="Alta",AL283="Catastrófico"),AND(AJ283="Muy Alta",AL283="Catastrófico")),"Extremo","")))),"")</f>
        <v/>
      </c>
      <c r="AO283" s="132"/>
      <c r="AP283" s="125"/>
      <c r="AQ283" s="133"/>
      <c r="AR283" s="133"/>
      <c r="AS283" s="134"/>
      <c r="AT283" s="400"/>
      <c r="AU283" s="400"/>
      <c r="AV283" s="400"/>
    </row>
    <row r="284" spans="1:48" x14ac:dyDescent="0.2">
      <c r="A284" s="398"/>
      <c r="B284" s="399"/>
      <c r="C284" s="400"/>
      <c r="D284" s="400"/>
      <c r="E284" s="400"/>
      <c r="F284" s="400"/>
      <c r="G284" s="401"/>
      <c r="H284" s="400"/>
      <c r="I284" s="403"/>
      <c r="J284" s="403"/>
      <c r="K284" s="403"/>
      <c r="L284" s="403"/>
      <c r="M284" s="403"/>
      <c r="N284" s="403"/>
      <c r="O284" s="416"/>
      <c r="P284" s="417"/>
      <c r="Q284" s="405"/>
      <c r="R284" s="406"/>
      <c r="S284" s="405">
        <f>IF(NOT(ISERROR(MATCH(R284,_xlfn.ANCHORARRAY(G295),0))),Q297&amp;"Por favor no seleccionar los criterios de impacto",R284)</f>
        <v>0</v>
      </c>
      <c r="T284" s="417"/>
      <c r="U284" s="405"/>
      <c r="V284" s="418"/>
      <c r="W284" s="149">
        <v>3</v>
      </c>
      <c r="X284" s="149"/>
      <c r="Y284" s="149"/>
      <c r="Z284" s="149"/>
      <c r="AA284" s="304" t="str">
        <f t="shared" si="412"/>
        <v xml:space="preserve">  </v>
      </c>
      <c r="AB284" s="126" t="str">
        <f>IF(OR(AC284="Preventivo",AC284="Detectivo"),"Probabilidad",IF(AC284="Correctivo","Impacto",""))</f>
        <v/>
      </c>
      <c r="AC284" s="127"/>
      <c r="AD284" s="127"/>
      <c r="AE284" s="128" t="str">
        <f t="shared" si="431"/>
        <v/>
      </c>
      <c r="AF284" s="127"/>
      <c r="AG284" s="127"/>
      <c r="AH284" s="127"/>
      <c r="AI284" s="129" t="str">
        <f>IFERROR(IF(AND(AB283="Probabilidad",AB284="Probabilidad"),(AK283-(+AK283*AE284)),IF(AND(AB283="Impacto",AB284="Probabilidad"),(AK282-(+AK282*AE284)),IF(AB284="Impacto",AK283,""))),"")</f>
        <v/>
      </c>
      <c r="AJ284" s="130" t="str">
        <f t="shared" si="414"/>
        <v/>
      </c>
      <c r="AK284" s="128" t="str">
        <f t="shared" si="432"/>
        <v/>
      </c>
      <c r="AL284" s="130" t="str">
        <f t="shared" si="416"/>
        <v/>
      </c>
      <c r="AM284" s="128" t="str">
        <f t="shared" ref="AM284" si="435">IFERROR(IF(AND(AB283="Impacto",AB284="Impacto"),(AM283-(+AM283*AE284)),IF(AND(AB283="Probabilidad",AB284="Impacto"),(AM282-(+AM282*AE284)),IF(AB284="Probabilidad",AM283,""))),"")</f>
        <v/>
      </c>
      <c r="AN284" s="131" t="str">
        <f t="shared" si="434"/>
        <v/>
      </c>
      <c r="AO284" s="132"/>
      <c r="AP284" s="125"/>
      <c r="AQ284" s="133"/>
      <c r="AR284" s="133"/>
      <c r="AS284" s="134"/>
      <c r="AT284" s="400"/>
      <c r="AU284" s="400"/>
      <c r="AV284" s="400"/>
    </row>
    <row r="285" spans="1:48" x14ac:dyDescent="0.2">
      <c r="A285" s="398"/>
      <c r="B285" s="399"/>
      <c r="C285" s="400"/>
      <c r="D285" s="400"/>
      <c r="E285" s="400"/>
      <c r="F285" s="400"/>
      <c r="G285" s="401"/>
      <c r="H285" s="400"/>
      <c r="I285" s="403"/>
      <c r="J285" s="403"/>
      <c r="K285" s="403"/>
      <c r="L285" s="403"/>
      <c r="M285" s="403"/>
      <c r="N285" s="403"/>
      <c r="O285" s="416"/>
      <c r="P285" s="417"/>
      <c r="Q285" s="405"/>
      <c r="R285" s="406"/>
      <c r="S285" s="405">
        <f>IF(NOT(ISERROR(MATCH(R285,_xlfn.ANCHORARRAY(G296),0))),Q298&amp;"Por favor no seleccionar los criterios de impacto",R285)</f>
        <v>0</v>
      </c>
      <c r="T285" s="417"/>
      <c r="U285" s="405"/>
      <c r="V285" s="418"/>
      <c r="W285" s="149">
        <v>4</v>
      </c>
      <c r="X285" s="149"/>
      <c r="Y285" s="149"/>
      <c r="Z285" s="149"/>
      <c r="AA285" s="304" t="str">
        <f t="shared" si="412"/>
        <v xml:space="preserve">  </v>
      </c>
      <c r="AB285" s="126" t="str">
        <f t="shared" ref="AB285:AB287" si="436">IF(OR(AC285="Preventivo",AC285="Detectivo"),"Probabilidad",IF(AC285="Correctivo","Impacto",""))</f>
        <v/>
      </c>
      <c r="AC285" s="127"/>
      <c r="AD285" s="127"/>
      <c r="AE285" s="128" t="str">
        <f t="shared" si="431"/>
        <v/>
      </c>
      <c r="AF285" s="127"/>
      <c r="AG285" s="127"/>
      <c r="AH285" s="127"/>
      <c r="AI285" s="129" t="str">
        <f t="shared" ref="AI285:AI287" si="437">IFERROR(IF(AND(AB284="Probabilidad",AB285="Probabilidad"),(AK284-(+AK284*AE285)),IF(AND(AB284="Impacto",AB285="Probabilidad"),(AK283-(+AK283*AE285)),IF(AB285="Impacto",AK284,""))),"")</f>
        <v/>
      </c>
      <c r="AJ285" s="130" t="str">
        <f t="shared" si="414"/>
        <v/>
      </c>
      <c r="AK285" s="128" t="str">
        <f t="shared" si="432"/>
        <v/>
      </c>
      <c r="AL285" s="130" t="str">
        <f t="shared" si="416"/>
        <v/>
      </c>
      <c r="AM285" s="128" t="str">
        <f t="shared" si="425"/>
        <v/>
      </c>
      <c r="AN285" s="131" t="str">
        <f>IFERROR(IF(OR(AND(AJ285="Muy Baja",AL285="Leve"),AND(AJ285="Muy Baja",AL285="Menor"),AND(AJ285="Baja",AL285="Leve")),"Bajo",IF(OR(AND(AJ285="Muy baja",AL285="Moderado"),AND(AJ285="Baja",AL285="Menor"),AND(AJ285="Baja",AL285="Moderado"),AND(AJ285="Media",AL285="Leve"),AND(AJ285="Media",AL285="Menor"),AND(AJ285="Media",AL285="Moderado"),AND(AJ285="Alta",AL285="Leve"),AND(AJ285="Alta",AL285="Menor")),"Moderado",IF(OR(AND(AJ285="Muy Baja",AL285="Mayor"),AND(AJ285="Baja",AL285="Mayor"),AND(AJ285="Media",AL285="Mayor"),AND(AJ285="Alta",AL285="Moderado"),AND(AJ285="Alta",AL285="Mayor"),AND(AJ285="Muy Alta",AL285="Leve"),AND(AJ285="Muy Alta",AL285="Menor"),AND(AJ285="Muy Alta",AL285="Moderado"),AND(AJ285="Muy Alta",AL285="Mayor")),"Alto",IF(OR(AND(AJ285="Muy Baja",AL285="Catastrófico"),AND(AJ285="Baja",AL285="Catastrófico"),AND(AJ285="Media",AL285="Catastrófico"),AND(AJ285="Alta",AL285="Catastrófico"),AND(AJ285="Muy Alta",AL285="Catastrófico")),"Extremo","")))),"")</f>
        <v/>
      </c>
      <c r="AO285" s="132"/>
      <c r="AP285" s="125"/>
      <c r="AQ285" s="133"/>
      <c r="AR285" s="133"/>
      <c r="AS285" s="134"/>
      <c r="AT285" s="400"/>
      <c r="AU285" s="400"/>
      <c r="AV285" s="400"/>
    </row>
    <row r="286" spans="1:48" x14ac:dyDescent="0.2">
      <c r="A286" s="398"/>
      <c r="B286" s="399"/>
      <c r="C286" s="400"/>
      <c r="D286" s="400"/>
      <c r="E286" s="400"/>
      <c r="F286" s="400"/>
      <c r="G286" s="401"/>
      <c r="H286" s="400"/>
      <c r="I286" s="403"/>
      <c r="J286" s="403"/>
      <c r="K286" s="403"/>
      <c r="L286" s="403"/>
      <c r="M286" s="403"/>
      <c r="N286" s="403"/>
      <c r="O286" s="416"/>
      <c r="P286" s="417"/>
      <c r="Q286" s="405"/>
      <c r="R286" s="406"/>
      <c r="S286" s="405">
        <f>IF(NOT(ISERROR(MATCH(R286,_xlfn.ANCHORARRAY(G297),0))),Q299&amp;"Por favor no seleccionar los criterios de impacto",R286)</f>
        <v>0</v>
      </c>
      <c r="T286" s="417"/>
      <c r="U286" s="405"/>
      <c r="V286" s="418"/>
      <c r="W286" s="149">
        <v>5</v>
      </c>
      <c r="X286" s="149"/>
      <c r="Y286" s="149"/>
      <c r="Z286" s="149"/>
      <c r="AA286" s="304" t="str">
        <f t="shared" si="412"/>
        <v xml:space="preserve">  </v>
      </c>
      <c r="AB286" s="126" t="str">
        <f t="shared" si="436"/>
        <v/>
      </c>
      <c r="AC286" s="127"/>
      <c r="AD286" s="127"/>
      <c r="AE286" s="128" t="str">
        <f t="shared" si="431"/>
        <v/>
      </c>
      <c r="AF286" s="127"/>
      <c r="AG286" s="127"/>
      <c r="AH286" s="127"/>
      <c r="AI286" s="129" t="str">
        <f t="shared" si="437"/>
        <v/>
      </c>
      <c r="AJ286" s="130" t="str">
        <f t="shared" si="414"/>
        <v/>
      </c>
      <c r="AK286" s="128" t="str">
        <f t="shared" si="432"/>
        <v/>
      </c>
      <c r="AL286" s="130" t="str">
        <f t="shared" si="416"/>
        <v/>
      </c>
      <c r="AM286" s="128" t="str">
        <f t="shared" si="425"/>
        <v/>
      </c>
      <c r="AN286" s="131" t="str">
        <f t="shared" ref="AN286:AN287" si="438">IFERROR(IF(OR(AND(AJ286="Muy Baja",AL286="Leve"),AND(AJ286="Muy Baja",AL286="Menor"),AND(AJ286="Baja",AL286="Leve")),"Bajo",IF(OR(AND(AJ286="Muy baja",AL286="Moderado"),AND(AJ286="Baja",AL286="Menor"),AND(AJ286="Baja",AL286="Moderado"),AND(AJ286="Media",AL286="Leve"),AND(AJ286="Media",AL286="Menor"),AND(AJ286="Media",AL286="Moderado"),AND(AJ286="Alta",AL286="Leve"),AND(AJ286="Alta",AL286="Menor")),"Moderado",IF(OR(AND(AJ286="Muy Baja",AL286="Mayor"),AND(AJ286="Baja",AL286="Mayor"),AND(AJ286="Media",AL286="Mayor"),AND(AJ286="Alta",AL286="Moderado"),AND(AJ286="Alta",AL286="Mayor"),AND(AJ286="Muy Alta",AL286="Leve"),AND(AJ286="Muy Alta",AL286="Menor"),AND(AJ286="Muy Alta",AL286="Moderado"),AND(AJ286="Muy Alta",AL286="Mayor")),"Alto",IF(OR(AND(AJ286="Muy Baja",AL286="Catastrófico"),AND(AJ286="Baja",AL286="Catastrófico"),AND(AJ286="Media",AL286="Catastrófico"),AND(AJ286="Alta",AL286="Catastrófico"),AND(AJ286="Muy Alta",AL286="Catastrófico")),"Extremo","")))),"")</f>
        <v/>
      </c>
      <c r="AO286" s="132"/>
      <c r="AP286" s="125"/>
      <c r="AQ286" s="133"/>
      <c r="AR286" s="133"/>
      <c r="AS286" s="134"/>
      <c r="AT286" s="400"/>
      <c r="AU286" s="400"/>
      <c r="AV286" s="400"/>
    </row>
    <row r="287" spans="1:48" x14ac:dyDescent="0.2">
      <c r="A287" s="398"/>
      <c r="B287" s="399"/>
      <c r="C287" s="400"/>
      <c r="D287" s="400"/>
      <c r="E287" s="400"/>
      <c r="F287" s="400"/>
      <c r="G287" s="401"/>
      <c r="H287" s="400"/>
      <c r="I287" s="404"/>
      <c r="J287" s="404"/>
      <c r="K287" s="404"/>
      <c r="L287" s="404"/>
      <c r="M287" s="404"/>
      <c r="N287" s="404"/>
      <c r="O287" s="416"/>
      <c r="P287" s="417"/>
      <c r="Q287" s="405"/>
      <c r="R287" s="406"/>
      <c r="S287" s="405">
        <f>IF(NOT(ISERROR(MATCH(R287,_xlfn.ANCHORARRAY(G298),0))),Q300&amp;"Por favor no seleccionar los criterios de impacto",R287)</f>
        <v>0</v>
      </c>
      <c r="T287" s="417"/>
      <c r="U287" s="405"/>
      <c r="V287" s="418"/>
      <c r="W287" s="149">
        <v>6</v>
      </c>
      <c r="X287" s="149"/>
      <c r="Y287" s="149"/>
      <c r="Z287" s="149"/>
      <c r="AA287" s="304" t="str">
        <f t="shared" si="412"/>
        <v xml:space="preserve">  </v>
      </c>
      <c r="AB287" s="126" t="str">
        <f t="shared" si="436"/>
        <v/>
      </c>
      <c r="AC287" s="127"/>
      <c r="AD287" s="127"/>
      <c r="AE287" s="128" t="str">
        <f t="shared" si="431"/>
        <v/>
      </c>
      <c r="AF287" s="127"/>
      <c r="AG287" s="127"/>
      <c r="AH287" s="127"/>
      <c r="AI287" s="129" t="str">
        <f t="shared" si="437"/>
        <v/>
      </c>
      <c r="AJ287" s="130" t="str">
        <f t="shared" si="414"/>
        <v/>
      </c>
      <c r="AK287" s="128" t="str">
        <f t="shared" si="432"/>
        <v/>
      </c>
      <c r="AL287" s="130" t="str">
        <f t="shared" si="416"/>
        <v/>
      </c>
      <c r="AM287" s="128" t="str">
        <f t="shared" si="425"/>
        <v/>
      </c>
      <c r="AN287" s="131" t="str">
        <f t="shared" si="438"/>
        <v/>
      </c>
      <c r="AO287" s="132"/>
      <c r="AP287" s="125"/>
      <c r="AQ287" s="133"/>
      <c r="AR287" s="133"/>
      <c r="AS287" s="134"/>
      <c r="AT287" s="400"/>
      <c r="AU287" s="400"/>
      <c r="AV287" s="400"/>
    </row>
  </sheetData>
  <dataConsolidate/>
  <mergeCells count="1205">
    <mergeCell ref="S282:S287"/>
    <mergeCell ref="T282:T287"/>
    <mergeCell ref="U282:U287"/>
    <mergeCell ref="V282:V287"/>
    <mergeCell ref="AT282:AT287"/>
    <mergeCell ref="AU282:AU287"/>
    <mergeCell ref="AV282:AV287"/>
    <mergeCell ref="J282:J287"/>
    <mergeCell ref="K282:K287"/>
    <mergeCell ref="L282:L287"/>
    <mergeCell ref="M282:M287"/>
    <mergeCell ref="N282:N287"/>
    <mergeCell ref="O282:O287"/>
    <mergeCell ref="P282:P287"/>
    <mergeCell ref="Q282:Q287"/>
    <mergeCell ref="R282:R287"/>
    <mergeCell ref="A282:A287"/>
    <mergeCell ref="B282:B287"/>
    <mergeCell ref="C282:C287"/>
    <mergeCell ref="D282:D287"/>
    <mergeCell ref="E282:E287"/>
    <mergeCell ref="F282:F287"/>
    <mergeCell ref="G282:G287"/>
    <mergeCell ref="H282:H287"/>
    <mergeCell ref="I282:I287"/>
    <mergeCell ref="H264:H269"/>
    <mergeCell ref="I264:I269"/>
    <mergeCell ref="Q276:Q281"/>
    <mergeCell ref="R276:R281"/>
    <mergeCell ref="S276:S281"/>
    <mergeCell ref="T276:T281"/>
    <mergeCell ref="U276:U281"/>
    <mergeCell ref="V276:V281"/>
    <mergeCell ref="AT276:AT281"/>
    <mergeCell ref="AU276:AU281"/>
    <mergeCell ref="AV276:AV281"/>
    <mergeCell ref="R270:R275"/>
    <mergeCell ref="S270:S275"/>
    <mergeCell ref="T270:T275"/>
    <mergeCell ref="U270:U275"/>
    <mergeCell ref="V270:V275"/>
    <mergeCell ref="AT270:AT275"/>
    <mergeCell ref="AU270:AU275"/>
    <mergeCell ref="AV270:AV275"/>
    <mergeCell ref="J264:J269"/>
    <mergeCell ref="K264:K269"/>
    <mergeCell ref="L264:L269"/>
    <mergeCell ref="M264:M269"/>
    <mergeCell ref="N264:N269"/>
    <mergeCell ref="O264:O269"/>
    <mergeCell ref="P264:P269"/>
    <mergeCell ref="Q264:Q269"/>
    <mergeCell ref="R264:R269"/>
    <mergeCell ref="A276:A281"/>
    <mergeCell ref="B276:B281"/>
    <mergeCell ref="C276:C281"/>
    <mergeCell ref="D276:D281"/>
    <mergeCell ref="E276:E281"/>
    <mergeCell ref="F276:F281"/>
    <mergeCell ref="G276:G281"/>
    <mergeCell ref="H276:H281"/>
    <mergeCell ref="I276:I281"/>
    <mergeCell ref="J276:J281"/>
    <mergeCell ref="K276:K281"/>
    <mergeCell ref="L276:L281"/>
    <mergeCell ref="M276:M281"/>
    <mergeCell ref="N276:N281"/>
    <mergeCell ref="O276:O281"/>
    <mergeCell ref="P276:P281"/>
    <mergeCell ref="A264:A269"/>
    <mergeCell ref="B264:B269"/>
    <mergeCell ref="C264:C269"/>
    <mergeCell ref="D264:D269"/>
    <mergeCell ref="E264:E269"/>
    <mergeCell ref="F264:F269"/>
    <mergeCell ref="G264:G269"/>
    <mergeCell ref="A270:A275"/>
    <mergeCell ref="B270:B275"/>
    <mergeCell ref="C270:C275"/>
    <mergeCell ref="D270:D275"/>
    <mergeCell ref="E270:E275"/>
    <mergeCell ref="F270:F275"/>
    <mergeCell ref="G270:G275"/>
    <mergeCell ref="H270:H275"/>
    <mergeCell ref="I270:I275"/>
    <mergeCell ref="J270:J275"/>
    <mergeCell ref="K270:K275"/>
    <mergeCell ref="L270:L275"/>
    <mergeCell ref="M270:M275"/>
    <mergeCell ref="N270:N275"/>
    <mergeCell ref="O270:O275"/>
    <mergeCell ref="P270:P275"/>
    <mergeCell ref="Q270:Q275"/>
    <mergeCell ref="T258:T263"/>
    <mergeCell ref="U258:U263"/>
    <mergeCell ref="V258:V263"/>
    <mergeCell ref="AT258:AT263"/>
    <mergeCell ref="AU258:AU263"/>
    <mergeCell ref="AV258:AV263"/>
    <mergeCell ref="R252:R257"/>
    <mergeCell ref="S252:S257"/>
    <mergeCell ref="T252:T257"/>
    <mergeCell ref="U252:U257"/>
    <mergeCell ref="V252:V257"/>
    <mergeCell ref="AT252:AT257"/>
    <mergeCell ref="AU252:AU257"/>
    <mergeCell ref="AV252:AV257"/>
    <mergeCell ref="T264:T269"/>
    <mergeCell ref="U264:U269"/>
    <mergeCell ref="V264:V269"/>
    <mergeCell ref="AT264:AT269"/>
    <mergeCell ref="AU264:AU269"/>
    <mergeCell ref="AV264:AV269"/>
    <mergeCell ref="S264:S269"/>
    <mergeCell ref="A258:A263"/>
    <mergeCell ref="B258:B263"/>
    <mergeCell ref="C258:C263"/>
    <mergeCell ref="D258:D263"/>
    <mergeCell ref="E258:E263"/>
    <mergeCell ref="F258:F263"/>
    <mergeCell ref="G258:G263"/>
    <mergeCell ref="H258:H263"/>
    <mergeCell ref="I258:I263"/>
    <mergeCell ref="J258:J263"/>
    <mergeCell ref="K258:K263"/>
    <mergeCell ref="L258:L263"/>
    <mergeCell ref="M258:M263"/>
    <mergeCell ref="N258:N263"/>
    <mergeCell ref="O258:O263"/>
    <mergeCell ref="P258:P263"/>
    <mergeCell ref="S246:S251"/>
    <mergeCell ref="Q258:Q263"/>
    <mergeCell ref="R258:R263"/>
    <mergeCell ref="S258:S263"/>
    <mergeCell ref="R246:R251"/>
    <mergeCell ref="T246:T251"/>
    <mergeCell ref="U246:U251"/>
    <mergeCell ref="V246:V251"/>
    <mergeCell ref="AT246:AT251"/>
    <mergeCell ref="AU246:AU251"/>
    <mergeCell ref="AV246:AV251"/>
    <mergeCell ref="A252:A257"/>
    <mergeCell ref="B252:B257"/>
    <mergeCell ref="C252:C257"/>
    <mergeCell ref="D252:D257"/>
    <mergeCell ref="E252:E257"/>
    <mergeCell ref="F252:F257"/>
    <mergeCell ref="G252:G257"/>
    <mergeCell ref="H252:H257"/>
    <mergeCell ref="I252:I257"/>
    <mergeCell ref="J252:J257"/>
    <mergeCell ref="K252:K257"/>
    <mergeCell ref="L252:L257"/>
    <mergeCell ref="M252:M257"/>
    <mergeCell ref="N252:N257"/>
    <mergeCell ref="O252:O257"/>
    <mergeCell ref="P252:P257"/>
    <mergeCell ref="Q252:Q257"/>
    <mergeCell ref="A246:A251"/>
    <mergeCell ref="B246:B251"/>
    <mergeCell ref="C246:C251"/>
    <mergeCell ref="D246:D251"/>
    <mergeCell ref="E246:E251"/>
    <mergeCell ref="F246:F251"/>
    <mergeCell ref="G246:G251"/>
    <mergeCell ref="H246:H251"/>
    <mergeCell ref="I246:I251"/>
    <mergeCell ref="J246:J251"/>
    <mergeCell ref="K246:K251"/>
    <mergeCell ref="L246:L251"/>
    <mergeCell ref="M246:M251"/>
    <mergeCell ref="N246:N251"/>
    <mergeCell ref="O246:O251"/>
    <mergeCell ref="P246:P251"/>
    <mergeCell ref="Q246:Q251"/>
    <mergeCell ref="U234:U239"/>
    <mergeCell ref="V234:V239"/>
    <mergeCell ref="AT234:AT239"/>
    <mergeCell ref="AU234:AU239"/>
    <mergeCell ref="AV234:AV239"/>
    <mergeCell ref="A240:A245"/>
    <mergeCell ref="B240:B245"/>
    <mergeCell ref="C240:C245"/>
    <mergeCell ref="D240:D245"/>
    <mergeCell ref="E240:E245"/>
    <mergeCell ref="F240:F245"/>
    <mergeCell ref="G240:G245"/>
    <mergeCell ref="H240:H245"/>
    <mergeCell ref="I240:I245"/>
    <mergeCell ref="J240:J245"/>
    <mergeCell ref="K240:K245"/>
    <mergeCell ref="L240:L245"/>
    <mergeCell ref="M240:M245"/>
    <mergeCell ref="N240:N245"/>
    <mergeCell ref="O240:O245"/>
    <mergeCell ref="P240:P245"/>
    <mergeCell ref="Q240:Q245"/>
    <mergeCell ref="R240:R245"/>
    <mergeCell ref="S240:S245"/>
    <mergeCell ref="T240:T245"/>
    <mergeCell ref="U240:U245"/>
    <mergeCell ref="V240:V245"/>
    <mergeCell ref="AT240:AT245"/>
    <mergeCell ref="AU240:AU245"/>
    <mergeCell ref="AV240:AV245"/>
    <mergeCell ref="S228:S233"/>
    <mergeCell ref="T228:T233"/>
    <mergeCell ref="U228:U233"/>
    <mergeCell ref="V228:V233"/>
    <mergeCell ref="A234:A239"/>
    <mergeCell ref="B234:B239"/>
    <mergeCell ref="C234:C239"/>
    <mergeCell ref="D234:D239"/>
    <mergeCell ref="E234:E239"/>
    <mergeCell ref="F234:F239"/>
    <mergeCell ref="G234:G239"/>
    <mergeCell ref="H234:H239"/>
    <mergeCell ref="I234:I239"/>
    <mergeCell ref="J234:J239"/>
    <mergeCell ref="K234:K239"/>
    <mergeCell ref="L234:L239"/>
    <mergeCell ref="M234:M239"/>
    <mergeCell ref="N234:N239"/>
    <mergeCell ref="O234:O239"/>
    <mergeCell ref="P234:P239"/>
    <mergeCell ref="Q234:Q239"/>
    <mergeCell ref="R234:R239"/>
    <mergeCell ref="S234:S239"/>
    <mergeCell ref="T234:T239"/>
    <mergeCell ref="J228:J233"/>
    <mergeCell ref="K228:K233"/>
    <mergeCell ref="L228:L233"/>
    <mergeCell ref="M228:M233"/>
    <mergeCell ref="N228:N233"/>
    <mergeCell ref="O228:O233"/>
    <mergeCell ref="P228:P233"/>
    <mergeCell ref="Q228:Q233"/>
    <mergeCell ref="R228:R233"/>
    <mergeCell ref="A228:A233"/>
    <mergeCell ref="B228:B233"/>
    <mergeCell ref="C228:C233"/>
    <mergeCell ref="D228:D233"/>
    <mergeCell ref="E228:E233"/>
    <mergeCell ref="F228:F233"/>
    <mergeCell ref="G228:G233"/>
    <mergeCell ref="H228:H233"/>
    <mergeCell ref="I228:I233"/>
    <mergeCell ref="AU222:AU227"/>
    <mergeCell ref="AV222:AV227"/>
    <mergeCell ref="S222:S227"/>
    <mergeCell ref="T222:T227"/>
    <mergeCell ref="U222:U227"/>
    <mergeCell ref="V222:V227"/>
    <mergeCell ref="AP222:AP223"/>
    <mergeCell ref="AQ222:AQ223"/>
    <mergeCell ref="AR222:AR223"/>
    <mergeCell ref="AS222:AS223"/>
    <mergeCell ref="AT222:AT227"/>
    <mergeCell ref="J222:J227"/>
    <mergeCell ref="K222:K227"/>
    <mergeCell ref="L222:L227"/>
    <mergeCell ref="M222:M227"/>
    <mergeCell ref="N222:N227"/>
    <mergeCell ref="O222:O227"/>
    <mergeCell ref="P222:P227"/>
    <mergeCell ref="Q222:Q227"/>
    <mergeCell ref="R222:R227"/>
    <mergeCell ref="A222:A227"/>
    <mergeCell ref="B222:B227"/>
    <mergeCell ref="C222:C227"/>
    <mergeCell ref="D222:D227"/>
    <mergeCell ref="E222:E227"/>
    <mergeCell ref="F222:F227"/>
    <mergeCell ref="G222:G227"/>
    <mergeCell ref="H222:H227"/>
    <mergeCell ref="I222:I227"/>
    <mergeCell ref="R216:R221"/>
    <mergeCell ref="S216:S221"/>
    <mergeCell ref="T216:T221"/>
    <mergeCell ref="U216:U221"/>
    <mergeCell ref="V216:V221"/>
    <mergeCell ref="AP216:AP217"/>
    <mergeCell ref="AT216:AT221"/>
    <mergeCell ref="AU216:AU221"/>
    <mergeCell ref="AV216:AV221"/>
    <mergeCell ref="AO219:AO220"/>
    <mergeCell ref="AP219:AP220"/>
    <mergeCell ref="AQ219:AQ220"/>
    <mergeCell ref="AU210:AU215"/>
    <mergeCell ref="AV210:AV215"/>
    <mergeCell ref="A216:A221"/>
    <mergeCell ref="B216:B221"/>
    <mergeCell ref="C216:C221"/>
    <mergeCell ref="D216:D221"/>
    <mergeCell ref="E216:E221"/>
    <mergeCell ref="F216:F221"/>
    <mergeCell ref="G216:G221"/>
    <mergeCell ref="H216:H221"/>
    <mergeCell ref="I216:I221"/>
    <mergeCell ref="J216:J221"/>
    <mergeCell ref="K216:K221"/>
    <mergeCell ref="L216:L221"/>
    <mergeCell ref="M216:M221"/>
    <mergeCell ref="N216:N221"/>
    <mergeCell ref="O216:O221"/>
    <mergeCell ref="P216:P221"/>
    <mergeCell ref="Q216:Q221"/>
    <mergeCell ref="J210:J215"/>
    <mergeCell ref="K210:K215"/>
    <mergeCell ref="L210:L215"/>
    <mergeCell ref="M210:M215"/>
    <mergeCell ref="N210:N215"/>
    <mergeCell ref="O210:O215"/>
    <mergeCell ref="P210:P215"/>
    <mergeCell ref="Q210:Q215"/>
    <mergeCell ref="R210:R215"/>
    <mergeCell ref="A210:A215"/>
    <mergeCell ref="B210:B215"/>
    <mergeCell ref="C210:C215"/>
    <mergeCell ref="D210:D215"/>
    <mergeCell ref="E210:E215"/>
    <mergeCell ref="F210:F215"/>
    <mergeCell ref="G210:G215"/>
    <mergeCell ref="H210:H215"/>
    <mergeCell ref="I210:I215"/>
    <mergeCell ref="Q204:Q209"/>
    <mergeCell ref="R204:R209"/>
    <mergeCell ref="S204:S209"/>
    <mergeCell ref="T204:T209"/>
    <mergeCell ref="U204:U209"/>
    <mergeCell ref="V204:V209"/>
    <mergeCell ref="AT204:AT209"/>
    <mergeCell ref="S210:S215"/>
    <mergeCell ref="T210:T215"/>
    <mergeCell ref="U210:U215"/>
    <mergeCell ref="V210:V215"/>
    <mergeCell ref="AT210:AT215"/>
    <mergeCell ref="AU204:AU209"/>
    <mergeCell ref="AV204:AV209"/>
    <mergeCell ref="R198:R203"/>
    <mergeCell ref="S198:S203"/>
    <mergeCell ref="T198:T203"/>
    <mergeCell ref="U198:U203"/>
    <mergeCell ref="V198:V203"/>
    <mergeCell ref="AT198:AT203"/>
    <mergeCell ref="AU198:AU203"/>
    <mergeCell ref="AV198:AV203"/>
    <mergeCell ref="A204:A209"/>
    <mergeCell ref="B204:B209"/>
    <mergeCell ref="C204:C209"/>
    <mergeCell ref="D204:D209"/>
    <mergeCell ref="E204:E209"/>
    <mergeCell ref="F204:F209"/>
    <mergeCell ref="G204:G209"/>
    <mergeCell ref="H204:H209"/>
    <mergeCell ref="I204:I209"/>
    <mergeCell ref="J204:J209"/>
    <mergeCell ref="K204:K209"/>
    <mergeCell ref="L204:L209"/>
    <mergeCell ref="M204:M209"/>
    <mergeCell ref="N204:N209"/>
    <mergeCell ref="O204:O209"/>
    <mergeCell ref="P204:P209"/>
    <mergeCell ref="AU192:AU197"/>
    <mergeCell ref="AV192:AV197"/>
    <mergeCell ref="A198:A203"/>
    <mergeCell ref="B198:B203"/>
    <mergeCell ref="C198:C203"/>
    <mergeCell ref="D198:D203"/>
    <mergeCell ref="E198:E203"/>
    <mergeCell ref="F198:F203"/>
    <mergeCell ref="G198:G203"/>
    <mergeCell ref="H198:H203"/>
    <mergeCell ref="I198:I203"/>
    <mergeCell ref="J198:J203"/>
    <mergeCell ref="K198:K203"/>
    <mergeCell ref="L198:L203"/>
    <mergeCell ref="M198:M203"/>
    <mergeCell ref="N198:N203"/>
    <mergeCell ref="O198:O203"/>
    <mergeCell ref="P198:P203"/>
    <mergeCell ref="Q198:Q203"/>
    <mergeCell ref="J192:J197"/>
    <mergeCell ref="K192:K197"/>
    <mergeCell ref="L192:L197"/>
    <mergeCell ref="M192:M197"/>
    <mergeCell ref="N192:N197"/>
    <mergeCell ref="O192:O197"/>
    <mergeCell ref="P192:P197"/>
    <mergeCell ref="Q192:Q197"/>
    <mergeCell ref="R192:R197"/>
    <mergeCell ref="A192:A197"/>
    <mergeCell ref="B192:B197"/>
    <mergeCell ref="C192:C197"/>
    <mergeCell ref="D192:D197"/>
    <mergeCell ref="E192:E197"/>
    <mergeCell ref="F192:F197"/>
    <mergeCell ref="G192:G197"/>
    <mergeCell ref="H192:H197"/>
    <mergeCell ref="I192:I197"/>
    <mergeCell ref="Q186:Q191"/>
    <mergeCell ref="R186:R191"/>
    <mergeCell ref="S186:S191"/>
    <mergeCell ref="T186:T191"/>
    <mergeCell ref="U186:U191"/>
    <mergeCell ref="V186:V191"/>
    <mergeCell ref="AT186:AT191"/>
    <mergeCell ref="S192:S197"/>
    <mergeCell ref="T192:T197"/>
    <mergeCell ref="U192:U197"/>
    <mergeCell ref="V192:V197"/>
    <mergeCell ref="AT192:AT197"/>
    <mergeCell ref="AU186:AU191"/>
    <mergeCell ref="AV186:AV191"/>
    <mergeCell ref="R180:R185"/>
    <mergeCell ref="S180:S185"/>
    <mergeCell ref="T180:T185"/>
    <mergeCell ref="U180:U185"/>
    <mergeCell ref="V180:V185"/>
    <mergeCell ref="AT180:AT185"/>
    <mergeCell ref="AU180:AU185"/>
    <mergeCell ref="AV180:AV185"/>
    <mergeCell ref="A186:A191"/>
    <mergeCell ref="B186:B191"/>
    <mergeCell ref="C186:C191"/>
    <mergeCell ref="D186:D191"/>
    <mergeCell ref="E186:E191"/>
    <mergeCell ref="F186:F191"/>
    <mergeCell ref="G186:G191"/>
    <mergeCell ref="H186:H191"/>
    <mergeCell ref="I186:I191"/>
    <mergeCell ref="J186:J191"/>
    <mergeCell ref="K186:K191"/>
    <mergeCell ref="L186:L191"/>
    <mergeCell ref="M186:M191"/>
    <mergeCell ref="N186:N191"/>
    <mergeCell ref="O186:O191"/>
    <mergeCell ref="P186:P191"/>
    <mergeCell ref="S174:S179"/>
    <mergeCell ref="T174:T179"/>
    <mergeCell ref="U174:U179"/>
    <mergeCell ref="V174:V179"/>
    <mergeCell ref="AT174:AT179"/>
    <mergeCell ref="AU174:AU179"/>
    <mergeCell ref="AV174:AV179"/>
    <mergeCell ref="A180:A185"/>
    <mergeCell ref="B180:B185"/>
    <mergeCell ref="C180:C185"/>
    <mergeCell ref="D180:D185"/>
    <mergeCell ref="E180:E185"/>
    <mergeCell ref="F180:F185"/>
    <mergeCell ref="G180:G185"/>
    <mergeCell ref="H180:H185"/>
    <mergeCell ref="I180:I185"/>
    <mergeCell ref="J180:J185"/>
    <mergeCell ref="K180:K185"/>
    <mergeCell ref="L180:L185"/>
    <mergeCell ref="M180:M185"/>
    <mergeCell ref="N180:N185"/>
    <mergeCell ref="O180:O185"/>
    <mergeCell ref="P180:P185"/>
    <mergeCell ref="Q180:Q185"/>
    <mergeCell ref="J174:J179"/>
    <mergeCell ref="K174:K179"/>
    <mergeCell ref="L174:L179"/>
    <mergeCell ref="M174:M179"/>
    <mergeCell ref="N174:N179"/>
    <mergeCell ref="O174:O179"/>
    <mergeCell ref="P174:P179"/>
    <mergeCell ref="Q174:Q179"/>
    <mergeCell ref="R174:R179"/>
    <mergeCell ref="A174:A179"/>
    <mergeCell ref="B174:B179"/>
    <mergeCell ref="C174:C179"/>
    <mergeCell ref="D174:D179"/>
    <mergeCell ref="E174:E179"/>
    <mergeCell ref="F174:F179"/>
    <mergeCell ref="G174:G179"/>
    <mergeCell ref="H174:H179"/>
    <mergeCell ref="I174:I179"/>
    <mergeCell ref="B8:B9"/>
    <mergeCell ref="B10:B15"/>
    <mergeCell ref="B16:B21"/>
    <mergeCell ref="B22:B27"/>
    <mergeCell ref="B28:B33"/>
    <mergeCell ref="B34:B39"/>
    <mergeCell ref="B40:B45"/>
    <mergeCell ref="B46:B51"/>
    <mergeCell ref="B52:B57"/>
    <mergeCell ref="F16:F21"/>
    <mergeCell ref="F22:F27"/>
    <mergeCell ref="F28:F33"/>
    <mergeCell ref="F34:F39"/>
    <mergeCell ref="F40:F45"/>
    <mergeCell ref="F46:F51"/>
    <mergeCell ref="D10:D15"/>
    <mergeCell ref="E10:E15"/>
    <mergeCell ref="G10:G15"/>
    <mergeCell ref="M66:M71"/>
    <mergeCell ref="N66:N71"/>
    <mergeCell ref="A40:A45"/>
    <mergeCell ref="C40:C45"/>
    <mergeCell ref="M28:M33"/>
    <mergeCell ref="N28:N33"/>
    <mergeCell ref="I7:L7"/>
    <mergeCell ref="L10:L15"/>
    <mergeCell ref="J16:J21"/>
    <mergeCell ref="K16:K21"/>
    <mergeCell ref="L16:L21"/>
    <mergeCell ref="J22:J27"/>
    <mergeCell ref="H16:H21"/>
    <mergeCell ref="K22:K27"/>
    <mergeCell ref="L22:L27"/>
    <mergeCell ref="H28:H33"/>
    <mergeCell ref="I28:I33"/>
    <mergeCell ref="J28:J33"/>
    <mergeCell ref="K28:K33"/>
    <mergeCell ref="L28:L33"/>
    <mergeCell ref="R28:R33"/>
    <mergeCell ref="M7:N8"/>
    <mergeCell ref="M10:M15"/>
    <mergeCell ref="N10:N15"/>
    <mergeCell ref="K10:K15"/>
    <mergeCell ref="U22:U27"/>
    <mergeCell ref="V22:V27"/>
    <mergeCell ref="U10:U15"/>
    <mergeCell ref="O8:O9"/>
    <mergeCell ref="P8:P9"/>
    <mergeCell ref="V8:V9"/>
    <mergeCell ref="R8:R9"/>
    <mergeCell ref="S8:S9"/>
    <mergeCell ref="AT8:AT9"/>
    <mergeCell ref="AU8:AU9"/>
    <mergeCell ref="AV8:AV9"/>
    <mergeCell ref="AT10:AT15"/>
    <mergeCell ref="AU10:AU15"/>
    <mergeCell ref="V28:V33"/>
    <mergeCell ref="S16:S21"/>
    <mergeCell ref="T16:T21"/>
    <mergeCell ref="U16:U21"/>
    <mergeCell ref="V16:V21"/>
    <mergeCell ref="R16:R21"/>
    <mergeCell ref="R22:R27"/>
    <mergeCell ref="S22:S27"/>
    <mergeCell ref="T22:T27"/>
    <mergeCell ref="S28:S33"/>
    <mergeCell ref="O10:O15"/>
    <mergeCell ref="P10:P15"/>
    <mergeCell ref="O28:O33"/>
    <mergeCell ref="P28:P33"/>
    <mergeCell ref="Q28:Q33"/>
    <mergeCell ref="AT66:AT71"/>
    <mergeCell ref="AU66:AU71"/>
    <mergeCell ref="AV66:AV71"/>
    <mergeCell ref="AT40:AT45"/>
    <mergeCell ref="AU40:AU45"/>
    <mergeCell ref="AT16:AT21"/>
    <mergeCell ref="AU16:AU21"/>
    <mergeCell ref="AV16:AV21"/>
    <mergeCell ref="AV40:AV45"/>
    <mergeCell ref="AT46:AT51"/>
    <mergeCell ref="AU46:AU51"/>
    <mergeCell ref="AV46:AV51"/>
    <mergeCell ref="AT52:AT57"/>
    <mergeCell ref="AU52:AU57"/>
    <mergeCell ref="AV52:AV57"/>
    <mergeCell ref="AT22:AT27"/>
    <mergeCell ref="AU22:AU27"/>
    <mergeCell ref="AV22:AV27"/>
    <mergeCell ref="AT28:AT33"/>
    <mergeCell ref="AU28:AU33"/>
    <mergeCell ref="AV28:AV33"/>
    <mergeCell ref="AU34:AU39"/>
    <mergeCell ref="AV34:AV39"/>
    <mergeCell ref="AT34:AT39"/>
    <mergeCell ref="AT58:AT65"/>
    <mergeCell ref="AU58:AU65"/>
    <mergeCell ref="AV58:AV65"/>
    <mergeCell ref="A28:A33"/>
    <mergeCell ref="C28:C33"/>
    <mergeCell ref="D28:D33"/>
    <mergeCell ref="E28:E33"/>
    <mergeCell ref="G28:G33"/>
    <mergeCell ref="A34:A39"/>
    <mergeCell ref="C34:C39"/>
    <mergeCell ref="D34:D39"/>
    <mergeCell ref="A22:A27"/>
    <mergeCell ref="C22:C27"/>
    <mergeCell ref="D22:D27"/>
    <mergeCell ref="E22:E27"/>
    <mergeCell ref="AV10:AV15"/>
    <mergeCell ref="AO8:AO9"/>
    <mergeCell ref="AR8:AR9"/>
    <mergeCell ref="W8:W9"/>
    <mergeCell ref="AN8:AN9"/>
    <mergeCell ref="AM8:AM9"/>
    <mergeCell ref="AI8:AI9"/>
    <mergeCell ref="AA8:AA9"/>
    <mergeCell ref="AL8:AL9"/>
    <mergeCell ref="AJ8:AJ9"/>
    <mergeCell ref="T28:T33"/>
    <mergeCell ref="A10:A15"/>
    <mergeCell ref="C10:C15"/>
    <mergeCell ref="A8:A9"/>
    <mergeCell ref="G8:G9"/>
    <mergeCell ref="E8:E9"/>
    <mergeCell ref="D8:D9"/>
    <mergeCell ref="U28:U33"/>
    <mergeCell ref="N34:N39"/>
    <mergeCell ref="Q8:Q9"/>
    <mergeCell ref="D40:D45"/>
    <mergeCell ref="E40:E45"/>
    <mergeCell ref="G40:G45"/>
    <mergeCell ref="E34:E39"/>
    <mergeCell ref="G34:G39"/>
    <mergeCell ref="I66:I71"/>
    <mergeCell ref="J66:J71"/>
    <mergeCell ref="K66:K71"/>
    <mergeCell ref="L66:L71"/>
    <mergeCell ref="C52:C57"/>
    <mergeCell ref="D52:D57"/>
    <mergeCell ref="E52:E57"/>
    <mergeCell ref="G52:G57"/>
    <mergeCell ref="A46:A51"/>
    <mergeCell ref="C46:C51"/>
    <mergeCell ref="D46:D51"/>
    <mergeCell ref="E46:E51"/>
    <mergeCell ref="G46:G51"/>
    <mergeCell ref="A52:A57"/>
    <mergeCell ref="F52:F57"/>
    <mergeCell ref="F58:F65"/>
    <mergeCell ref="F66:F71"/>
    <mergeCell ref="B58:B65"/>
    <mergeCell ref="B66:B71"/>
    <mergeCell ref="G58:G65"/>
    <mergeCell ref="C58:C65"/>
    <mergeCell ref="D58:D65"/>
    <mergeCell ref="E58:E65"/>
    <mergeCell ref="H58:H65"/>
    <mergeCell ref="H66:H71"/>
    <mergeCell ref="S52:S57"/>
    <mergeCell ref="T52:T57"/>
    <mergeCell ref="U52:U57"/>
    <mergeCell ref="V52:V57"/>
    <mergeCell ref="U58:U65"/>
    <mergeCell ref="V58:V65"/>
    <mergeCell ref="A66:A71"/>
    <mergeCell ref="C66:C71"/>
    <mergeCell ref="D66:D71"/>
    <mergeCell ref="E66:E71"/>
    <mergeCell ref="G66:G71"/>
    <mergeCell ref="O66:O71"/>
    <mergeCell ref="P66:P71"/>
    <mergeCell ref="Q66:Q71"/>
    <mergeCell ref="R66:R71"/>
    <mergeCell ref="S66:S71"/>
    <mergeCell ref="T66:T71"/>
    <mergeCell ref="U66:U71"/>
    <mergeCell ref="V66:V71"/>
    <mergeCell ref="R58:R65"/>
    <mergeCell ref="S58:S65"/>
    <mergeCell ref="T58:T65"/>
    <mergeCell ref="A58:A65"/>
    <mergeCell ref="M52:M57"/>
    <mergeCell ref="N52:N57"/>
    <mergeCell ref="M58:M65"/>
    <mergeCell ref="N58:N65"/>
    <mergeCell ref="O58:O65"/>
    <mergeCell ref="P58:P65"/>
    <mergeCell ref="Q58:Q65"/>
    <mergeCell ref="Q34:Q39"/>
    <mergeCell ref="R34:R39"/>
    <mergeCell ref="O40:O45"/>
    <mergeCell ref="P40:P45"/>
    <mergeCell ref="Q40:Q45"/>
    <mergeCell ref="H46:H51"/>
    <mergeCell ref="H52:H57"/>
    <mergeCell ref="I52:I57"/>
    <mergeCell ref="J52:J57"/>
    <mergeCell ref="K52:K57"/>
    <mergeCell ref="L52:L57"/>
    <mergeCell ref="K40:K45"/>
    <mergeCell ref="L40:L45"/>
    <mergeCell ref="J58:J65"/>
    <mergeCell ref="K58:K65"/>
    <mergeCell ref="L58:L65"/>
    <mergeCell ref="I58:I65"/>
    <mergeCell ref="O52:O57"/>
    <mergeCell ref="P52:P57"/>
    <mergeCell ref="Q52:Q57"/>
    <mergeCell ref="R52:R57"/>
    <mergeCell ref="O46:O51"/>
    <mergeCell ref="P46:P51"/>
    <mergeCell ref="Q46:Q51"/>
    <mergeCell ref="M40:M45"/>
    <mergeCell ref="N40:N45"/>
    <mergeCell ref="M46:M51"/>
    <mergeCell ref="N46:N51"/>
    <mergeCell ref="V34:V39"/>
    <mergeCell ref="U40:U45"/>
    <mergeCell ref="V40:V45"/>
    <mergeCell ref="R46:R51"/>
    <mergeCell ref="S46:S51"/>
    <mergeCell ref="T46:T51"/>
    <mergeCell ref="H34:H39"/>
    <mergeCell ref="H40:H45"/>
    <mergeCell ref="I34:I39"/>
    <mergeCell ref="R40:R45"/>
    <mergeCell ref="S40:S45"/>
    <mergeCell ref="T40:T45"/>
    <mergeCell ref="O34:O39"/>
    <mergeCell ref="P34:P39"/>
    <mergeCell ref="I46:I51"/>
    <mergeCell ref="J46:J51"/>
    <mergeCell ref="K46:K51"/>
    <mergeCell ref="L46:L51"/>
    <mergeCell ref="M34:M39"/>
    <mergeCell ref="I40:I45"/>
    <mergeCell ref="J34:J39"/>
    <mergeCell ref="K34:K39"/>
    <mergeCell ref="L34:L39"/>
    <mergeCell ref="J40:J45"/>
    <mergeCell ref="U46:U51"/>
    <mergeCell ref="V46:V51"/>
    <mergeCell ref="S34:S39"/>
    <mergeCell ref="T34:T39"/>
    <mergeCell ref="U34:U39"/>
    <mergeCell ref="AB1:AV2"/>
    <mergeCell ref="AB3:AP3"/>
    <mergeCell ref="AB4:AV4"/>
    <mergeCell ref="AQ3:AV3"/>
    <mergeCell ref="V10:V15"/>
    <mergeCell ref="Q10:Q15"/>
    <mergeCell ref="R10:R15"/>
    <mergeCell ref="S10:S15"/>
    <mergeCell ref="T10:T15"/>
    <mergeCell ref="U8:U9"/>
    <mergeCell ref="E1:U2"/>
    <mergeCell ref="E4:U4"/>
    <mergeCell ref="K3:U3"/>
    <mergeCell ref="E3:J3"/>
    <mergeCell ref="AQ8:AQ9"/>
    <mergeCell ref="AK8:AK9"/>
    <mergeCell ref="AB8:AB9"/>
    <mergeCell ref="AC8:AH8"/>
    <mergeCell ref="W7:AI7"/>
    <mergeCell ref="F8:F9"/>
    <mergeCell ref="F10:F15"/>
    <mergeCell ref="H10:H15"/>
    <mergeCell ref="I8:I9"/>
    <mergeCell ref="J8:J9"/>
    <mergeCell ref="K8:K9"/>
    <mergeCell ref="L8:L9"/>
    <mergeCell ref="AT7:AV7"/>
    <mergeCell ref="AJ7:AN7"/>
    <mergeCell ref="AO7:AS7"/>
    <mergeCell ref="T8:T9"/>
    <mergeCell ref="AP8:AP9"/>
    <mergeCell ref="AS8:AS9"/>
    <mergeCell ref="A1:D4"/>
    <mergeCell ref="O22:O27"/>
    <mergeCell ref="P22:P27"/>
    <mergeCell ref="Q22:Q27"/>
    <mergeCell ref="H22:H27"/>
    <mergeCell ref="O16:O21"/>
    <mergeCell ref="P16:P21"/>
    <mergeCell ref="Q16:Q21"/>
    <mergeCell ref="I16:I21"/>
    <mergeCell ref="I22:I27"/>
    <mergeCell ref="M16:M21"/>
    <mergeCell ref="N16:N21"/>
    <mergeCell ref="A16:A21"/>
    <mergeCell ref="C16:C21"/>
    <mergeCell ref="D16:D21"/>
    <mergeCell ref="E16:E21"/>
    <mergeCell ref="I10:I15"/>
    <mergeCell ref="A7:H7"/>
    <mergeCell ref="J10:J15"/>
    <mergeCell ref="H8:H9"/>
    <mergeCell ref="G16:G21"/>
    <mergeCell ref="G22:G27"/>
    <mergeCell ref="C8:C9"/>
    <mergeCell ref="M22:M27"/>
    <mergeCell ref="N22:N27"/>
    <mergeCell ref="O7:V7"/>
    <mergeCell ref="A72:A77"/>
    <mergeCell ref="B72:B77"/>
    <mergeCell ref="C72:C77"/>
    <mergeCell ref="D72:D77"/>
    <mergeCell ref="E72:E77"/>
    <mergeCell ref="F72:F77"/>
    <mergeCell ref="G72:G77"/>
    <mergeCell ref="H72:H77"/>
    <mergeCell ref="I72:I77"/>
    <mergeCell ref="J72:J77"/>
    <mergeCell ref="K72:K77"/>
    <mergeCell ref="L72:L77"/>
    <mergeCell ref="M72:M77"/>
    <mergeCell ref="N72:N77"/>
    <mergeCell ref="O72:O77"/>
    <mergeCell ref="P72:P77"/>
    <mergeCell ref="Q72:Q77"/>
    <mergeCell ref="R72:R77"/>
    <mergeCell ref="S72:S77"/>
    <mergeCell ref="T72:T77"/>
    <mergeCell ref="U72:U77"/>
    <mergeCell ref="V72:V77"/>
    <mergeCell ref="AT72:AT77"/>
    <mergeCell ref="AU72:AU77"/>
    <mergeCell ref="AV72:AV77"/>
    <mergeCell ref="A78:A83"/>
    <mergeCell ref="B78:B83"/>
    <mergeCell ref="C78:C83"/>
    <mergeCell ref="D78:D83"/>
    <mergeCell ref="E78:E83"/>
    <mergeCell ref="F78:F83"/>
    <mergeCell ref="G78:G83"/>
    <mergeCell ref="H78:H83"/>
    <mergeCell ref="I78:I83"/>
    <mergeCell ref="J78:J83"/>
    <mergeCell ref="K78:K83"/>
    <mergeCell ref="L78:L83"/>
    <mergeCell ref="M78:M83"/>
    <mergeCell ref="N78:N83"/>
    <mergeCell ref="O78:O83"/>
    <mergeCell ref="P78:P83"/>
    <mergeCell ref="Q78:Q83"/>
    <mergeCell ref="R78:R83"/>
    <mergeCell ref="S78:S83"/>
    <mergeCell ref="T78:T83"/>
    <mergeCell ref="U78:U83"/>
    <mergeCell ref="V78:V83"/>
    <mergeCell ref="AT78:AT83"/>
    <mergeCell ref="AU78:AU83"/>
    <mergeCell ref="AV78:AV83"/>
    <mergeCell ref="A84:A89"/>
    <mergeCell ref="B84:B89"/>
    <mergeCell ref="C84:C89"/>
    <mergeCell ref="D84:D89"/>
    <mergeCell ref="E84:E89"/>
    <mergeCell ref="F84:F89"/>
    <mergeCell ref="G84:G89"/>
    <mergeCell ref="H84:H89"/>
    <mergeCell ref="I84:I89"/>
    <mergeCell ref="J84:J89"/>
    <mergeCell ref="K84:K89"/>
    <mergeCell ref="L84:L89"/>
    <mergeCell ref="M84:M89"/>
    <mergeCell ref="N84:N89"/>
    <mergeCell ref="O84:O89"/>
    <mergeCell ref="P84:P89"/>
    <mergeCell ref="Q84:Q89"/>
    <mergeCell ref="R84:R89"/>
    <mergeCell ref="S84:S89"/>
    <mergeCell ref="T84:T89"/>
    <mergeCell ref="U84:U89"/>
    <mergeCell ref="V84:V89"/>
    <mergeCell ref="AT84:AT89"/>
    <mergeCell ref="AU84:AU89"/>
    <mergeCell ref="AV84:AV89"/>
    <mergeCell ref="A90:A95"/>
    <mergeCell ref="B90:B95"/>
    <mergeCell ref="C90:C95"/>
    <mergeCell ref="D90:D95"/>
    <mergeCell ref="E90:E95"/>
    <mergeCell ref="F90:F95"/>
    <mergeCell ref="G90:G95"/>
    <mergeCell ref="H90:H95"/>
    <mergeCell ref="I90:I95"/>
    <mergeCell ref="J90:J95"/>
    <mergeCell ref="K90:K95"/>
    <mergeCell ref="L90:L95"/>
    <mergeCell ref="M90:M95"/>
    <mergeCell ref="N90:N95"/>
    <mergeCell ref="O90:O95"/>
    <mergeCell ref="P90:P95"/>
    <mergeCell ref="Q90:Q95"/>
    <mergeCell ref="R90:R95"/>
    <mergeCell ref="S90:S95"/>
    <mergeCell ref="T90:T95"/>
    <mergeCell ref="U90:U95"/>
    <mergeCell ref="V90:V95"/>
    <mergeCell ref="AT90:AT95"/>
    <mergeCell ref="AU90:AU95"/>
    <mergeCell ref="AV90:AV95"/>
    <mergeCell ref="A96:A101"/>
    <mergeCell ref="B96:B101"/>
    <mergeCell ref="C96:C101"/>
    <mergeCell ref="D96:D101"/>
    <mergeCell ref="E96:E101"/>
    <mergeCell ref="F96:F101"/>
    <mergeCell ref="G96:G101"/>
    <mergeCell ref="H96:H101"/>
    <mergeCell ref="I96:I101"/>
    <mergeCell ref="J96:J101"/>
    <mergeCell ref="K96:K101"/>
    <mergeCell ref="L96:L101"/>
    <mergeCell ref="M96:M101"/>
    <mergeCell ref="N96:N101"/>
    <mergeCell ref="O96:O101"/>
    <mergeCell ref="P96:P101"/>
    <mergeCell ref="Q96:Q101"/>
    <mergeCell ref="R96:R101"/>
    <mergeCell ref="S96:S101"/>
    <mergeCell ref="T96:T101"/>
    <mergeCell ref="U96:U101"/>
    <mergeCell ref="V96:V101"/>
    <mergeCell ref="AT96:AT101"/>
    <mergeCell ref="AU96:AU101"/>
    <mergeCell ref="AV96:AV101"/>
    <mergeCell ref="A102:A107"/>
    <mergeCell ref="B102:B107"/>
    <mergeCell ref="C102:C107"/>
    <mergeCell ref="D102:D107"/>
    <mergeCell ref="E102:E107"/>
    <mergeCell ref="F102:F107"/>
    <mergeCell ref="G102:G107"/>
    <mergeCell ref="H102:H107"/>
    <mergeCell ref="I102:I107"/>
    <mergeCell ref="J102:J107"/>
    <mergeCell ref="K102:K107"/>
    <mergeCell ref="L102:L107"/>
    <mergeCell ref="M102:M107"/>
    <mergeCell ref="N102:N107"/>
    <mergeCell ref="O102:O107"/>
    <mergeCell ref="P102:P107"/>
    <mergeCell ref="Q102:Q107"/>
    <mergeCell ref="R102:R107"/>
    <mergeCell ref="S102:S107"/>
    <mergeCell ref="T102:T107"/>
    <mergeCell ref="U102:U107"/>
    <mergeCell ref="V102:V107"/>
    <mergeCell ref="AT102:AT107"/>
    <mergeCell ref="AU102:AU107"/>
    <mergeCell ref="AV102:AV107"/>
    <mergeCell ref="A108:A113"/>
    <mergeCell ref="B108:B113"/>
    <mergeCell ref="C108:C113"/>
    <mergeCell ref="D108:D113"/>
    <mergeCell ref="E108:E113"/>
    <mergeCell ref="F108:F113"/>
    <mergeCell ref="G108:G113"/>
    <mergeCell ref="H108:H113"/>
    <mergeCell ref="I108:I113"/>
    <mergeCell ref="U108:U113"/>
    <mergeCell ref="V108:V113"/>
    <mergeCell ref="AT108:AT113"/>
    <mergeCell ref="AU108:AU113"/>
    <mergeCell ref="AV108:AV113"/>
    <mergeCell ref="A114:A119"/>
    <mergeCell ref="B114:B119"/>
    <mergeCell ref="C114:C119"/>
    <mergeCell ref="D114:D119"/>
    <mergeCell ref="E114:E119"/>
    <mergeCell ref="F114:F119"/>
    <mergeCell ref="G114:G119"/>
    <mergeCell ref="H114:H119"/>
    <mergeCell ref="I114:I119"/>
    <mergeCell ref="J114:J119"/>
    <mergeCell ref="K114:K119"/>
    <mergeCell ref="L114:L119"/>
    <mergeCell ref="M114:M119"/>
    <mergeCell ref="N114:N119"/>
    <mergeCell ref="O114:O119"/>
    <mergeCell ref="P114:P119"/>
    <mergeCell ref="Q114:Q119"/>
    <mergeCell ref="J108:J113"/>
    <mergeCell ref="R114:R119"/>
    <mergeCell ref="S114:S119"/>
    <mergeCell ref="T114:T119"/>
    <mergeCell ref="U114:U119"/>
    <mergeCell ref="V114:V119"/>
    <mergeCell ref="AT114:AT119"/>
    <mergeCell ref="AU114:AU119"/>
    <mergeCell ref="AV114:AV119"/>
    <mergeCell ref="K108:K113"/>
    <mergeCell ref="J120:J125"/>
    <mergeCell ref="K120:K125"/>
    <mergeCell ref="L120:L125"/>
    <mergeCell ref="M120:M125"/>
    <mergeCell ref="N120:N125"/>
    <mergeCell ref="O120:O125"/>
    <mergeCell ref="P120:P125"/>
    <mergeCell ref="S108:S113"/>
    <mergeCell ref="T108:T113"/>
    <mergeCell ref="L108:L113"/>
    <mergeCell ref="M108:M113"/>
    <mergeCell ref="N108:N113"/>
    <mergeCell ref="O108:O113"/>
    <mergeCell ref="P108:P113"/>
    <mergeCell ref="Q108:Q113"/>
    <mergeCell ref="R108:R113"/>
    <mergeCell ref="Q126:Q131"/>
    <mergeCell ref="Q120:Q125"/>
    <mergeCell ref="R120:R125"/>
    <mergeCell ref="S120:S125"/>
    <mergeCell ref="T120:T125"/>
    <mergeCell ref="U120:U125"/>
    <mergeCell ref="V120:V125"/>
    <mergeCell ref="R126:R131"/>
    <mergeCell ref="S126:S131"/>
    <mergeCell ref="T126:T131"/>
    <mergeCell ref="U126:U131"/>
    <mergeCell ref="V126:V131"/>
    <mergeCell ref="AT126:AT131"/>
    <mergeCell ref="AU126:AU131"/>
    <mergeCell ref="AV126:AV131"/>
    <mergeCell ref="A120:A125"/>
    <mergeCell ref="B120:B125"/>
    <mergeCell ref="C120:C125"/>
    <mergeCell ref="D120:D125"/>
    <mergeCell ref="E120:E125"/>
    <mergeCell ref="F120:F125"/>
    <mergeCell ref="G120:G125"/>
    <mergeCell ref="H120:H125"/>
    <mergeCell ref="I120:I125"/>
    <mergeCell ref="AT120:AT125"/>
    <mergeCell ref="AU120:AU125"/>
    <mergeCell ref="AV120:AV125"/>
    <mergeCell ref="C132:C137"/>
    <mergeCell ref="D132:D137"/>
    <mergeCell ref="E132:E137"/>
    <mergeCell ref="F132:F137"/>
    <mergeCell ref="G132:G137"/>
    <mergeCell ref="H132:H137"/>
    <mergeCell ref="I132:I137"/>
    <mergeCell ref="J132:J137"/>
    <mergeCell ref="K132:K137"/>
    <mergeCell ref="L132:L137"/>
    <mergeCell ref="M132:M137"/>
    <mergeCell ref="N132:N137"/>
    <mergeCell ref="O132:O137"/>
    <mergeCell ref="P132:P137"/>
    <mergeCell ref="Q132:Q137"/>
    <mergeCell ref="AW66:AW71"/>
    <mergeCell ref="A126:A131"/>
    <mergeCell ref="B126:B131"/>
    <mergeCell ref="C126:C131"/>
    <mergeCell ref="D126:D131"/>
    <mergeCell ref="E126:E131"/>
    <mergeCell ref="F126:F131"/>
    <mergeCell ref="G126:G131"/>
    <mergeCell ref="H126:H131"/>
    <mergeCell ref="I126:I131"/>
    <mergeCell ref="J126:J131"/>
    <mergeCell ref="K126:K131"/>
    <mergeCell ref="L126:L131"/>
    <mergeCell ref="M126:M131"/>
    <mergeCell ref="N126:N131"/>
    <mergeCell ref="O126:O131"/>
    <mergeCell ref="P126:P131"/>
    <mergeCell ref="R132:R137"/>
    <mergeCell ref="S132:S137"/>
    <mergeCell ref="T132:T137"/>
    <mergeCell ref="U132:U137"/>
    <mergeCell ref="V132:V137"/>
    <mergeCell ref="AT132:AT137"/>
    <mergeCell ref="AU132:AU137"/>
    <mergeCell ref="AV132:AV137"/>
    <mergeCell ref="A138:A143"/>
    <mergeCell ref="B138:B143"/>
    <mergeCell ref="C138:C143"/>
    <mergeCell ref="D138:D143"/>
    <mergeCell ref="E138:E143"/>
    <mergeCell ref="F138:F143"/>
    <mergeCell ref="G138:G143"/>
    <mergeCell ref="H138:H143"/>
    <mergeCell ref="I138:I143"/>
    <mergeCell ref="U138:U143"/>
    <mergeCell ref="V138:V143"/>
    <mergeCell ref="J138:J143"/>
    <mergeCell ref="K138:K143"/>
    <mergeCell ref="L138:L143"/>
    <mergeCell ref="M138:M143"/>
    <mergeCell ref="N138:N143"/>
    <mergeCell ref="S138:S143"/>
    <mergeCell ref="T138:T143"/>
    <mergeCell ref="O138:O143"/>
    <mergeCell ref="P138:P143"/>
    <mergeCell ref="Q138:Q143"/>
    <mergeCell ref="R138:R143"/>
    <mergeCell ref="A132:A137"/>
    <mergeCell ref="B132:B137"/>
    <mergeCell ref="O150:O155"/>
    <mergeCell ref="P150:P155"/>
    <mergeCell ref="U150:U155"/>
    <mergeCell ref="V150:V155"/>
    <mergeCell ref="R144:R149"/>
    <mergeCell ref="S144:S149"/>
    <mergeCell ref="T144:T149"/>
    <mergeCell ref="U144:U149"/>
    <mergeCell ref="V144:V149"/>
    <mergeCell ref="A144:A149"/>
    <mergeCell ref="B144:B149"/>
    <mergeCell ref="C144:C149"/>
    <mergeCell ref="D144:D149"/>
    <mergeCell ref="E144:E149"/>
    <mergeCell ref="F144:F149"/>
    <mergeCell ref="G144:G149"/>
    <mergeCell ref="H144:H149"/>
    <mergeCell ref="I144:I149"/>
    <mergeCell ref="J144:J149"/>
    <mergeCell ref="K144:K149"/>
    <mergeCell ref="L144:L149"/>
    <mergeCell ref="M144:M149"/>
    <mergeCell ref="N144:N149"/>
    <mergeCell ref="O144:O149"/>
    <mergeCell ref="P144:P149"/>
    <mergeCell ref="Q144:Q149"/>
    <mergeCell ref="A156:A161"/>
    <mergeCell ref="B156:B161"/>
    <mergeCell ref="C156:C161"/>
    <mergeCell ref="D156:D161"/>
    <mergeCell ref="E156:E161"/>
    <mergeCell ref="F156:F161"/>
    <mergeCell ref="G156:G161"/>
    <mergeCell ref="H156:H161"/>
    <mergeCell ref="I156:I161"/>
    <mergeCell ref="V156:V161"/>
    <mergeCell ref="A150:A155"/>
    <mergeCell ref="B150:B155"/>
    <mergeCell ref="C150:C155"/>
    <mergeCell ref="D150:D155"/>
    <mergeCell ref="E150:E155"/>
    <mergeCell ref="F150:F155"/>
    <mergeCell ref="G150:G155"/>
    <mergeCell ref="N156:N161"/>
    <mergeCell ref="O156:O161"/>
    <mergeCell ref="T156:T161"/>
    <mergeCell ref="U156:U161"/>
    <mergeCell ref="Q150:Q155"/>
    <mergeCell ref="R150:R155"/>
    <mergeCell ref="S150:S155"/>
    <mergeCell ref="T150:T155"/>
    <mergeCell ref="H150:H155"/>
    <mergeCell ref="I150:I155"/>
    <mergeCell ref="J150:J155"/>
    <mergeCell ref="K150:K155"/>
    <mergeCell ref="L150:L155"/>
    <mergeCell ref="M150:M155"/>
    <mergeCell ref="N150:N155"/>
    <mergeCell ref="A162:A167"/>
    <mergeCell ref="B162:B167"/>
    <mergeCell ref="C162:C167"/>
    <mergeCell ref="D162:D167"/>
    <mergeCell ref="E162:E167"/>
    <mergeCell ref="F162:F167"/>
    <mergeCell ref="G162:G167"/>
    <mergeCell ref="H162:H167"/>
    <mergeCell ref="I162:I167"/>
    <mergeCell ref="J168:J173"/>
    <mergeCell ref="K168:K173"/>
    <mergeCell ref="L168:L173"/>
    <mergeCell ref="M168:M173"/>
    <mergeCell ref="N168:N173"/>
    <mergeCell ref="O168:O173"/>
    <mergeCell ref="P168:P173"/>
    <mergeCell ref="S156:S161"/>
    <mergeCell ref="P156:P161"/>
    <mergeCell ref="Q156:Q161"/>
    <mergeCell ref="R156:R161"/>
    <mergeCell ref="J162:J167"/>
    <mergeCell ref="K162:K167"/>
    <mergeCell ref="L162:L167"/>
    <mergeCell ref="M162:M167"/>
    <mergeCell ref="N162:N167"/>
    <mergeCell ref="O162:O167"/>
    <mergeCell ref="P162:P167"/>
    <mergeCell ref="Q162:Q167"/>
    <mergeCell ref="J156:J161"/>
    <mergeCell ref="K156:K161"/>
    <mergeCell ref="L156:L161"/>
    <mergeCell ref="M156:M161"/>
    <mergeCell ref="A168:A173"/>
    <mergeCell ref="B168:B173"/>
    <mergeCell ref="C168:C173"/>
    <mergeCell ref="D168:D173"/>
    <mergeCell ref="E168:E173"/>
    <mergeCell ref="F168:F173"/>
    <mergeCell ref="G168:G173"/>
    <mergeCell ref="H168:H173"/>
    <mergeCell ref="I168:I173"/>
    <mergeCell ref="AT138:AT139"/>
    <mergeCell ref="AU138:AU139"/>
    <mergeCell ref="AV138:AV139"/>
    <mergeCell ref="AT144:AT145"/>
    <mergeCell ref="AU144:AU145"/>
    <mergeCell ref="AV144:AV145"/>
    <mergeCell ref="Q168:Q173"/>
    <mergeCell ref="R168:R173"/>
    <mergeCell ref="S168:S173"/>
    <mergeCell ref="T168:T173"/>
    <mergeCell ref="U168:U173"/>
    <mergeCell ref="V168:V173"/>
    <mergeCell ref="AT168:AT173"/>
    <mergeCell ref="AU168:AU173"/>
    <mergeCell ref="AV168:AV173"/>
    <mergeCell ref="R162:R167"/>
    <mergeCell ref="S162:S167"/>
    <mergeCell ref="T162:T167"/>
    <mergeCell ref="U162:U167"/>
    <mergeCell ref="V162:V167"/>
    <mergeCell ref="AT162:AT167"/>
    <mergeCell ref="AU162:AU167"/>
    <mergeCell ref="AV162:AV167"/>
  </mergeCells>
  <conditionalFormatting sqref="P10 P16">
    <cfRule type="cellIs" dxfId="874" priority="811" operator="equal">
      <formula>"Baja"</formula>
    </cfRule>
    <cfRule type="cellIs" dxfId="873" priority="812" operator="equal">
      <formula>"Muy Baja"</formula>
    </cfRule>
    <cfRule type="cellIs" dxfId="872" priority="810" operator="equal">
      <formula>"Media"</formula>
    </cfRule>
    <cfRule type="cellIs" dxfId="871" priority="808" operator="equal">
      <formula>"Muy Alta"</formula>
    </cfRule>
    <cfRule type="cellIs" dxfId="870" priority="809" operator="equal">
      <formula>"Alta"</formula>
    </cfRule>
  </conditionalFormatting>
  <conditionalFormatting sqref="P22">
    <cfRule type="cellIs" dxfId="869" priority="711" operator="equal">
      <formula>"Alta"</formula>
    </cfRule>
    <cfRule type="cellIs" dxfId="868" priority="710" operator="equal">
      <formula>"Muy Alta"</formula>
    </cfRule>
    <cfRule type="cellIs" dxfId="867" priority="712" operator="equal">
      <formula>"Media"</formula>
    </cfRule>
    <cfRule type="cellIs" dxfId="866" priority="713" operator="equal">
      <formula>"Baja"</formula>
    </cfRule>
    <cfRule type="cellIs" dxfId="865" priority="714" operator="equal">
      <formula>"Muy Baja"</formula>
    </cfRule>
  </conditionalFormatting>
  <conditionalFormatting sqref="P28">
    <cfRule type="cellIs" dxfId="864" priority="682" operator="equal">
      <formula>"Muy Alta"</formula>
    </cfRule>
    <cfRule type="cellIs" dxfId="863" priority="683" operator="equal">
      <formula>"Alta"</formula>
    </cfRule>
    <cfRule type="cellIs" dxfId="862" priority="684" operator="equal">
      <formula>"Media"</formula>
    </cfRule>
    <cfRule type="cellIs" dxfId="861" priority="685" operator="equal">
      <formula>"Baja"</formula>
    </cfRule>
    <cfRule type="cellIs" dxfId="860" priority="686" operator="equal">
      <formula>"Muy Baja"</formula>
    </cfRule>
  </conditionalFormatting>
  <conditionalFormatting sqref="P34">
    <cfRule type="cellIs" dxfId="859" priority="657" operator="equal">
      <formula>"Baja"</formula>
    </cfRule>
    <cfRule type="cellIs" dxfId="858" priority="658" operator="equal">
      <formula>"Muy Baja"</formula>
    </cfRule>
    <cfRule type="cellIs" dxfId="857" priority="654" operator="equal">
      <formula>"Muy Alta"</formula>
    </cfRule>
    <cfRule type="cellIs" dxfId="856" priority="656" operator="equal">
      <formula>"Media"</formula>
    </cfRule>
    <cfRule type="cellIs" dxfId="855" priority="655" operator="equal">
      <formula>"Alta"</formula>
    </cfRule>
  </conditionalFormatting>
  <conditionalFormatting sqref="P40">
    <cfRule type="cellIs" dxfId="854" priority="630" operator="equal">
      <formula>"Muy Baja"</formula>
    </cfRule>
    <cfRule type="cellIs" dxfId="853" priority="626" operator="equal">
      <formula>"Muy Alta"</formula>
    </cfRule>
    <cfRule type="cellIs" dxfId="852" priority="627" operator="equal">
      <formula>"Alta"</formula>
    </cfRule>
    <cfRule type="cellIs" dxfId="851" priority="628" operator="equal">
      <formula>"Media"</formula>
    </cfRule>
    <cfRule type="cellIs" dxfId="850" priority="629" operator="equal">
      <formula>"Baja"</formula>
    </cfRule>
  </conditionalFormatting>
  <conditionalFormatting sqref="P46">
    <cfRule type="cellIs" dxfId="849" priority="600" operator="equal">
      <formula>"Media"</formula>
    </cfRule>
    <cfRule type="cellIs" dxfId="848" priority="599" operator="equal">
      <formula>"Alta"</formula>
    </cfRule>
    <cfRule type="cellIs" dxfId="847" priority="598" operator="equal">
      <formula>"Muy Alta"</formula>
    </cfRule>
    <cfRule type="cellIs" dxfId="846" priority="601" operator="equal">
      <formula>"Baja"</formula>
    </cfRule>
    <cfRule type="cellIs" dxfId="845" priority="602" operator="equal">
      <formula>"Muy Baja"</formula>
    </cfRule>
  </conditionalFormatting>
  <conditionalFormatting sqref="P52">
    <cfRule type="cellIs" dxfId="844" priority="486" operator="equal">
      <formula>"Alta"</formula>
    </cfRule>
    <cfRule type="cellIs" dxfId="843" priority="487" operator="equal">
      <formula>"Media"</formula>
    </cfRule>
    <cfRule type="cellIs" dxfId="842" priority="488" operator="equal">
      <formula>"Baja"</formula>
    </cfRule>
    <cfRule type="cellIs" dxfId="841" priority="489" operator="equal">
      <formula>"Muy Baja"</formula>
    </cfRule>
    <cfRule type="cellIs" dxfId="840" priority="485" operator="equal">
      <formula>"Muy Alta"</formula>
    </cfRule>
  </conditionalFormatting>
  <conditionalFormatting sqref="P58">
    <cfRule type="cellIs" dxfId="839" priority="544" operator="equal">
      <formula>"Media"</formula>
    </cfRule>
    <cfRule type="cellIs" dxfId="838" priority="542" operator="equal">
      <formula>"Muy Alta"</formula>
    </cfRule>
    <cfRule type="cellIs" dxfId="837" priority="546" operator="equal">
      <formula>"Muy Baja"</formula>
    </cfRule>
    <cfRule type="cellIs" dxfId="836" priority="545" operator="equal">
      <formula>"Baja"</formula>
    </cfRule>
    <cfRule type="cellIs" dxfId="835" priority="543" operator="equal">
      <formula>"Alta"</formula>
    </cfRule>
  </conditionalFormatting>
  <conditionalFormatting sqref="P66">
    <cfRule type="cellIs" dxfId="834" priority="516" operator="equal">
      <formula>"Media"</formula>
    </cfRule>
    <cfRule type="cellIs" dxfId="833" priority="514" operator="equal">
      <formula>"Muy Alta"</formula>
    </cfRule>
    <cfRule type="cellIs" dxfId="832" priority="517" operator="equal">
      <formula>"Baja"</formula>
    </cfRule>
    <cfRule type="cellIs" dxfId="831" priority="515" operator="equal">
      <formula>"Alta"</formula>
    </cfRule>
    <cfRule type="cellIs" dxfId="830" priority="518" operator="equal">
      <formula>"Muy Baja"</formula>
    </cfRule>
  </conditionalFormatting>
  <conditionalFormatting sqref="P72 P78">
    <cfRule type="cellIs" dxfId="829" priority="461" operator="equal">
      <formula>"Muy Alta"</formula>
    </cfRule>
    <cfRule type="cellIs" dxfId="828" priority="462" operator="equal">
      <formula>"Alta"</formula>
    </cfRule>
    <cfRule type="cellIs" dxfId="827" priority="463" operator="equal">
      <formula>"Media"</formula>
    </cfRule>
    <cfRule type="cellIs" dxfId="826" priority="464" operator="equal">
      <formula>"Baja"</formula>
    </cfRule>
    <cfRule type="cellIs" dxfId="825" priority="465" operator="equal">
      <formula>"Muy Baja"</formula>
    </cfRule>
  </conditionalFormatting>
  <conditionalFormatting sqref="P84">
    <cfRule type="cellIs" dxfId="824" priority="445" operator="equal">
      <formula>"Media"</formula>
    </cfRule>
    <cfRule type="cellIs" dxfId="823" priority="447" operator="equal">
      <formula>"Muy Baja"</formula>
    </cfRule>
    <cfRule type="cellIs" dxfId="822" priority="446" operator="equal">
      <formula>"Baja"</formula>
    </cfRule>
    <cfRule type="cellIs" dxfId="821" priority="444" operator="equal">
      <formula>"Alta"</formula>
    </cfRule>
    <cfRule type="cellIs" dxfId="820" priority="443" operator="equal">
      <formula>"Muy Alta"</formula>
    </cfRule>
  </conditionalFormatting>
  <conditionalFormatting sqref="P90">
    <cfRule type="cellIs" dxfId="819" priority="438" operator="equal">
      <formula>"Muy Baja"</formula>
    </cfRule>
    <cfRule type="cellIs" dxfId="818" priority="437" operator="equal">
      <formula>"Baja"</formula>
    </cfRule>
    <cfRule type="cellIs" dxfId="817" priority="436" operator="equal">
      <formula>"Media"</formula>
    </cfRule>
    <cfRule type="cellIs" dxfId="816" priority="435" operator="equal">
      <formula>"Alta"</formula>
    </cfRule>
    <cfRule type="cellIs" dxfId="815" priority="434" operator="equal">
      <formula>"Muy Alta"</formula>
    </cfRule>
  </conditionalFormatting>
  <conditionalFormatting sqref="P96">
    <cfRule type="cellIs" dxfId="814" priority="425" operator="equal">
      <formula>"Muy Alta"</formula>
    </cfRule>
    <cfRule type="cellIs" dxfId="813" priority="426" operator="equal">
      <formula>"Alta"</formula>
    </cfRule>
    <cfRule type="cellIs" dxfId="812" priority="427" operator="equal">
      <formula>"Media"</formula>
    </cfRule>
    <cfRule type="cellIs" dxfId="811" priority="428" operator="equal">
      <formula>"Baja"</formula>
    </cfRule>
    <cfRule type="cellIs" dxfId="810" priority="429" operator="equal">
      <formula>"Muy Baja"</formula>
    </cfRule>
  </conditionalFormatting>
  <conditionalFormatting sqref="P102">
    <cfRule type="cellIs" dxfId="809" priority="418" operator="equal">
      <formula>"Media"</formula>
    </cfRule>
    <cfRule type="cellIs" dxfId="808" priority="417" operator="equal">
      <formula>"Alta"</formula>
    </cfRule>
    <cfRule type="cellIs" dxfId="807" priority="416" operator="equal">
      <formula>"Muy Alta"</formula>
    </cfRule>
    <cfRule type="cellIs" dxfId="806" priority="420" operator="equal">
      <formula>"Muy Baja"</formula>
    </cfRule>
    <cfRule type="cellIs" dxfId="805" priority="419" operator="equal">
      <formula>"Baja"</formula>
    </cfRule>
  </conditionalFormatting>
  <conditionalFormatting sqref="P108">
    <cfRule type="cellIs" dxfId="804" priority="411" operator="equal">
      <formula>"Muy Baja"</formula>
    </cfRule>
    <cfRule type="cellIs" dxfId="803" priority="408" operator="equal">
      <formula>"Alta"</formula>
    </cfRule>
    <cfRule type="cellIs" dxfId="802" priority="409" operator="equal">
      <formula>"Media"</formula>
    </cfRule>
    <cfRule type="cellIs" dxfId="801" priority="410" operator="equal">
      <formula>"Baja"</formula>
    </cfRule>
    <cfRule type="cellIs" dxfId="800" priority="407" operator="equal">
      <formula>"Muy Alta"</formula>
    </cfRule>
  </conditionalFormatting>
  <conditionalFormatting sqref="P114">
    <cfRule type="cellIs" dxfId="799" priority="385" operator="equal">
      <formula>"Media"</formula>
    </cfRule>
    <cfRule type="cellIs" dxfId="798" priority="387" operator="equal">
      <formula>"Muy Baja"</formula>
    </cfRule>
    <cfRule type="cellIs" dxfId="797" priority="384" operator="equal">
      <formula>"Alta"</formula>
    </cfRule>
    <cfRule type="cellIs" dxfId="796" priority="383" operator="equal">
      <formula>"Muy Alta"</formula>
    </cfRule>
    <cfRule type="cellIs" dxfId="795" priority="386" operator="equal">
      <formula>"Baja"</formula>
    </cfRule>
  </conditionalFormatting>
  <conditionalFormatting sqref="P120">
    <cfRule type="cellIs" dxfId="794" priority="395" operator="equal">
      <formula>"Alta"</formula>
    </cfRule>
    <cfRule type="cellIs" dxfId="793" priority="397" operator="equal">
      <formula>"Baja"</formula>
    </cfRule>
    <cfRule type="cellIs" dxfId="792" priority="398" operator="equal">
      <formula>"Muy Baja"</formula>
    </cfRule>
    <cfRule type="cellIs" dxfId="791" priority="394" operator="equal">
      <formula>"Muy Alta"</formula>
    </cfRule>
    <cfRule type="cellIs" dxfId="790" priority="396" operator="equal">
      <formula>"Media"</formula>
    </cfRule>
  </conditionalFormatting>
  <conditionalFormatting sqref="P126">
    <cfRule type="cellIs" dxfId="789" priority="362" operator="equal">
      <formula>"Alta"</formula>
    </cfRule>
    <cfRule type="cellIs" dxfId="788" priority="363" operator="equal">
      <formula>"Media"</formula>
    </cfRule>
    <cfRule type="cellIs" dxfId="787" priority="364" operator="equal">
      <formula>"Baja"</formula>
    </cfRule>
    <cfRule type="cellIs" dxfId="786" priority="365" operator="equal">
      <formula>"Muy Baja"</formula>
    </cfRule>
    <cfRule type="cellIs" dxfId="785" priority="361" operator="equal">
      <formula>"Muy Alta"</formula>
    </cfRule>
  </conditionalFormatting>
  <conditionalFormatting sqref="P132">
    <cfRule type="cellIs" dxfId="784" priority="378" operator="equal">
      <formula>"Baja"</formula>
    </cfRule>
    <cfRule type="cellIs" dxfId="783" priority="379" operator="equal">
      <formula>"Muy Baja"</formula>
    </cfRule>
    <cfRule type="cellIs" dxfId="782" priority="375" operator="equal">
      <formula>"Muy Alta"</formula>
    </cfRule>
    <cfRule type="cellIs" dxfId="781" priority="376" operator="equal">
      <formula>"Alta"</formula>
    </cfRule>
    <cfRule type="cellIs" dxfId="780" priority="377" operator="equal">
      <formula>"Media"</formula>
    </cfRule>
  </conditionalFormatting>
  <conditionalFormatting sqref="P138 P144">
    <cfRule type="cellIs" dxfId="779" priority="313" operator="equal">
      <formula>"Muy Alta"</formula>
    </cfRule>
    <cfRule type="cellIs" dxfId="778" priority="314" operator="equal">
      <formula>"Alta"</formula>
    </cfRule>
    <cfRule type="cellIs" dxfId="777" priority="315" operator="equal">
      <formula>"Media"</formula>
    </cfRule>
    <cfRule type="cellIs" dxfId="776" priority="316" operator="equal">
      <formula>"Baja"</formula>
    </cfRule>
    <cfRule type="cellIs" dxfId="775" priority="317" operator="equal">
      <formula>"Muy Baja"</formula>
    </cfRule>
  </conditionalFormatting>
  <conditionalFormatting sqref="P150">
    <cfRule type="cellIs" dxfId="774" priority="296" operator="equal">
      <formula>"Alta"</formula>
    </cfRule>
    <cfRule type="cellIs" dxfId="773" priority="295" operator="equal">
      <formula>"Muy Alta"</formula>
    </cfRule>
    <cfRule type="cellIs" dxfId="772" priority="298" operator="equal">
      <formula>"Baja"</formula>
    </cfRule>
    <cfRule type="cellIs" dxfId="771" priority="297" operator="equal">
      <formula>"Media"</formula>
    </cfRule>
    <cfRule type="cellIs" dxfId="770" priority="299" operator="equal">
      <formula>"Muy Baja"</formula>
    </cfRule>
  </conditionalFormatting>
  <conditionalFormatting sqref="P156">
    <cfRule type="cellIs" dxfId="769" priority="286" operator="equal">
      <formula>"Muy Alta"</formula>
    </cfRule>
    <cfRule type="cellIs" dxfId="768" priority="287" operator="equal">
      <formula>"Alta"</formula>
    </cfRule>
    <cfRule type="cellIs" dxfId="767" priority="288" operator="equal">
      <formula>"Media"</formula>
    </cfRule>
    <cfRule type="cellIs" dxfId="766" priority="290" operator="equal">
      <formula>"Muy Baja"</formula>
    </cfRule>
    <cfRule type="cellIs" dxfId="765" priority="289" operator="equal">
      <formula>"Baja"</formula>
    </cfRule>
  </conditionalFormatting>
  <conditionalFormatting sqref="P162 P168">
    <cfRule type="cellIs" dxfId="764" priority="330" operator="equal">
      <formula>"Baja"</formula>
    </cfRule>
    <cfRule type="cellIs" dxfId="763" priority="329" operator="equal">
      <formula>"Media"</formula>
    </cfRule>
    <cfRule type="cellIs" dxfId="762" priority="328" operator="equal">
      <formula>"Alta"</formula>
    </cfRule>
    <cfRule type="cellIs" dxfId="761" priority="331" operator="equal">
      <formula>"Muy Baja"</formula>
    </cfRule>
    <cfRule type="cellIs" dxfId="760" priority="327" operator="equal">
      <formula>"Muy Alta"</formula>
    </cfRule>
  </conditionalFormatting>
  <conditionalFormatting sqref="P174">
    <cfRule type="cellIs" dxfId="759" priority="248" operator="equal">
      <formula>"Muy Alta"</formula>
    </cfRule>
    <cfRule type="cellIs" dxfId="758" priority="249" operator="equal">
      <formula>"Alta"</formula>
    </cfRule>
    <cfRule type="cellIs" dxfId="757" priority="250" operator="equal">
      <formula>"Media"</formula>
    </cfRule>
    <cfRule type="cellIs" dxfId="756" priority="251" operator="equal">
      <formula>"Baja"</formula>
    </cfRule>
    <cfRule type="cellIs" dxfId="755" priority="252" operator="equal">
      <formula>"Muy Baja"</formula>
    </cfRule>
  </conditionalFormatting>
  <conditionalFormatting sqref="P180">
    <cfRule type="cellIs" dxfId="754" priority="262" operator="equal">
      <formula>"Muy Alta"</formula>
    </cfRule>
    <cfRule type="cellIs" dxfId="753" priority="263" operator="equal">
      <formula>"Alta"</formula>
    </cfRule>
    <cfRule type="cellIs" dxfId="752" priority="264" operator="equal">
      <formula>"Media"</formula>
    </cfRule>
    <cfRule type="cellIs" dxfId="751" priority="265" operator="equal">
      <formula>"Baja"</formula>
    </cfRule>
    <cfRule type="cellIs" dxfId="750" priority="266" operator="equal">
      <formula>"Muy Baja"</formula>
    </cfRule>
  </conditionalFormatting>
  <conditionalFormatting sqref="P186">
    <cfRule type="cellIs" dxfId="749" priority="238" operator="equal">
      <formula>"Muy Baja"</formula>
    </cfRule>
    <cfRule type="cellIs" dxfId="748" priority="237" operator="equal">
      <formula>"Baja"</formula>
    </cfRule>
    <cfRule type="cellIs" dxfId="747" priority="236" operator="equal">
      <formula>"Media"</formula>
    </cfRule>
    <cfRule type="cellIs" dxfId="746" priority="235" operator="equal">
      <formula>"Alta"</formula>
    </cfRule>
    <cfRule type="cellIs" dxfId="745" priority="234" operator="equal">
      <formula>"Muy Alta"</formula>
    </cfRule>
  </conditionalFormatting>
  <conditionalFormatting sqref="P192 P198">
    <cfRule type="cellIs" dxfId="744" priority="220" operator="equal">
      <formula>"Muy Alta"</formula>
    </cfRule>
    <cfRule type="cellIs" dxfId="743" priority="224" operator="equal">
      <formula>"Muy Baja"</formula>
    </cfRule>
    <cfRule type="cellIs" dxfId="742" priority="223" operator="equal">
      <formula>"Baja"</formula>
    </cfRule>
    <cfRule type="cellIs" dxfId="741" priority="222" operator="equal">
      <formula>"Media"</formula>
    </cfRule>
    <cfRule type="cellIs" dxfId="740" priority="221" operator="equal">
      <formula>"Alta"</formula>
    </cfRule>
  </conditionalFormatting>
  <conditionalFormatting sqref="P204">
    <cfRule type="cellIs" dxfId="739" priority="195" operator="equal">
      <formula>"Media"</formula>
    </cfRule>
    <cfRule type="cellIs" dxfId="738" priority="194" operator="equal">
      <formula>"Alta"</formula>
    </cfRule>
    <cfRule type="cellIs" dxfId="737" priority="193" operator="equal">
      <formula>"Muy Alta"</formula>
    </cfRule>
    <cfRule type="cellIs" dxfId="736" priority="197" operator="equal">
      <formula>"Muy Baja"</formula>
    </cfRule>
    <cfRule type="cellIs" dxfId="735" priority="196" operator="equal">
      <formula>"Baja"</formula>
    </cfRule>
  </conditionalFormatting>
  <conditionalFormatting sqref="P210">
    <cfRule type="cellIs" dxfId="734" priority="186" operator="equal">
      <formula>"Media"</formula>
    </cfRule>
    <cfRule type="cellIs" dxfId="733" priority="184" operator="equal">
      <formula>"Muy Alta"</formula>
    </cfRule>
    <cfRule type="cellIs" dxfId="732" priority="185" operator="equal">
      <formula>"Alta"</formula>
    </cfRule>
    <cfRule type="cellIs" dxfId="731" priority="187" operator="equal">
      <formula>"Baja"</formula>
    </cfRule>
    <cfRule type="cellIs" dxfId="730" priority="188" operator="equal">
      <formula>"Muy Baja"</formula>
    </cfRule>
  </conditionalFormatting>
  <conditionalFormatting sqref="P216">
    <cfRule type="cellIs" dxfId="729" priority="175" operator="equal">
      <formula>"Muy Alta"</formula>
    </cfRule>
    <cfRule type="cellIs" dxfId="728" priority="176" operator="equal">
      <formula>"Alta"</formula>
    </cfRule>
    <cfRule type="cellIs" dxfId="727" priority="177" operator="equal">
      <formula>"Media"</formula>
    </cfRule>
    <cfRule type="cellIs" dxfId="726" priority="178" operator="equal">
      <formula>"Baja"</formula>
    </cfRule>
    <cfRule type="cellIs" dxfId="725" priority="179" operator="equal">
      <formula>"Muy Baja"</formula>
    </cfRule>
  </conditionalFormatting>
  <conditionalFormatting sqref="P222">
    <cfRule type="cellIs" dxfId="724" priority="170" operator="equal">
      <formula>"Muy Baja"</formula>
    </cfRule>
    <cfRule type="cellIs" dxfId="723" priority="169" operator="equal">
      <formula>"Baja"</formula>
    </cfRule>
    <cfRule type="cellIs" dxfId="722" priority="168" operator="equal">
      <formula>"Media"</formula>
    </cfRule>
    <cfRule type="cellIs" dxfId="721" priority="167" operator="equal">
      <formula>"Alta"</formula>
    </cfRule>
    <cfRule type="cellIs" dxfId="720" priority="166" operator="equal">
      <formula>"Muy Alta"</formula>
    </cfRule>
  </conditionalFormatting>
  <conditionalFormatting sqref="P228">
    <cfRule type="cellIs" dxfId="719" priority="127" operator="equal">
      <formula>"Muy Baja"</formula>
    </cfRule>
    <cfRule type="cellIs" dxfId="718" priority="126" operator="equal">
      <formula>"Baja"</formula>
    </cfRule>
    <cfRule type="cellIs" dxfId="717" priority="125" operator="equal">
      <formula>"Media"</formula>
    </cfRule>
    <cfRule type="cellIs" dxfId="716" priority="124" operator="equal">
      <formula>"Alta"</formula>
    </cfRule>
    <cfRule type="cellIs" dxfId="715" priority="123" operator="equal">
      <formula>"Muy Alta"</formula>
    </cfRule>
  </conditionalFormatting>
  <conditionalFormatting sqref="P234">
    <cfRule type="cellIs" dxfId="714" priority="151" operator="equal">
      <formula>"Muy Alta"</formula>
    </cfRule>
    <cfRule type="cellIs" dxfId="713" priority="152" operator="equal">
      <formula>"Alta"</formula>
    </cfRule>
    <cfRule type="cellIs" dxfId="712" priority="153" operator="equal">
      <formula>"Media"</formula>
    </cfRule>
    <cfRule type="cellIs" dxfId="711" priority="154" operator="equal">
      <formula>"Baja"</formula>
    </cfRule>
    <cfRule type="cellIs" dxfId="710" priority="155" operator="equal">
      <formula>"Muy Baja"</formula>
    </cfRule>
  </conditionalFormatting>
  <conditionalFormatting sqref="P240">
    <cfRule type="cellIs" dxfId="709" priority="138" operator="equal">
      <formula>"Alta"</formula>
    </cfRule>
    <cfRule type="cellIs" dxfId="708" priority="139" operator="equal">
      <formula>"Media"</formula>
    </cfRule>
    <cfRule type="cellIs" dxfId="707" priority="140" operator="equal">
      <formula>"Baja"</formula>
    </cfRule>
    <cfRule type="cellIs" dxfId="706" priority="141" operator="equal">
      <formula>"Muy Baja"</formula>
    </cfRule>
    <cfRule type="cellIs" dxfId="705" priority="137" operator="equal">
      <formula>"Muy Alta"</formula>
    </cfRule>
  </conditionalFormatting>
  <conditionalFormatting sqref="P246">
    <cfRule type="cellIs" dxfId="704" priority="113" operator="equal">
      <formula>"Muy Baja"</formula>
    </cfRule>
    <cfRule type="cellIs" dxfId="703" priority="111" operator="equal">
      <formula>"Media"</formula>
    </cfRule>
    <cfRule type="cellIs" dxfId="702" priority="110" operator="equal">
      <formula>"Alta"</formula>
    </cfRule>
    <cfRule type="cellIs" dxfId="701" priority="109" operator="equal">
      <formula>"Muy Alta"</formula>
    </cfRule>
    <cfRule type="cellIs" dxfId="700" priority="112" operator="equal">
      <formula>"Baja"</formula>
    </cfRule>
  </conditionalFormatting>
  <conditionalFormatting sqref="P252 P258">
    <cfRule type="cellIs" dxfId="699" priority="84" operator="equal">
      <formula>"Muy Baja"</formula>
    </cfRule>
    <cfRule type="cellIs" dxfId="698" priority="83" operator="equal">
      <formula>"Baja"</formula>
    </cfRule>
    <cfRule type="cellIs" dxfId="697" priority="82" operator="equal">
      <formula>"Media"</formula>
    </cfRule>
    <cfRule type="cellIs" dxfId="696" priority="81" operator="equal">
      <formula>"Alta"</formula>
    </cfRule>
    <cfRule type="cellIs" dxfId="695" priority="80" operator="equal">
      <formula>"Muy Alta"</formula>
    </cfRule>
  </conditionalFormatting>
  <conditionalFormatting sqref="P264">
    <cfRule type="cellIs" dxfId="694" priority="63" operator="equal">
      <formula>"Alta"</formula>
    </cfRule>
    <cfRule type="cellIs" dxfId="693" priority="62" operator="equal">
      <formula>"Muy Alta"</formula>
    </cfRule>
    <cfRule type="cellIs" dxfId="692" priority="64" operator="equal">
      <formula>"Media"</formula>
    </cfRule>
    <cfRule type="cellIs" dxfId="691" priority="66" operator="equal">
      <formula>"Muy Baja"</formula>
    </cfRule>
    <cfRule type="cellIs" dxfId="690" priority="65" operator="equal">
      <formula>"Baja"</formula>
    </cfRule>
  </conditionalFormatting>
  <conditionalFormatting sqref="P270 P276">
    <cfRule type="cellIs" dxfId="689" priority="39" operator="equal">
      <formula>"Alta"</formula>
    </cfRule>
    <cfRule type="cellIs" dxfId="688" priority="42" operator="equal">
      <formula>"Muy Baja"</formula>
    </cfRule>
    <cfRule type="cellIs" dxfId="687" priority="41" operator="equal">
      <formula>"Baja"</formula>
    </cfRule>
    <cfRule type="cellIs" dxfId="686" priority="38" operator="equal">
      <formula>"Muy Alta"</formula>
    </cfRule>
    <cfRule type="cellIs" dxfId="685" priority="40" operator="equal">
      <formula>"Media"</formula>
    </cfRule>
  </conditionalFormatting>
  <conditionalFormatting sqref="P282">
    <cfRule type="cellIs" dxfId="684" priority="21" operator="equal">
      <formula>"Alta"</formula>
    </cfRule>
    <cfRule type="cellIs" dxfId="683" priority="20" operator="equal">
      <formula>"Muy Alta"</formula>
    </cfRule>
    <cfRule type="cellIs" dxfId="682" priority="22" operator="equal">
      <formula>"Media"</formula>
    </cfRule>
    <cfRule type="cellIs" dxfId="681" priority="23" operator="equal">
      <formula>"Baja"</formula>
    </cfRule>
    <cfRule type="cellIs" dxfId="680" priority="24" operator="equal">
      <formula>"Muy Baja"</formula>
    </cfRule>
  </conditionalFormatting>
  <conditionalFormatting sqref="S10:S287">
    <cfRule type="containsText" dxfId="679" priority="1" operator="containsText" text="❌">
      <formula>NOT(ISERROR(SEARCH("❌",S10)))</formula>
    </cfRule>
  </conditionalFormatting>
  <conditionalFormatting sqref="T10 T16 T22 T28 T34 T40 T46 T52 T58 T66">
    <cfRule type="cellIs" dxfId="678" priority="804" operator="equal">
      <formula>"Mayor"</formula>
    </cfRule>
    <cfRule type="cellIs" dxfId="677" priority="803" operator="equal">
      <formula>"Catastrófico"</formula>
    </cfRule>
    <cfRule type="cellIs" dxfId="676" priority="805" operator="equal">
      <formula>"Moderado"</formula>
    </cfRule>
    <cfRule type="cellIs" dxfId="675" priority="806" operator="equal">
      <formula>"Menor"</formula>
    </cfRule>
    <cfRule type="cellIs" dxfId="674" priority="807" operator="equal">
      <formula>"Leve"</formula>
    </cfRule>
  </conditionalFormatting>
  <conditionalFormatting sqref="T72 T78 T84 T90 T96 T102 T108 T114 T120">
    <cfRule type="cellIs" dxfId="673" priority="457" operator="equal">
      <formula>"Mayor"</formula>
    </cfRule>
    <cfRule type="cellIs" dxfId="672" priority="456" operator="equal">
      <formula>"Catastrófico"</formula>
    </cfRule>
    <cfRule type="cellIs" dxfId="671" priority="460" operator="equal">
      <formula>"Leve"</formula>
    </cfRule>
    <cfRule type="cellIs" dxfId="670" priority="459" operator="equal">
      <formula>"Menor"</formula>
    </cfRule>
    <cfRule type="cellIs" dxfId="669" priority="458" operator="equal">
      <formula>"Moderado"</formula>
    </cfRule>
  </conditionalFormatting>
  <conditionalFormatting sqref="T126">
    <cfRule type="cellIs" dxfId="668" priority="356" operator="equal">
      <formula>"Catastrófico"</formula>
    </cfRule>
    <cfRule type="cellIs" dxfId="667" priority="357" operator="equal">
      <formula>"Mayor"</formula>
    </cfRule>
    <cfRule type="cellIs" dxfId="666" priority="358" operator="equal">
      <formula>"Moderado"</formula>
    </cfRule>
    <cfRule type="cellIs" dxfId="665" priority="360" operator="equal">
      <formula>"Leve"</formula>
    </cfRule>
    <cfRule type="cellIs" dxfId="664" priority="359" operator="equal">
      <formula>"Menor"</formula>
    </cfRule>
  </conditionalFormatting>
  <conditionalFormatting sqref="T132">
    <cfRule type="cellIs" dxfId="663" priority="370" operator="equal">
      <formula>"Leve"</formula>
    </cfRule>
    <cfRule type="cellIs" dxfId="662" priority="369" operator="equal">
      <formula>"Menor"</formula>
    </cfRule>
    <cfRule type="cellIs" dxfId="661" priority="368" operator="equal">
      <formula>"Moderado"</formula>
    </cfRule>
    <cfRule type="cellIs" dxfId="660" priority="367" operator="equal">
      <formula>"Mayor"</formula>
    </cfRule>
    <cfRule type="cellIs" dxfId="659" priority="366" operator="equal">
      <formula>"Catastrófico"</formula>
    </cfRule>
  </conditionalFormatting>
  <conditionalFormatting sqref="T138 T144 T150 T156">
    <cfRule type="cellIs" dxfId="658" priority="311" operator="equal">
      <formula>"Menor"</formula>
    </cfRule>
    <cfRule type="cellIs" dxfId="657" priority="308" operator="equal">
      <formula>"Catastrófico"</formula>
    </cfRule>
    <cfRule type="cellIs" dxfId="656" priority="309" operator="equal">
      <formula>"Mayor"</formula>
    </cfRule>
    <cfRule type="cellIs" dxfId="655" priority="312" operator="equal">
      <formula>"Leve"</formula>
    </cfRule>
    <cfRule type="cellIs" dxfId="654" priority="310" operator="equal">
      <formula>"Moderado"</formula>
    </cfRule>
  </conditionalFormatting>
  <conditionalFormatting sqref="T162 T168">
    <cfRule type="cellIs" dxfId="653" priority="320" operator="equal">
      <formula>"Moderado"</formula>
    </cfRule>
    <cfRule type="cellIs" dxfId="652" priority="321" operator="equal">
      <formula>"Menor"</formula>
    </cfRule>
    <cfRule type="cellIs" dxfId="651" priority="319" operator="equal">
      <formula>"Mayor"</formula>
    </cfRule>
    <cfRule type="cellIs" dxfId="650" priority="322" operator="equal">
      <formula>"Leve"</formula>
    </cfRule>
    <cfRule type="cellIs" dxfId="649" priority="318" operator="equal">
      <formula>"Catastrófico"</formula>
    </cfRule>
  </conditionalFormatting>
  <conditionalFormatting sqref="T174">
    <cfRule type="cellIs" dxfId="648" priority="244" operator="equal">
      <formula>"Mayor"</formula>
    </cfRule>
    <cfRule type="cellIs" dxfId="647" priority="243" operator="equal">
      <formula>"Catastrófico"</formula>
    </cfRule>
    <cfRule type="cellIs" dxfId="646" priority="245" operator="equal">
      <formula>"Moderado"</formula>
    </cfRule>
    <cfRule type="cellIs" dxfId="645" priority="246" operator="equal">
      <formula>"Menor"</formula>
    </cfRule>
    <cfRule type="cellIs" dxfId="644" priority="247" operator="equal">
      <formula>"Leve"</formula>
    </cfRule>
  </conditionalFormatting>
  <conditionalFormatting sqref="T180">
    <cfRule type="cellIs" dxfId="643" priority="257" operator="equal">
      <formula>"Leve"</formula>
    </cfRule>
    <cfRule type="cellIs" dxfId="642" priority="256" operator="equal">
      <formula>"Menor"</formula>
    </cfRule>
    <cfRule type="cellIs" dxfId="641" priority="255" operator="equal">
      <formula>"Moderado"</formula>
    </cfRule>
    <cfRule type="cellIs" dxfId="640" priority="254" operator="equal">
      <formula>"Mayor"</formula>
    </cfRule>
    <cfRule type="cellIs" dxfId="639" priority="253" operator="equal">
      <formula>"Catastrófico"</formula>
    </cfRule>
  </conditionalFormatting>
  <conditionalFormatting sqref="T186">
    <cfRule type="cellIs" dxfId="638" priority="225" operator="equal">
      <formula>"Catastrófico"</formula>
    </cfRule>
    <cfRule type="cellIs" dxfId="637" priority="226" operator="equal">
      <formula>"Mayor"</formula>
    </cfRule>
    <cfRule type="cellIs" dxfId="636" priority="227" operator="equal">
      <formula>"Moderado"</formula>
    </cfRule>
    <cfRule type="cellIs" dxfId="635" priority="228" operator="equal">
      <formula>"Menor"</formula>
    </cfRule>
    <cfRule type="cellIs" dxfId="634" priority="229" operator="equal">
      <formula>"Leve"</formula>
    </cfRule>
  </conditionalFormatting>
  <conditionalFormatting sqref="T192 T198">
    <cfRule type="cellIs" dxfId="633" priority="219" operator="equal">
      <formula>"Leve"</formula>
    </cfRule>
    <cfRule type="cellIs" dxfId="632" priority="215" operator="equal">
      <formula>"Catastrófico"</formula>
    </cfRule>
    <cfRule type="cellIs" dxfId="631" priority="216" operator="equal">
      <formula>"Mayor"</formula>
    </cfRule>
    <cfRule type="cellIs" dxfId="630" priority="217" operator="equal">
      <formula>"Moderado"</formula>
    </cfRule>
    <cfRule type="cellIs" dxfId="629" priority="218" operator="equal">
      <formula>"Menor"</formula>
    </cfRule>
  </conditionalFormatting>
  <conditionalFormatting sqref="T204 T210 T216 T222">
    <cfRule type="cellIs" dxfId="628" priority="202" operator="equal">
      <formula>"Catastrófico"</formula>
    </cfRule>
    <cfRule type="cellIs" dxfId="627" priority="204" operator="equal">
      <formula>"Moderado"</formula>
    </cfRule>
    <cfRule type="cellIs" dxfId="626" priority="205" operator="equal">
      <formula>"Menor"</formula>
    </cfRule>
    <cfRule type="cellIs" dxfId="625" priority="206" operator="equal">
      <formula>"Leve"</formula>
    </cfRule>
    <cfRule type="cellIs" dxfId="624" priority="203" operator="equal">
      <formula>"Mayor"</formula>
    </cfRule>
  </conditionalFormatting>
  <conditionalFormatting sqref="T228">
    <cfRule type="cellIs" dxfId="623" priority="118" operator="equal">
      <formula>"Catastrófico"</formula>
    </cfRule>
    <cfRule type="cellIs" dxfId="622" priority="119" operator="equal">
      <formula>"Mayor"</formula>
    </cfRule>
    <cfRule type="cellIs" dxfId="621" priority="122" operator="equal">
      <formula>"Leve"</formula>
    </cfRule>
    <cfRule type="cellIs" dxfId="620" priority="121" operator="equal">
      <formula>"Menor"</formula>
    </cfRule>
    <cfRule type="cellIs" dxfId="619" priority="120" operator="equal">
      <formula>"Moderado"</formula>
    </cfRule>
  </conditionalFormatting>
  <conditionalFormatting sqref="T234">
    <cfRule type="cellIs" dxfId="618" priority="145" operator="equal">
      <formula>"Menor"</formula>
    </cfRule>
    <cfRule type="cellIs" dxfId="617" priority="146" operator="equal">
      <formula>"Leve"</formula>
    </cfRule>
    <cfRule type="cellIs" dxfId="616" priority="144" operator="equal">
      <formula>"Moderado"</formula>
    </cfRule>
    <cfRule type="cellIs" dxfId="615" priority="143" operator="equal">
      <formula>"Mayor"</formula>
    </cfRule>
    <cfRule type="cellIs" dxfId="614" priority="142" operator="equal">
      <formula>"Catastrófico"</formula>
    </cfRule>
  </conditionalFormatting>
  <conditionalFormatting sqref="T240">
    <cfRule type="cellIs" dxfId="613" priority="131" operator="equal">
      <formula>"Menor"</formula>
    </cfRule>
    <cfRule type="cellIs" dxfId="612" priority="130" operator="equal">
      <formula>"Moderado"</formula>
    </cfRule>
    <cfRule type="cellIs" dxfId="611" priority="129" operator="equal">
      <formula>"Mayor"</formula>
    </cfRule>
    <cfRule type="cellIs" dxfId="610" priority="128" operator="equal">
      <formula>"Catastrófico"</formula>
    </cfRule>
    <cfRule type="cellIs" dxfId="609" priority="132" operator="equal">
      <formula>"Leve"</formula>
    </cfRule>
  </conditionalFormatting>
  <conditionalFormatting sqref="T246">
    <cfRule type="cellIs" dxfId="608" priority="108" operator="equal">
      <formula>"Leve"</formula>
    </cfRule>
    <cfRule type="cellIs" dxfId="607" priority="107" operator="equal">
      <formula>"Menor"</formula>
    </cfRule>
    <cfRule type="cellIs" dxfId="606" priority="106" operator="equal">
      <formula>"Moderado"</formula>
    </cfRule>
    <cfRule type="cellIs" dxfId="605" priority="104" operator="equal">
      <formula>"Catastrófico"</formula>
    </cfRule>
    <cfRule type="cellIs" dxfId="604" priority="105" operator="equal">
      <formula>"Mayor"</formula>
    </cfRule>
  </conditionalFormatting>
  <conditionalFormatting sqref="T252 T258 T264">
    <cfRule type="cellIs" dxfId="603" priority="76" operator="equal">
      <formula>"Mayor"</formula>
    </cfRule>
    <cfRule type="cellIs" dxfId="602" priority="75" operator="equal">
      <formula>"Catastrófico"</formula>
    </cfRule>
    <cfRule type="cellIs" dxfId="601" priority="78" operator="equal">
      <formula>"Menor"</formula>
    </cfRule>
    <cfRule type="cellIs" dxfId="600" priority="79" operator="equal">
      <formula>"Leve"</formula>
    </cfRule>
    <cfRule type="cellIs" dxfId="599" priority="77" operator="equal">
      <formula>"Moderado"</formula>
    </cfRule>
  </conditionalFormatting>
  <conditionalFormatting sqref="T270 T276 T282">
    <cfRule type="cellIs" dxfId="598" priority="37" operator="equal">
      <formula>"Leve"</formula>
    </cfRule>
    <cfRule type="cellIs" dxfId="597" priority="36" operator="equal">
      <formula>"Menor"</formula>
    </cfRule>
    <cfRule type="cellIs" dxfId="596" priority="35" operator="equal">
      <formula>"Moderado"</formula>
    </cfRule>
    <cfRule type="cellIs" dxfId="595" priority="34" operator="equal">
      <formula>"Mayor"</formula>
    </cfRule>
    <cfRule type="cellIs" dxfId="594" priority="33" operator="equal">
      <formula>"Catastrófico"</formula>
    </cfRule>
  </conditionalFormatting>
  <conditionalFormatting sqref="V10">
    <cfRule type="cellIs" dxfId="593" priority="800" operator="equal">
      <formula>"Alto"</formula>
    </cfRule>
    <cfRule type="cellIs" dxfId="592" priority="802" operator="equal">
      <formula>"Bajo"</formula>
    </cfRule>
    <cfRule type="cellIs" dxfId="591" priority="801" operator="equal">
      <formula>"Moderado"</formula>
    </cfRule>
    <cfRule type="cellIs" dxfId="590" priority="799" operator="equal">
      <formula>"Extremo"</formula>
    </cfRule>
  </conditionalFormatting>
  <conditionalFormatting sqref="V16">
    <cfRule type="cellIs" dxfId="589" priority="729" operator="equal">
      <formula>"Extremo"</formula>
    </cfRule>
    <cfRule type="cellIs" dxfId="588" priority="730" operator="equal">
      <formula>"Alto"</formula>
    </cfRule>
    <cfRule type="cellIs" dxfId="587" priority="731" operator="equal">
      <formula>"Moderado"</formula>
    </cfRule>
    <cfRule type="cellIs" dxfId="586" priority="732" operator="equal">
      <formula>"Bajo"</formula>
    </cfRule>
  </conditionalFormatting>
  <conditionalFormatting sqref="V22">
    <cfRule type="cellIs" dxfId="585" priority="701" operator="equal">
      <formula>"Extremo"</formula>
    </cfRule>
    <cfRule type="cellIs" dxfId="584" priority="704" operator="equal">
      <formula>"Bajo"</formula>
    </cfRule>
    <cfRule type="cellIs" dxfId="583" priority="703" operator="equal">
      <formula>"Moderado"</formula>
    </cfRule>
    <cfRule type="cellIs" dxfId="582" priority="702" operator="equal">
      <formula>"Alto"</formula>
    </cfRule>
  </conditionalFormatting>
  <conditionalFormatting sqref="V28">
    <cfRule type="cellIs" dxfId="581" priority="676" operator="equal">
      <formula>"Bajo"</formula>
    </cfRule>
    <cfRule type="cellIs" dxfId="580" priority="674" operator="equal">
      <formula>"Alto"</formula>
    </cfRule>
    <cfRule type="cellIs" dxfId="579" priority="675" operator="equal">
      <formula>"Moderado"</formula>
    </cfRule>
    <cfRule type="cellIs" dxfId="578" priority="673" operator="equal">
      <formula>"Extremo"</formula>
    </cfRule>
  </conditionalFormatting>
  <conditionalFormatting sqref="V34">
    <cfRule type="cellIs" dxfId="577" priority="646" operator="equal">
      <formula>"Alto"</formula>
    </cfRule>
    <cfRule type="cellIs" dxfId="576" priority="647" operator="equal">
      <formula>"Moderado"</formula>
    </cfRule>
    <cfRule type="cellIs" dxfId="575" priority="645" operator="equal">
      <formula>"Extremo"</formula>
    </cfRule>
    <cfRule type="cellIs" dxfId="574" priority="648" operator="equal">
      <formula>"Bajo"</formula>
    </cfRule>
  </conditionalFormatting>
  <conditionalFormatting sqref="V40">
    <cfRule type="cellIs" dxfId="573" priority="617" operator="equal">
      <formula>"Extremo"</formula>
    </cfRule>
    <cfRule type="cellIs" dxfId="572" priority="618" operator="equal">
      <formula>"Alto"</formula>
    </cfRule>
    <cfRule type="cellIs" dxfId="571" priority="619" operator="equal">
      <formula>"Moderado"</formula>
    </cfRule>
    <cfRule type="cellIs" dxfId="570" priority="620" operator="equal">
      <formula>"Bajo"</formula>
    </cfRule>
  </conditionalFormatting>
  <conditionalFormatting sqref="V46">
    <cfRule type="cellIs" dxfId="569" priority="590" operator="equal">
      <formula>"Alto"</formula>
    </cfRule>
    <cfRule type="cellIs" dxfId="568" priority="591" operator="equal">
      <formula>"Moderado"</formula>
    </cfRule>
    <cfRule type="cellIs" dxfId="567" priority="592" operator="equal">
      <formula>"Bajo"</formula>
    </cfRule>
    <cfRule type="cellIs" dxfId="566" priority="589" operator="equal">
      <formula>"Extremo"</formula>
    </cfRule>
  </conditionalFormatting>
  <conditionalFormatting sqref="V52">
    <cfRule type="cellIs" dxfId="565" priority="561" operator="equal">
      <formula>"Extremo"</formula>
    </cfRule>
    <cfRule type="cellIs" dxfId="564" priority="564" operator="equal">
      <formula>"Bajo"</formula>
    </cfRule>
    <cfRule type="cellIs" dxfId="563" priority="563" operator="equal">
      <formula>"Moderado"</formula>
    </cfRule>
    <cfRule type="cellIs" dxfId="562" priority="562" operator="equal">
      <formula>"Alto"</formula>
    </cfRule>
  </conditionalFormatting>
  <conditionalFormatting sqref="V58">
    <cfRule type="cellIs" dxfId="561" priority="534" operator="equal">
      <formula>"Alto"</formula>
    </cfRule>
    <cfRule type="cellIs" dxfId="560" priority="533" operator="equal">
      <formula>"Extremo"</formula>
    </cfRule>
    <cfRule type="cellIs" dxfId="559" priority="536" operator="equal">
      <formula>"Bajo"</formula>
    </cfRule>
    <cfRule type="cellIs" dxfId="558" priority="535" operator="equal">
      <formula>"Moderado"</formula>
    </cfRule>
  </conditionalFormatting>
  <conditionalFormatting sqref="V66">
    <cfRule type="cellIs" dxfId="557" priority="505" operator="equal">
      <formula>"Extremo"</formula>
    </cfRule>
    <cfRule type="cellIs" dxfId="556" priority="508" operator="equal">
      <formula>"Bajo"</formula>
    </cfRule>
    <cfRule type="cellIs" dxfId="555" priority="507" operator="equal">
      <formula>"Moderado"</formula>
    </cfRule>
    <cfRule type="cellIs" dxfId="554" priority="506" operator="equal">
      <formula>"Alto"</formula>
    </cfRule>
  </conditionalFormatting>
  <conditionalFormatting sqref="V72">
    <cfRule type="cellIs" dxfId="553" priority="452" operator="equal">
      <formula>"Extremo"</formula>
    </cfRule>
    <cfRule type="cellIs" dxfId="552" priority="454" operator="equal">
      <formula>"Moderado"</formula>
    </cfRule>
    <cfRule type="cellIs" dxfId="551" priority="453" operator="equal">
      <formula>"Alto"</formula>
    </cfRule>
    <cfRule type="cellIs" dxfId="550" priority="455" operator="equal">
      <formula>"Bajo"</formula>
    </cfRule>
  </conditionalFormatting>
  <conditionalFormatting sqref="V78">
    <cfRule type="cellIs" dxfId="549" priority="451" operator="equal">
      <formula>"Bajo"</formula>
    </cfRule>
    <cfRule type="cellIs" dxfId="548" priority="450" operator="equal">
      <formula>"Moderado"</formula>
    </cfRule>
    <cfRule type="cellIs" dxfId="547" priority="449" operator="equal">
      <formula>"Alto"</formula>
    </cfRule>
    <cfRule type="cellIs" dxfId="546" priority="448" operator="equal">
      <formula>"Extremo"</formula>
    </cfRule>
  </conditionalFormatting>
  <conditionalFormatting sqref="V84">
    <cfRule type="cellIs" dxfId="545" priority="442" operator="equal">
      <formula>"Bajo"</formula>
    </cfRule>
    <cfRule type="cellIs" dxfId="544" priority="439" operator="equal">
      <formula>"Extremo"</formula>
    </cfRule>
    <cfRule type="cellIs" dxfId="543" priority="440" operator="equal">
      <formula>"Alto"</formula>
    </cfRule>
    <cfRule type="cellIs" dxfId="542" priority="441" operator="equal">
      <formula>"Moderado"</formula>
    </cfRule>
  </conditionalFormatting>
  <conditionalFormatting sqref="V90">
    <cfRule type="cellIs" dxfId="541" priority="432" operator="equal">
      <formula>"Moderado"</formula>
    </cfRule>
    <cfRule type="cellIs" dxfId="540" priority="430" operator="equal">
      <formula>"Extremo"</formula>
    </cfRule>
    <cfRule type="cellIs" dxfId="539" priority="431" operator="equal">
      <formula>"Alto"</formula>
    </cfRule>
    <cfRule type="cellIs" dxfId="538" priority="433" operator="equal">
      <formula>"Bajo"</formula>
    </cfRule>
  </conditionalFormatting>
  <conditionalFormatting sqref="V96">
    <cfRule type="cellIs" dxfId="537" priority="421" operator="equal">
      <formula>"Extremo"</formula>
    </cfRule>
    <cfRule type="cellIs" dxfId="536" priority="422" operator="equal">
      <formula>"Alto"</formula>
    </cfRule>
    <cfRule type="cellIs" dxfId="535" priority="424" operator="equal">
      <formula>"Bajo"</formula>
    </cfRule>
    <cfRule type="cellIs" dxfId="534" priority="423" operator="equal">
      <formula>"Moderado"</formula>
    </cfRule>
  </conditionalFormatting>
  <conditionalFormatting sqref="V102">
    <cfRule type="cellIs" dxfId="533" priority="413" operator="equal">
      <formula>"Alto"</formula>
    </cfRule>
    <cfRule type="cellIs" dxfId="532" priority="414" operator="equal">
      <formula>"Moderado"</formula>
    </cfRule>
    <cfRule type="cellIs" dxfId="531" priority="415" operator="equal">
      <formula>"Bajo"</formula>
    </cfRule>
    <cfRule type="cellIs" dxfId="530" priority="412" operator="equal">
      <formula>"Extremo"</formula>
    </cfRule>
  </conditionalFormatting>
  <conditionalFormatting sqref="V108">
    <cfRule type="cellIs" dxfId="529" priority="405" operator="equal">
      <formula>"Moderado"</formula>
    </cfRule>
    <cfRule type="cellIs" dxfId="528" priority="404" operator="equal">
      <formula>"Alto"</formula>
    </cfRule>
    <cfRule type="cellIs" dxfId="527" priority="403" operator="equal">
      <formula>"Extremo"</formula>
    </cfRule>
    <cfRule type="cellIs" dxfId="526" priority="406" operator="equal">
      <formula>"Bajo"</formula>
    </cfRule>
  </conditionalFormatting>
  <conditionalFormatting sqref="V114">
    <cfRule type="cellIs" dxfId="525" priority="402" operator="equal">
      <formula>"Bajo"</formula>
    </cfRule>
    <cfRule type="cellIs" dxfId="524" priority="401" operator="equal">
      <formula>"Moderado"</formula>
    </cfRule>
    <cfRule type="cellIs" dxfId="523" priority="400" operator="equal">
      <formula>"Alto"</formula>
    </cfRule>
    <cfRule type="cellIs" dxfId="522" priority="399" operator="equal">
      <formula>"Extremo"</formula>
    </cfRule>
  </conditionalFormatting>
  <conditionalFormatting sqref="V120">
    <cfRule type="cellIs" dxfId="521" priority="391" operator="equal">
      <formula>"Alto"</formula>
    </cfRule>
    <cfRule type="cellIs" dxfId="520" priority="392" operator="equal">
      <formula>"Moderado"</formula>
    </cfRule>
    <cfRule type="cellIs" dxfId="519" priority="393" operator="equal">
      <formula>"Bajo"</formula>
    </cfRule>
    <cfRule type="cellIs" dxfId="518" priority="390" operator="equal">
      <formula>"Extremo"</formula>
    </cfRule>
  </conditionalFormatting>
  <conditionalFormatting sqref="V126">
    <cfRule type="cellIs" dxfId="517" priority="353" operator="equal">
      <formula>"Alto"</formula>
    </cfRule>
    <cfRule type="cellIs" dxfId="516" priority="352" operator="equal">
      <formula>"Extremo"</formula>
    </cfRule>
    <cfRule type="cellIs" dxfId="515" priority="355" operator="equal">
      <formula>"Bajo"</formula>
    </cfRule>
    <cfRule type="cellIs" dxfId="514" priority="354" operator="equal">
      <formula>"Moderado"</formula>
    </cfRule>
  </conditionalFormatting>
  <conditionalFormatting sqref="V132">
    <cfRule type="cellIs" dxfId="513" priority="373" operator="equal">
      <formula>"Moderado"</formula>
    </cfRule>
    <cfRule type="cellIs" dxfId="512" priority="374" operator="equal">
      <formula>"Bajo"</formula>
    </cfRule>
    <cfRule type="cellIs" dxfId="511" priority="372" operator="equal">
      <formula>"Alto"</formula>
    </cfRule>
    <cfRule type="cellIs" dxfId="510" priority="371" operator="equal">
      <formula>"Extremo"</formula>
    </cfRule>
  </conditionalFormatting>
  <conditionalFormatting sqref="V138">
    <cfRule type="cellIs" dxfId="509" priority="305" operator="equal">
      <formula>"Alto"</formula>
    </cfRule>
    <cfRule type="cellIs" dxfId="508" priority="307" operator="equal">
      <formula>"Bajo"</formula>
    </cfRule>
    <cfRule type="cellIs" dxfId="507" priority="304" operator="equal">
      <formula>"Extremo"</formula>
    </cfRule>
    <cfRule type="cellIs" dxfId="506" priority="306" operator="equal">
      <formula>"Moderado"</formula>
    </cfRule>
  </conditionalFormatting>
  <conditionalFormatting sqref="V144">
    <cfRule type="cellIs" dxfId="505" priority="301" operator="equal">
      <formula>"Alto"</formula>
    </cfRule>
    <cfRule type="cellIs" dxfId="504" priority="302" operator="equal">
      <formula>"Moderado"</formula>
    </cfRule>
    <cfRule type="cellIs" dxfId="503" priority="300" operator="equal">
      <formula>"Extremo"</formula>
    </cfRule>
    <cfRule type="cellIs" dxfId="502" priority="303" operator="equal">
      <formula>"Bajo"</formula>
    </cfRule>
  </conditionalFormatting>
  <conditionalFormatting sqref="V150">
    <cfRule type="cellIs" dxfId="501" priority="294" operator="equal">
      <formula>"Bajo"</formula>
    </cfRule>
    <cfRule type="cellIs" dxfId="500" priority="291" operator="equal">
      <formula>"Extremo"</formula>
    </cfRule>
    <cfRule type="cellIs" dxfId="499" priority="292" operator="equal">
      <formula>"Alto"</formula>
    </cfRule>
    <cfRule type="cellIs" dxfId="498" priority="293" operator="equal">
      <formula>"Moderado"</formula>
    </cfRule>
  </conditionalFormatting>
  <conditionalFormatting sqref="V156">
    <cfRule type="cellIs" dxfId="497" priority="282" operator="equal">
      <formula>"Extremo"</formula>
    </cfRule>
    <cfRule type="cellIs" dxfId="496" priority="283" operator="equal">
      <formula>"Alto"</formula>
    </cfRule>
    <cfRule type="cellIs" dxfId="495" priority="284" operator="equal">
      <formula>"Moderado"</formula>
    </cfRule>
    <cfRule type="cellIs" dxfId="494" priority="285" operator="equal">
      <formula>"Bajo"</formula>
    </cfRule>
  </conditionalFormatting>
  <conditionalFormatting sqref="V162 V168">
    <cfRule type="cellIs" dxfId="493" priority="323" operator="equal">
      <formula>"Extremo"</formula>
    </cfRule>
    <cfRule type="cellIs" dxfId="492" priority="326" operator="equal">
      <formula>"Bajo"</formula>
    </cfRule>
    <cfRule type="cellIs" dxfId="491" priority="325" operator="equal">
      <formula>"Moderado"</formula>
    </cfRule>
    <cfRule type="cellIs" dxfId="490" priority="324" operator="equal">
      <formula>"Alto"</formula>
    </cfRule>
  </conditionalFormatting>
  <conditionalFormatting sqref="V174">
    <cfRule type="cellIs" dxfId="489" priority="242" operator="equal">
      <formula>"Bajo"</formula>
    </cfRule>
    <cfRule type="cellIs" dxfId="488" priority="240" operator="equal">
      <formula>"Alto"</formula>
    </cfRule>
    <cfRule type="cellIs" dxfId="487" priority="239" operator="equal">
      <formula>"Extremo"</formula>
    </cfRule>
    <cfRule type="cellIs" dxfId="486" priority="241" operator="equal">
      <formula>"Moderado"</formula>
    </cfRule>
  </conditionalFormatting>
  <conditionalFormatting sqref="V180">
    <cfRule type="cellIs" dxfId="485" priority="259" operator="equal">
      <formula>"Alto"</formula>
    </cfRule>
    <cfRule type="cellIs" dxfId="484" priority="260" operator="equal">
      <formula>"Moderado"</formula>
    </cfRule>
    <cfRule type="cellIs" dxfId="483" priority="261" operator="equal">
      <formula>"Bajo"</formula>
    </cfRule>
    <cfRule type="cellIs" dxfId="482" priority="258" operator="equal">
      <formula>"Extremo"</formula>
    </cfRule>
  </conditionalFormatting>
  <conditionalFormatting sqref="V186">
    <cfRule type="cellIs" dxfId="481" priority="233" operator="equal">
      <formula>"Bajo"</formula>
    </cfRule>
    <cfRule type="cellIs" dxfId="480" priority="231" operator="equal">
      <formula>"Alto"</formula>
    </cfRule>
    <cfRule type="cellIs" dxfId="479" priority="230" operator="equal">
      <formula>"Extremo"</formula>
    </cfRule>
    <cfRule type="cellIs" dxfId="478" priority="232" operator="equal">
      <formula>"Moderado"</formula>
    </cfRule>
  </conditionalFormatting>
  <conditionalFormatting sqref="V192">
    <cfRule type="cellIs" dxfId="477" priority="211" operator="equal">
      <formula>"Extremo"</formula>
    </cfRule>
    <cfRule type="cellIs" dxfId="476" priority="214" operator="equal">
      <formula>"Bajo"</formula>
    </cfRule>
    <cfRule type="cellIs" dxfId="475" priority="212" operator="equal">
      <formula>"Alto"</formula>
    </cfRule>
    <cfRule type="cellIs" dxfId="474" priority="213" operator="equal">
      <formula>"Moderado"</formula>
    </cfRule>
  </conditionalFormatting>
  <conditionalFormatting sqref="V198">
    <cfRule type="cellIs" dxfId="473" priority="209" operator="equal">
      <formula>"Moderado"</formula>
    </cfRule>
    <cfRule type="cellIs" dxfId="472" priority="210" operator="equal">
      <formula>"Bajo"</formula>
    </cfRule>
    <cfRule type="cellIs" dxfId="471" priority="208" operator="equal">
      <formula>"Alto"</formula>
    </cfRule>
    <cfRule type="cellIs" dxfId="470" priority="207" operator="equal">
      <formula>"Extremo"</formula>
    </cfRule>
  </conditionalFormatting>
  <conditionalFormatting sqref="V204">
    <cfRule type="cellIs" dxfId="469" priority="189" operator="equal">
      <formula>"Extremo"</formula>
    </cfRule>
    <cfRule type="cellIs" dxfId="468" priority="190" operator="equal">
      <formula>"Alto"</formula>
    </cfRule>
    <cfRule type="cellIs" dxfId="467" priority="192" operator="equal">
      <formula>"Bajo"</formula>
    </cfRule>
    <cfRule type="cellIs" dxfId="466" priority="191" operator="equal">
      <formula>"Moderado"</formula>
    </cfRule>
  </conditionalFormatting>
  <conditionalFormatting sqref="V210">
    <cfRule type="cellIs" dxfId="465" priority="181" operator="equal">
      <formula>"Alto"</formula>
    </cfRule>
    <cfRule type="cellIs" dxfId="464" priority="183" operator="equal">
      <formula>"Bajo"</formula>
    </cfRule>
    <cfRule type="cellIs" dxfId="463" priority="182" operator="equal">
      <formula>"Moderado"</formula>
    </cfRule>
    <cfRule type="cellIs" dxfId="462" priority="180" operator="equal">
      <formula>"Extremo"</formula>
    </cfRule>
  </conditionalFormatting>
  <conditionalFormatting sqref="V216">
    <cfRule type="cellIs" dxfId="461" priority="172" operator="equal">
      <formula>"Alto"</formula>
    </cfRule>
    <cfRule type="cellIs" dxfId="460" priority="171" operator="equal">
      <formula>"Extremo"</formula>
    </cfRule>
    <cfRule type="cellIs" dxfId="459" priority="173" operator="equal">
      <formula>"Moderado"</formula>
    </cfRule>
    <cfRule type="cellIs" dxfId="458" priority="174" operator="equal">
      <formula>"Bajo"</formula>
    </cfRule>
  </conditionalFormatting>
  <conditionalFormatting sqref="V222">
    <cfRule type="cellIs" dxfId="457" priority="162" operator="equal">
      <formula>"Extremo"</formula>
    </cfRule>
    <cfRule type="cellIs" dxfId="456" priority="163" operator="equal">
      <formula>"Alto"</formula>
    </cfRule>
    <cfRule type="cellIs" dxfId="455" priority="164" operator="equal">
      <formula>"Moderado"</formula>
    </cfRule>
    <cfRule type="cellIs" dxfId="454" priority="165" operator="equal">
      <formula>"Bajo"</formula>
    </cfRule>
  </conditionalFormatting>
  <conditionalFormatting sqref="V228">
    <cfRule type="cellIs" dxfId="453" priority="117" operator="equal">
      <formula>"Bajo"</formula>
    </cfRule>
    <cfRule type="cellIs" dxfId="452" priority="116" operator="equal">
      <formula>"Moderado"</formula>
    </cfRule>
    <cfRule type="cellIs" dxfId="451" priority="115" operator="equal">
      <formula>"Alto"</formula>
    </cfRule>
    <cfRule type="cellIs" dxfId="450" priority="114" operator="equal">
      <formula>"Extremo"</formula>
    </cfRule>
  </conditionalFormatting>
  <conditionalFormatting sqref="V234">
    <cfRule type="cellIs" dxfId="449" priority="148" operator="equal">
      <formula>"Alto"</formula>
    </cfRule>
    <cfRule type="cellIs" dxfId="448" priority="147" operator="equal">
      <formula>"Extremo"</formula>
    </cfRule>
    <cfRule type="cellIs" dxfId="447" priority="149" operator="equal">
      <formula>"Moderado"</formula>
    </cfRule>
    <cfRule type="cellIs" dxfId="446" priority="150" operator="equal">
      <formula>"Bajo"</formula>
    </cfRule>
  </conditionalFormatting>
  <conditionalFormatting sqref="V240">
    <cfRule type="cellIs" dxfId="445" priority="135" operator="equal">
      <formula>"Moderado"</formula>
    </cfRule>
    <cfRule type="cellIs" dxfId="444" priority="134" operator="equal">
      <formula>"Alto"</formula>
    </cfRule>
    <cfRule type="cellIs" dxfId="443" priority="133" operator="equal">
      <formula>"Extremo"</formula>
    </cfRule>
    <cfRule type="cellIs" dxfId="442" priority="136" operator="equal">
      <formula>"Bajo"</formula>
    </cfRule>
  </conditionalFormatting>
  <conditionalFormatting sqref="V246">
    <cfRule type="cellIs" dxfId="441" priority="102" operator="equal">
      <formula>"Moderado"</formula>
    </cfRule>
    <cfRule type="cellIs" dxfId="440" priority="101" operator="equal">
      <formula>"Alto"</formula>
    </cfRule>
    <cfRule type="cellIs" dxfId="439" priority="103" operator="equal">
      <formula>"Bajo"</formula>
    </cfRule>
    <cfRule type="cellIs" dxfId="438" priority="100" operator="equal">
      <formula>"Extremo"</formula>
    </cfRule>
  </conditionalFormatting>
  <conditionalFormatting sqref="V252">
    <cfRule type="cellIs" dxfId="437" priority="71" operator="equal">
      <formula>"Extremo"</formula>
    </cfRule>
    <cfRule type="cellIs" dxfId="436" priority="72" operator="equal">
      <formula>"Alto"</formula>
    </cfRule>
    <cfRule type="cellIs" dxfId="435" priority="73" operator="equal">
      <formula>"Moderado"</formula>
    </cfRule>
    <cfRule type="cellIs" dxfId="434" priority="74" operator="equal">
      <formula>"Bajo"</formula>
    </cfRule>
  </conditionalFormatting>
  <conditionalFormatting sqref="V258">
    <cfRule type="cellIs" dxfId="433" priority="70" operator="equal">
      <formula>"Bajo"</formula>
    </cfRule>
    <cfRule type="cellIs" dxfId="432" priority="69" operator="equal">
      <formula>"Moderado"</formula>
    </cfRule>
    <cfRule type="cellIs" dxfId="431" priority="68" operator="equal">
      <formula>"Alto"</formula>
    </cfRule>
    <cfRule type="cellIs" dxfId="430" priority="67" operator="equal">
      <formula>"Extremo"</formula>
    </cfRule>
  </conditionalFormatting>
  <conditionalFormatting sqref="V264">
    <cfRule type="cellIs" dxfId="429" priority="58" operator="equal">
      <formula>"Extremo"</formula>
    </cfRule>
    <cfRule type="cellIs" dxfId="428" priority="59" operator="equal">
      <formula>"Alto"</formula>
    </cfRule>
    <cfRule type="cellIs" dxfId="427" priority="60" operator="equal">
      <formula>"Moderado"</formula>
    </cfRule>
    <cfRule type="cellIs" dxfId="426" priority="61" operator="equal">
      <formula>"Bajo"</formula>
    </cfRule>
  </conditionalFormatting>
  <conditionalFormatting sqref="V270">
    <cfRule type="cellIs" dxfId="425" priority="29" operator="equal">
      <formula>"Extremo"</formula>
    </cfRule>
    <cfRule type="cellIs" dxfId="424" priority="30" operator="equal">
      <formula>"Alto"</formula>
    </cfRule>
    <cfRule type="cellIs" dxfId="423" priority="31" operator="equal">
      <formula>"Moderado"</formula>
    </cfRule>
    <cfRule type="cellIs" dxfId="422" priority="32" operator="equal">
      <formula>"Bajo"</formula>
    </cfRule>
  </conditionalFormatting>
  <conditionalFormatting sqref="V276">
    <cfRule type="cellIs" dxfId="421" priority="26" operator="equal">
      <formula>"Alto"</formula>
    </cfRule>
    <cfRule type="cellIs" dxfId="420" priority="27" operator="equal">
      <formula>"Moderado"</formula>
    </cfRule>
    <cfRule type="cellIs" dxfId="419" priority="28" operator="equal">
      <formula>"Bajo"</formula>
    </cfRule>
    <cfRule type="cellIs" dxfId="418" priority="25" operator="equal">
      <formula>"Extremo"</formula>
    </cfRule>
  </conditionalFormatting>
  <conditionalFormatting sqref="V282">
    <cfRule type="cellIs" dxfId="417" priority="19" operator="equal">
      <formula>"Bajo"</formula>
    </cfRule>
    <cfRule type="cellIs" dxfId="416" priority="16" operator="equal">
      <formula>"Extremo"</formula>
    </cfRule>
    <cfRule type="cellIs" dxfId="415" priority="17" operator="equal">
      <formula>"Alto"</formula>
    </cfRule>
    <cfRule type="cellIs" dxfId="414" priority="18" operator="equal">
      <formula>"Moderado"</formula>
    </cfRule>
  </conditionalFormatting>
  <conditionalFormatting sqref="AJ10:AJ287">
    <cfRule type="cellIs" dxfId="413" priority="11" operator="equal">
      <formula>"Muy Alta"</formula>
    </cfRule>
    <cfRule type="cellIs" dxfId="412" priority="15" operator="equal">
      <formula>"Muy Baja"</formula>
    </cfRule>
    <cfRule type="cellIs" dxfId="411" priority="14" operator="equal">
      <formula>"Baja"</formula>
    </cfRule>
    <cfRule type="cellIs" dxfId="410" priority="12" operator="equal">
      <formula>"Alta"</formula>
    </cfRule>
    <cfRule type="cellIs" dxfId="409" priority="13" operator="equal">
      <formula>"Media"</formula>
    </cfRule>
  </conditionalFormatting>
  <conditionalFormatting sqref="AL10:AL287">
    <cfRule type="cellIs" dxfId="408" priority="10" operator="equal">
      <formula>"Leve"</formula>
    </cfRule>
    <cfRule type="cellIs" dxfId="407" priority="9" operator="equal">
      <formula>"Menor"</formula>
    </cfRule>
    <cfRule type="cellIs" dxfId="406" priority="8" operator="equal">
      <formula>"Moderado"</formula>
    </cfRule>
    <cfRule type="cellIs" dxfId="405" priority="6" operator="equal">
      <formula>"Catastrófico"</formula>
    </cfRule>
    <cfRule type="cellIs" dxfId="404" priority="7" operator="equal">
      <formula>"Mayor"</formula>
    </cfRule>
  </conditionalFormatting>
  <conditionalFormatting sqref="AN10:AN62">
    <cfRule type="cellIs" dxfId="403" priority="492" operator="equal">
      <formula>"Alto"</formula>
    </cfRule>
  </conditionalFormatting>
  <conditionalFormatting sqref="AN10:AN287">
    <cfRule type="cellIs" dxfId="402" priority="5" operator="equal">
      <formula>"Bajo"</formula>
    </cfRule>
    <cfRule type="cellIs" dxfId="401" priority="2" operator="equal">
      <formula>"Extremo"</formula>
    </cfRule>
    <cfRule type="cellIs" dxfId="400" priority="4" operator="equal">
      <formula>"Moderado"</formula>
    </cfRule>
  </conditionalFormatting>
  <conditionalFormatting sqref="AN63:AN64">
    <cfRule type="cellIs" dxfId="399" priority="467" operator="equal">
      <formula>"Alto"</formula>
    </cfRule>
  </conditionalFormatting>
  <conditionalFormatting sqref="AN65:AN287">
    <cfRule type="cellIs" dxfId="398" priority="3" operator="equal">
      <formula>"Alto"</formula>
    </cfRule>
  </conditionalFormatting>
  <dataValidations count="3">
    <dataValidation type="list" allowBlank="1" showInputMessage="1" showErrorMessage="1" sqref="AC12:AC27 AC30:AC33" xr:uid="{00000000-0002-0000-0300-000001000000}">
      <formula1>#REF!</formula1>
    </dataValidation>
    <dataValidation type="list" allowBlank="1" showInputMessage="1" showErrorMessage="1" sqref="AD10:AD33 AF10:AH33 AF38:AH39 AF42:AH45 AF48:AH51 AF54:AH57 AF70:AH71" xr:uid="{00000000-0002-0000-0300-000002000000}">
      <formula1>#REF!</formula1>
    </dataValidation>
    <dataValidation allowBlank="1" showInputMessage="1" showErrorMessage="1" error="Recuerde que las acciones se generan bajo la medida de mitigar el riesgo" sqref="AP84 AT168:AV173" xr:uid="{7F41B3FA-C580-42A9-A3F5-32E622BF95BF}"/>
  </dataValidations>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www.umv.gov.co&amp;CDESI-FM-018
Página &amp;P de &amp;N</oddFooter>
  </headerFooter>
  <colBreaks count="1" manualBreakCount="1">
    <brk id="21" max="75" man="1"/>
  </colBreaks>
  <ignoredErrors>
    <ignoredError sqref="AM12" 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300-000006000000}">
          <x14:formula1>
            <xm:f>Listas!$E$4:$E$6</xm:f>
          </x14:formula1>
          <xm:sqref>C34:C71</xm:sqref>
        </x14:dataValidation>
        <x14:dataValidation type="list" allowBlank="1" showInputMessage="1" showErrorMessage="1" xr:uid="{00000000-0002-0000-0300-000008000000}">
          <x14:formula1>
            <xm:f>'Tabla Impacto'!$F$211:$F$222</xm:f>
          </x14:formula1>
          <xm:sqref>R10:R71</xm:sqref>
        </x14:dataValidation>
        <x14:dataValidation type="list" allowBlank="1" showInputMessage="1" showErrorMessage="1" xr:uid="{00000000-0002-0000-0300-00000C000000}">
          <x14:formula1>
            <xm:f>Listas!$B$15:$B$19</xm:f>
          </x14:formula1>
          <xm:sqref>H10:H71</xm:sqref>
        </x14:dataValidation>
        <x14:dataValidation type="list" allowBlank="1" showInputMessage="1" showErrorMessage="1" xr:uid="{56974EBC-92AA-46D7-A563-12DC1F3E81D0}">
          <x14:formula1>
            <xm:f>Listas!$F$11:$F$12</xm:f>
          </x14:formula1>
          <xm:sqref>I10:I71</xm:sqref>
        </x14:dataValidation>
        <x14:dataValidation type="list" allowBlank="1" showInputMessage="1" showErrorMessage="1" xr:uid="{03058C6C-7F42-42BB-9770-ED87FDA682A3}">
          <x14:formula1>
            <xm:f>Listas!$H$11:$H$21</xm:f>
          </x14:formula1>
          <xm:sqref>M52:M57 M66:M71</xm:sqref>
        </x14:dataValidation>
        <x14:dataValidation type="list" allowBlank="1" showInputMessage="1" showErrorMessage="1" xr:uid="{F2288737-8C01-4533-ADFF-3064F3A41D07}">
          <x14:formula1>
            <xm:f>Listas!$H$4:$H$8</xm:f>
          </x14:formula1>
          <xm:sqref>Y12:Y15 Y19:Y21 Y25:Y27 Y30:Y33 Y42:Y45 Y48:Y51 Y54:Y57 Y70:Y71</xm:sqref>
        </x14:dataValidation>
        <x14:dataValidation type="list" allowBlank="1" showInputMessage="1" showErrorMessage="1" xr:uid="{ED0225A5-353B-484A-9502-C16753E9C895}">
          <x14:formula1>
            <xm:f>Listas!$L$5:$L$9</xm:f>
          </x14:formula1>
          <xm:sqref>N52:N71</xm:sqref>
        </x14:dataValidation>
        <x14:dataValidation type="list" allowBlank="1" showInputMessage="1" showErrorMessage="1" xr:uid="{00000000-0002-0000-0300-000007000000}">
          <x14:formula1>
            <xm:f>Listas!$B$4:$B$7</xm:f>
          </x14:formula1>
          <xm:sqref>AO10:AO71</xm:sqref>
        </x14:dataValidation>
        <x14:dataValidation type="list" allowBlank="1" showInputMessage="1" showErrorMessage="1" xr:uid="{BD2AE010-CC2D-4F15-B95D-7D2C3F11163B}">
          <x14:formula1>
            <xm:f>Listas!$L$28:$L$53</xm:f>
          </x14:formula1>
          <xm:sqref>B28:B71</xm:sqref>
        </x14:dataValidation>
        <x14:dataValidation type="list" allowBlank="1" showInputMessage="1" showErrorMessage="1" xr:uid="{C5EEF5CC-B068-49BB-B5B9-9B6244ED0431}">
          <x14:formula1>
            <xm:f>'Tabla Valoración controles'!$D$4:$D$6</xm:f>
          </x14:formula1>
          <xm:sqref>AC34:AC57 AC70:AC71</xm:sqref>
        </x14:dataValidation>
        <x14:dataValidation type="list" allowBlank="1" showInputMessage="1" showErrorMessage="1" xr:uid="{4A25E593-3429-4A62-9C63-B99BB7EC65A6}">
          <x14:formula1>
            <xm:f>'Tabla Valoración controles'!$D$7:$D$8</xm:f>
          </x14:formula1>
          <xm:sqref>AD34:AD57 AD70:AD71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140"/>
  <sheetViews>
    <sheetView zoomScale="40" zoomScaleNormal="40" workbookViewId="0">
      <selection activeCell="AU62" sqref="AU62"/>
    </sheetView>
  </sheetViews>
  <sheetFormatPr baseColWidth="10" defaultColWidth="11.42578125" defaultRowHeight="15" x14ac:dyDescent="0.25"/>
  <cols>
    <col min="2" max="39" width="5.7109375" customWidth="1"/>
    <col min="41" max="46" width="5.7109375" customWidth="1"/>
  </cols>
  <sheetData>
    <row r="1" spans="1:99" x14ac:dyDescent="0.25">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row>
    <row r="2" spans="1:99" ht="18" customHeight="1" x14ac:dyDescent="0.25">
      <c r="A2" s="66"/>
      <c r="B2" s="581" t="s">
        <v>399</v>
      </c>
      <c r="C2" s="581"/>
      <c r="D2" s="581"/>
      <c r="E2" s="581"/>
      <c r="F2" s="581"/>
      <c r="G2" s="581"/>
      <c r="H2" s="581"/>
      <c r="I2" s="581"/>
      <c r="J2" s="549" t="s">
        <v>0</v>
      </c>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c r="AM2" s="549"/>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row>
    <row r="3" spans="1:99" ht="18.75" customHeight="1" x14ac:dyDescent="0.25">
      <c r="A3" s="66"/>
      <c r="B3" s="581"/>
      <c r="C3" s="581"/>
      <c r="D3" s="581"/>
      <c r="E3" s="581"/>
      <c r="F3" s="581"/>
      <c r="G3" s="581"/>
      <c r="H3" s="581"/>
      <c r="I3" s="581"/>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549"/>
      <c r="AJ3" s="549"/>
      <c r="AK3" s="549"/>
      <c r="AL3" s="549"/>
      <c r="AM3" s="549"/>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row>
    <row r="4" spans="1:99" ht="15" customHeight="1" x14ac:dyDescent="0.25">
      <c r="A4" s="66"/>
      <c r="B4" s="581"/>
      <c r="C4" s="581"/>
      <c r="D4" s="581"/>
      <c r="E4" s="581"/>
      <c r="F4" s="581"/>
      <c r="G4" s="581"/>
      <c r="H4" s="581"/>
      <c r="I4" s="581"/>
      <c r="J4" s="549"/>
      <c r="K4" s="549"/>
      <c r="L4" s="549"/>
      <c r="M4" s="549"/>
      <c r="N4" s="549"/>
      <c r="O4" s="549"/>
      <c r="P4" s="549"/>
      <c r="Q4" s="549"/>
      <c r="R4" s="549"/>
      <c r="S4" s="549"/>
      <c r="T4" s="549"/>
      <c r="U4" s="549"/>
      <c r="V4" s="549"/>
      <c r="W4" s="549"/>
      <c r="X4" s="549"/>
      <c r="Y4" s="549"/>
      <c r="Z4" s="549"/>
      <c r="AA4" s="549"/>
      <c r="AB4" s="549"/>
      <c r="AC4" s="549"/>
      <c r="AD4" s="549"/>
      <c r="AE4" s="549"/>
      <c r="AF4" s="549"/>
      <c r="AG4" s="549"/>
      <c r="AH4" s="549"/>
      <c r="AI4" s="549"/>
      <c r="AJ4" s="549"/>
      <c r="AK4" s="549"/>
      <c r="AL4" s="549"/>
      <c r="AM4" s="549"/>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row>
    <row r="5" spans="1:99" ht="15.75" thickBot="1" x14ac:dyDescent="0.3">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row>
    <row r="6" spans="1:99" ht="15" customHeight="1" x14ac:dyDescent="0.25">
      <c r="A6" s="66"/>
      <c r="B6" s="496" t="s">
        <v>400</v>
      </c>
      <c r="C6" s="496"/>
      <c r="D6" s="497"/>
      <c r="E6" s="534" t="s">
        <v>401</v>
      </c>
      <c r="F6" s="535"/>
      <c r="G6" s="535"/>
      <c r="H6" s="535"/>
      <c r="I6" s="536"/>
      <c r="J6" s="545" t="str">
        <f>IF(AND('Riesgos de Gestión'!$P$10="Muy Alta",'Riesgos de Gestión'!$T$10="Leve"),CONCATENATE("R",'Riesgos de Gestión'!$A$10),"")</f>
        <v/>
      </c>
      <c r="K6" s="546"/>
      <c r="L6" s="546" t="str">
        <f>IF(AND('Riesgos de Gestión'!$P$16="Muy Alta",'Riesgos de Gestión'!$T$16="Leve"),CONCATENATE("R",'Riesgos de Gestión'!$A$16),"")</f>
        <v/>
      </c>
      <c r="M6" s="546"/>
      <c r="N6" s="546" t="str">
        <f>IF(AND('Riesgos de Gestión'!$P$22="Muy Alta",'Riesgos de Gestión'!$T$22="Leve"),CONCATENATE("R",'Riesgos de Gestión'!$A$22),"")</f>
        <v/>
      </c>
      <c r="O6" s="548"/>
      <c r="P6" s="545" t="str">
        <f>IF(AND('Riesgos de Gestión'!$P$10="Muy Alta",'Riesgos de Gestión'!$T$10="Menor"),CONCATENATE("R",'Riesgos de Gestión'!$A$10),"")</f>
        <v/>
      </c>
      <c r="Q6" s="546"/>
      <c r="R6" s="546" t="str">
        <f>IF(AND('Riesgos de Gestión'!$P$16="Muy Alta",'Riesgos de Gestión'!$T$16="Menor"),CONCATENATE("R",'Riesgos de Gestión'!$A$16),"")</f>
        <v/>
      </c>
      <c r="S6" s="546"/>
      <c r="T6" s="546" t="str">
        <f>IF(AND('Riesgos de Gestión'!$P$22="Muy Alta",'Riesgos de Gestión'!$T$22="Menor"),CONCATENATE("R",'Riesgos de Gestión'!$A$22),"")</f>
        <v/>
      </c>
      <c r="U6" s="548"/>
      <c r="V6" s="545" t="str">
        <f>IF(AND('Riesgos de Gestión'!$P$10="Muy Alta",'Riesgos de Gestión'!$T$10="Moderado"),CONCATENATE("R",'Riesgos de Gestión'!$A$10),"")</f>
        <v/>
      </c>
      <c r="W6" s="546"/>
      <c r="X6" s="546" t="str">
        <f>IF(AND('Riesgos de Gestión'!$P$16="Muy Alta",'Riesgos de Gestión'!$T$16="Moderado"),CONCATENATE("R",'Riesgos de Gestión'!$A$16),"")</f>
        <v/>
      </c>
      <c r="Y6" s="546"/>
      <c r="Z6" s="546" t="str">
        <f>IF(AND('Riesgos de Gestión'!$P$22="Muy Alta",'Riesgos de Gestión'!$T$22="Moderado"),CONCATENATE("R",'Riesgos de Gestión'!$A$22),"")</f>
        <v/>
      </c>
      <c r="AA6" s="548"/>
      <c r="AB6" s="545" t="str">
        <f>IF(AND('Riesgos de Gestión'!$P$10="Muy Alta",'Riesgos de Gestión'!$T$10="Mayor"),CONCATENATE("R",'Riesgos de Gestión'!$A$10),"")</f>
        <v/>
      </c>
      <c r="AC6" s="546"/>
      <c r="AD6" s="546" t="str">
        <f>IF(AND('Riesgos de Gestión'!$P$16="Muy Alta",'Riesgos de Gestión'!$T$16="Mayor"),CONCATENATE("R",'Riesgos de Gestión'!$A$16),"")</f>
        <v/>
      </c>
      <c r="AE6" s="546"/>
      <c r="AF6" s="546" t="str">
        <f>IF(AND('Riesgos de Gestión'!$P$22="Muy Alta",'Riesgos de Gestión'!$T$22="Mayor"),CONCATENATE("R",'Riesgos de Gestión'!$A$22),"")</f>
        <v/>
      </c>
      <c r="AG6" s="548"/>
      <c r="AH6" s="560" t="str">
        <f>IF(AND('Riesgos de Gestión'!$P$10="Muy Alta",'Riesgos de Gestión'!$T$10="Catastrófico"),CONCATENATE("R",'Riesgos de Gestión'!$A$10),"")</f>
        <v/>
      </c>
      <c r="AI6" s="561"/>
      <c r="AJ6" s="561" t="str">
        <f>IF(AND('Riesgos de Gestión'!$P$16="Muy Alta",'Riesgos de Gestión'!$T$16="Catastrófico"),CONCATENATE("R",'Riesgos de Gestión'!$A$16),"")</f>
        <v/>
      </c>
      <c r="AK6" s="561"/>
      <c r="AL6" s="561" t="str">
        <f>IF(AND('Riesgos de Gestión'!$P$22="Muy Alta",'Riesgos de Gestión'!$T$22="Catastrófico"),CONCATENATE("R",'Riesgos de Gestión'!$A$22),"")</f>
        <v/>
      </c>
      <c r="AM6" s="562"/>
      <c r="AO6" s="498" t="s">
        <v>402</v>
      </c>
      <c r="AP6" s="499"/>
      <c r="AQ6" s="499"/>
      <c r="AR6" s="499"/>
      <c r="AS6" s="499"/>
      <c r="AT6" s="500"/>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row>
    <row r="7" spans="1:99" ht="15" customHeight="1" x14ac:dyDescent="0.25">
      <c r="A7" s="66"/>
      <c r="B7" s="496"/>
      <c r="C7" s="496"/>
      <c r="D7" s="497"/>
      <c r="E7" s="537"/>
      <c r="F7" s="538"/>
      <c r="G7" s="538"/>
      <c r="H7" s="538"/>
      <c r="I7" s="539"/>
      <c r="J7" s="547"/>
      <c r="K7" s="543"/>
      <c r="L7" s="543"/>
      <c r="M7" s="543"/>
      <c r="N7" s="543"/>
      <c r="O7" s="544"/>
      <c r="P7" s="547"/>
      <c r="Q7" s="543"/>
      <c r="R7" s="543"/>
      <c r="S7" s="543"/>
      <c r="T7" s="543"/>
      <c r="U7" s="544"/>
      <c r="V7" s="547"/>
      <c r="W7" s="543"/>
      <c r="X7" s="543"/>
      <c r="Y7" s="543"/>
      <c r="Z7" s="543"/>
      <c r="AA7" s="544"/>
      <c r="AB7" s="547"/>
      <c r="AC7" s="543"/>
      <c r="AD7" s="543"/>
      <c r="AE7" s="543"/>
      <c r="AF7" s="543"/>
      <c r="AG7" s="544"/>
      <c r="AH7" s="554"/>
      <c r="AI7" s="555"/>
      <c r="AJ7" s="555"/>
      <c r="AK7" s="555"/>
      <c r="AL7" s="555"/>
      <c r="AM7" s="556"/>
      <c r="AN7" s="66"/>
      <c r="AO7" s="501"/>
      <c r="AP7" s="502"/>
      <c r="AQ7" s="502"/>
      <c r="AR7" s="502"/>
      <c r="AS7" s="502"/>
      <c r="AT7" s="503"/>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row>
    <row r="8" spans="1:99" ht="15" customHeight="1" x14ac:dyDescent="0.25">
      <c r="A8" s="66"/>
      <c r="B8" s="496"/>
      <c r="C8" s="496"/>
      <c r="D8" s="497"/>
      <c r="E8" s="537"/>
      <c r="F8" s="538"/>
      <c r="G8" s="538"/>
      <c r="H8" s="538"/>
      <c r="I8" s="539"/>
      <c r="J8" s="547" t="str">
        <f>IF(AND('Riesgos de Gestión'!$P$28="Muy Alta",'Riesgos de Gestión'!$T$28="Leve"),CONCATENATE("R",'Riesgos de Gestión'!$A$28),"")</f>
        <v/>
      </c>
      <c r="K8" s="543"/>
      <c r="L8" s="543" t="str">
        <f>IF(AND('Riesgos de Gestión'!$P$34="Muy Alta",'Riesgos de Gestión'!$T$34="Leve"),CONCATENATE("R",'Riesgos de Gestión'!$A$34),"")</f>
        <v/>
      </c>
      <c r="M8" s="543"/>
      <c r="N8" s="543" t="str">
        <f>IF(AND('Riesgos de Gestión'!$P$40="Muy Alta",'Riesgos de Gestión'!$T$40="Leve"),CONCATENATE("R",'Riesgos de Gestión'!$A$40),"")</f>
        <v/>
      </c>
      <c r="O8" s="544"/>
      <c r="P8" s="547" t="str">
        <f>IF(AND('Riesgos de Gestión'!$P$28="Muy Alta",'Riesgos de Gestión'!$T$28="Menor"),CONCATENATE("R",'Riesgos de Gestión'!$A$28),"")</f>
        <v/>
      </c>
      <c r="Q8" s="543"/>
      <c r="R8" s="543" t="str">
        <f>IF(AND('Riesgos de Gestión'!$P$34="Muy Alta",'Riesgos de Gestión'!$T$34="Menor"),CONCATENATE("R",'Riesgos de Gestión'!$A$34),"")</f>
        <v/>
      </c>
      <c r="S8" s="543"/>
      <c r="T8" s="543" t="str">
        <f>IF(AND('Riesgos de Gestión'!$P$40="Muy Alta",'Riesgos de Gestión'!$T$40="Menor"),CONCATENATE("R",'Riesgos de Gestión'!$A$40),"")</f>
        <v/>
      </c>
      <c r="U8" s="544"/>
      <c r="V8" s="547" t="str">
        <f>IF(AND('Riesgos de Gestión'!$P$28="Muy Alta",'Riesgos de Gestión'!$T$28="Moderado"),CONCATENATE("R",'Riesgos de Gestión'!$A$28),"")</f>
        <v/>
      </c>
      <c r="W8" s="543"/>
      <c r="X8" s="543" t="str">
        <f>IF(AND('Riesgos de Gestión'!$P$34="Muy Alta",'Riesgos de Gestión'!$T$34="Moderado"),CONCATENATE("R",'Riesgos de Gestión'!$A$34),"")</f>
        <v>R5</v>
      </c>
      <c r="Y8" s="543"/>
      <c r="Z8" s="543" t="str">
        <f>IF(AND('Riesgos de Gestión'!$P$40="Muy Alta",'Riesgos de Gestión'!$T$40="Moderado"),CONCATENATE("R",'Riesgos de Gestión'!$A$40),"")</f>
        <v/>
      </c>
      <c r="AA8" s="544"/>
      <c r="AB8" s="547" t="str">
        <f>IF(AND('Riesgos de Gestión'!$P$28="Muy Alta",'Riesgos de Gestión'!$T$28="Mayor"),CONCATENATE("R",'Riesgos de Gestión'!$A$28),"")</f>
        <v/>
      </c>
      <c r="AC8" s="543"/>
      <c r="AD8" s="543" t="str">
        <f>IF(AND('Riesgos de Gestión'!$P$34="Muy Alta",'Riesgos de Gestión'!$T$34="Mayor"),CONCATENATE("R",'Riesgos de Gestión'!$A$34),"")</f>
        <v/>
      </c>
      <c r="AE8" s="543"/>
      <c r="AF8" s="543" t="str">
        <f>IF(AND('Riesgos de Gestión'!$P$40="Muy Alta",'Riesgos de Gestión'!$T$40="Mayor"),CONCATENATE("R",'Riesgos de Gestión'!$A$40),"")</f>
        <v/>
      </c>
      <c r="AG8" s="544"/>
      <c r="AH8" s="554" t="str">
        <f>IF(AND('Riesgos de Gestión'!$P$28="Muy Alta",'Riesgos de Gestión'!$T$28="Catastrófico"),CONCATENATE("R",'Riesgos de Gestión'!$A$28),"")</f>
        <v/>
      </c>
      <c r="AI8" s="555"/>
      <c r="AJ8" s="555" t="str">
        <f>IF(AND('Riesgos de Gestión'!$P$34="Muy Alta",'Riesgos de Gestión'!$T$34="Catastrófico"),CONCATENATE("R",'Riesgos de Gestión'!$A$34),"")</f>
        <v/>
      </c>
      <c r="AK8" s="555"/>
      <c r="AL8" s="555" t="str">
        <f>IF(AND('Riesgos de Gestión'!$P$40="Muy Alta",'Riesgos de Gestión'!$T$40="Catastrófico"),CONCATENATE("R",'Riesgos de Gestión'!$A$40),"")</f>
        <v/>
      </c>
      <c r="AM8" s="556"/>
      <c r="AN8" s="66"/>
      <c r="AO8" s="501"/>
      <c r="AP8" s="502"/>
      <c r="AQ8" s="502"/>
      <c r="AR8" s="502"/>
      <c r="AS8" s="502"/>
      <c r="AT8" s="503"/>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row>
    <row r="9" spans="1:99" ht="15" customHeight="1" x14ac:dyDescent="0.25">
      <c r="A9" s="66"/>
      <c r="B9" s="496"/>
      <c r="C9" s="496"/>
      <c r="D9" s="497"/>
      <c r="E9" s="537"/>
      <c r="F9" s="538"/>
      <c r="G9" s="538"/>
      <c r="H9" s="538"/>
      <c r="I9" s="539"/>
      <c r="J9" s="547"/>
      <c r="K9" s="543"/>
      <c r="L9" s="543"/>
      <c r="M9" s="543"/>
      <c r="N9" s="543"/>
      <c r="O9" s="544"/>
      <c r="P9" s="547"/>
      <c r="Q9" s="543"/>
      <c r="R9" s="543"/>
      <c r="S9" s="543"/>
      <c r="T9" s="543"/>
      <c r="U9" s="544"/>
      <c r="V9" s="547"/>
      <c r="W9" s="543"/>
      <c r="X9" s="543"/>
      <c r="Y9" s="543"/>
      <c r="Z9" s="543"/>
      <c r="AA9" s="544"/>
      <c r="AB9" s="547"/>
      <c r="AC9" s="543"/>
      <c r="AD9" s="543"/>
      <c r="AE9" s="543"/>
      <c r="AF9" s="543"/>
      <c r="AG9" s="544"/>
      <c r="AH9" s="554"/>
      <c r="AI9" s="555"/>
      <c r="AJ9" s="555"/>
      <c r="AK9" s="555"/>
      <c r="AL9" s="555"/>
      <c r="AM9" s="556"/>
      <c r="AN9" s="66"/>
      <c r="AO9" s="501"/>
      <c r="AP9" s="502"/>
      <c r="AQ9" s="502"/>
      <c r="AR9" s="502"/>
      <c r="AS9" s="502"/>
      <c r="AT9" s="503"/>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row>
    <row r="10" spans="1:99" ht="15" customHeight="1" x14ac:dyDescent="0.25">
      <c r="A10" s="66"/>
      <c r="B10" s="496"/>
      <c r="C10" s="496"/>
      <c r="D10" s="497"/>
      <c r="E10" s="537"/>
      <c r="F10" s="538"/>
      <c r="G10" s="538"/>
      <c r="H10" s="538"/>
      <c r="I10" s="539"/>
      <c r="J10" s="547" t="str">
        <f>IF(AND('Riesgos de Gestión'!$P$46="Muy Alta",'Riesgos de Gestión'!$T$46="Leve"),CONCATENATE("R",'Riesgos de Gestión'!$A$46),"")</f>
        <v/>
      </c>
      <c r="K10" s="543"/>
      <c r="L10" s="543" t="str">
        <f>IF(AND('Riesgos de Gestión'!$P$52="Muy Alta",'Riesgos de Gestión'!$T$52="Leve"),CONCATENATE("R",'Riesgos de Gestión'!$A$52),"")</f>
        <v/>
      </c>
      <c r="M10" s="543"/>
      <c r="N10" s="543" t="str">
        <f>IF(AND('Riesgos de Gestión'!$P$58="Muy Alta",'Riesgos de Gestión'!$T$58="Leve"),CONCATENATE("R",'Riesgos de Gestión'!$A$58),"")</f>
        <v/>
      </c>
      <c r="O10" s="544"/>
      <c r="P10" s="547" t="str">
        <f>IF(AND('Riesgos de Gestión'!$P$46="Muy Alta",'Riesgos de Gestión'!$T$46="Menor"),CONCATENATE("R",'Riesgos de Gestión'!$A$46),"")</f>
        <v/>
      </c>
      <c r="Q10" s="543"/>
      <c r="R10" s="543" t="str">
        <f>IF(AND('Riesgos de Gestión'!$P$52="Muy Alta",'Riesgos de Gestión'!$T$52="Menor"),CONCATENATE("R",'Riesgos de Gestión'!$A$52),"")</f>
        <v/>
      </c>
      <c r="S10" s="543"/>
      <c r="T10" s="543" t="str">
        <f>IF(AND('Riesgos de Gestión'!$P$58="Muy Alta",'Riesgos de Gestión'!$T$58="Menor"),CONCATENATE("R",'Riesgos de Gestión'!$A$58),"")</f>
        <v>R9</v>
      </c>
      <c r="U10" s="544"/>
      <c r="V10" s="547" t="str">
        <f>IF(AND('Riesgos de Gestión'!$P$46="Muy Alta",'Riesgos de Gestión'!$T$46="Moderado"),CONCATENATE("R",'Riesgos de Gestión'!$A$46),"")</f>
        <v/>
      </c>
      <c r="W10" s="543"/>
      <c r="X10" s="543" t="str">
        <f>IF(AND('Riesgos de Gestión'!$P$52="Muy Alta",'Riesgos de Gestión'!$T$52="Moderado"),CONCATENATE("R",'Riesgos de Gestión'!$A$52),"")</f>
        <v/>
      </c>
      <c r="Y10" s="543"/>
      <c r="Z10" s="543" t="str">
        <f>IF(AND('Riesgos de Gestión'!$P$58="Muy Alta",'Riesgos de Gestión'!$T$58="Moderado"),CONCATENATE("R",'Riesgos de Gestión'!$A$58),"")</f>
        <v/>
      </c>
      <c r="AA10" s="544"/>
      <c r="AB10" s="547" t="str">
        <f>IF(AND('Riesgos de Gestión'!$P$46="Muy Alta",'Riesgos de Gestión'!$T$46="Mayor"),CONCATENATE("R",'Riesgos de Gestión'!$A$46),"")</f>
        <v/>
      </c>
      <c r="AC10" s="543"/>
      <c r="AD10" s="543" t="str">
        <f>IF(AND('Riesgos de Gestión'!$P$52="Muy Alta",'Riesgos de Gestión'!$T$52="Mayor"),CONCATENATE("R",'Riesgos de Gestión'!$A$52),"")</f>
        <v/>
      </c>
      <c r="AE10" s="543"/>
      <c r="AF10" s="543" t="str">
        <f>IF(AND('Riesgos de Gestión'!$P$58="Muy Alta",'Riesgos de Gestión'!$T$58="Mayor"),CONCATENATE("R",'Riesgos de Gestión'!$A$58),"")</f>
        <v/>
      </c>
      <c r="AG10" s="544"/>
      <c r="AH10" s="554" t="str">
        <f>IF(AND('Riesgos de Gestión'!$P$46="Muy Alta",'Riesgos de Gestión'!$T$46="Catastrófico"),CONCATENATE("R",'Riesgos de Gestión'!$A$46),"")</f>
        <v/>
      </c>
      <c r="AI10" s="555"/>
      <c r="AJ10" s="555" t="str">
        <f>IF(AND('Riesgos de Gestión'!$P$52="Muy Alta",'Riesgos de Gestión'!$T$52="Catastrófico"),CONCATENATE("R",'Riesgos de Gestión'!$A$52),"")</f>
        <v/>
      </c>
      <c r="AK10" s="555"/>
      <c r="AL10" s="555" t="str">
        <f>IF(AND('Riesgos de Gestión'!$P$58="Muy Alta",'Riesgos de Gestión'!$T$58="Catastrófico"),CONCATENATE("R",'Riesgos de Gestión'!$A$58),"")</f>
        <v/>
      </c>
      <c r="AM10" s="556"/>
      <c r="AN10" s="66"/>
      <c r="AO10" s="501"/>
      <c r="AP10" s="502"/>
      <c r="AQ10" s="502"/>
      <c r="AR10" s="502"/>
      <c r="AS10" s="502"/>
      <c r="AT10" s="503"/>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c r="BZ10" s="66"/>
      <c r="CA10" s="66"/>
      <c r="CB10" s="66"/>
    </row>
    <row r="11" spans="1:99" ht="15" customHeight="1" x14ac:dyDescent="0.25">
      <c r="A11" s="66"/>
      <c r="B11" s="496"/>
      <c r="C11" s="496"/>
      <c r="D11" s="497"/>
      <c r="E11" s="537"/>
      <c r="F11" s="538"/>
      <c r="G11" s="538"/>
      <c r="H11" s="538"/>
      <c r="I11" s="539"/>
      <c r="J11" s="547"/>
      <c r="K11" s="543"/>
      <c r="L11" s="543"/>
      <c r="M11" s="543"/>
      <c r="N11" s="543"/>
      <c r="O11" s="544"/>
      <c r="P11" s="547"/>
      <c r="Q11" s="543"/>
      <c r="R11" s="543"/>
      <c r="S11" s="543"/>
      <c r="T11" s="543"/>
      <c r="U11" s="544"/>
      <c r="V11" s="547"/>
      <c r="W11" s="543"/>
      <c r="X11" s="543"/>
      <c r="Y11" s="543"/>
      <c r="Z11" s="543"/>
      <c r="AA11" s="544"/>
      <c r="AB11" s="547"/>
      <c r="AC11" s="543"/>
      <c r="AD11" s="543"/>
      <c r="AE11" s="543"/>
      <c r="AF11" s="543"/>
      <c r="AG11" s="544"/>
      <c r="AH11" s="554"/>
      <c r="AI11" s="555"/>
      <c r="AJ11" s="555"/>
      <c r="AK11" s="555"/>
      <c r="AL11" s="555"/>
      <c r="AM11" s="556"/>
      <c r="AN11" s="66"/>
      <c r="AO11" s="501"/>
      <c r="AP11" s="502"/>
      <c r="AQ11" s="502"/>
      <c r="AR11" s="502"/>
      <c r="AS11" s="502"/>
      <c r="AT11" s="503"/>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c r="BY11" s="66"/>
      <c r="BZ11" s="66"/>
      <c r="CA11" s="66"/>
      <c r="CB11" s="66"/>
    </row>
    <row r="12" spans="1:99" ht="15" customHeight="1" x14ac:dyDescent="0.25">
      <c r="A12" s="66"/>
      <c r="B12" s="496"/>
      <c r="C12" s="496"/>
      <c r="D12" s="497"/>
      <c r="E12" s="537"/>
      <c r="F12" s="538"/>
      <c r="G12" s="538"/>
      <c r="H12" s="538"/>
      <c r="I12" s="539"/>
      <c r="J12" s="547" t="str">
        <f>IF(AND('Riesgos de Gestión'!$P$66="Muy Alta",'Riesgos de Gestión'!$T$66="Leve"),CONCATENATE("R",'Riesgos de Gestión'!$A$66),"")</f>
        <v/>
      </c>
      <c r="K12" s="543"/>
      <c r="L12" s="543" t="e">
        <f>IF(AND('Riesgos de Gestión'!#REF!="Muy Alta",'Riesgos de Gestión'!#REF!="Leve"),CONCATENATE("R",'Riesgos de Gestión'!#REF!),"")</f>
        <v>#REF!</v>
      </c>
      <c r="M12" s="543"/>
      <c r="N12" s="543" t="e">
        <f>IF(AND('Riesgos de Gestión'!#REF!="Muy Alta",'Riesgos de Gestión'!#REF!="Leve"),CONCATENATE("R",'Riesgos de Gestión'!#REF!),"")</f>
        <v>#REF!</v>
      </c>
      <c r="O12" s="544"/>
      <c r="P12" s="547" t="str">
        <f>IF(AND('Riesgos de Gestión'!$P$66="Muy Alta",'Riesgos de Gestión'!$T$66="Menor"),CONCATENATE("R",'Riesgos de Gestión'!$A$66),"")</f>
        <v/>
      </c>
      <c r="Q12" s="543"/>
      <c r="R12" s="543" t="e">
        <f>IF(AND('Riesgos de Gestión'!#REF!="Muy Alta",'Riesgos de Gestión'!#REF!="Menor"),CONCATENATE("R",'Riesgos de Gestión'!#REF!),"")</f>
        <v>#REF!</v>
      </c>
      <c r="S12" s="543"/>
      <c r="T12" s="543" t="e">
        <f>IF(AND('Riesgos de Gestión'!#REF!="Muy Alta",'Riesgos de Gestión'!#REF!="Menor"),CONCATENATE("R",'Riesgos de Gestión'!#REF!),"")</f>
        <v>#REF!</v>
      </c>
      <c r="U12" s="544"/>
      <c r="V12" s="547" t="str">
        <f>IF(AND('Riesgos de Gestión'!$P$66="Muy Alta",'Riesgos de Gestión'!$T$66="Moderado"),CONCATENATE("R",'Riesgos de Gestión'!$A$66),"")</f>
        <v/>
      </c>
      <c r="W12" s="543"/>
      <c r="X12" s="543" t="e">
        <f>IF(AND('Riesgos de Gestión'!#REF!="Muy Alta",'Riesgos de Gestión'!#REF!="Moderado"),CONCATENATE("R",'Riesgos de Gestión'!#REF!),"")</f>
        <v>#REF!</v>
      </c>
      <c r="Y12" s="543"/>
      <c r="Z12" s="543" t="e">
        <f>IF(AND('Riesgos de Gestión'!#REF!="Muy Alta",'Riesgos de Gestión'!#REF!="Moderado"),CONCATENATE("R",'Riesgos de Gestión'!#REF!),"")</f>
        <v>#REF!</v>
      </c>
      <c r="AA12" s="544"/>
      <c r="AB12" s="547" t="str">
        <f>IF(AND('Riesgos de Gestión'!$P$66="Muy Alta",'Riesgos de Gestión'!$T$66="Mayor"),CONCATENATE("R",'Riesgos de Gestión'!$A$66),"")</f>
        <v/>
      </c>
      <c r="AC12" s="543"/>
      <c r="AD12" s="543" t="e">
        <f>IF(AND('Riesgos de Gestión'!#REF!="Muy Alta",'Riesgos de Gestión'!#REF!="Mayor"),CONCATENATE("R",'Riesgos de Gestión'!#REF!),"")</f>
        <v>#REF!</v>
      </c>
      <c r="AE12" s="543"/>
      <c r="AF12" s="543" t="e">
        <f>IF(AND('Riesgos de Gestión'!#REF!="Muy Alta",'Riesgos de Gestión'!#REF!="Mayor"),CONCATENATE("R",'Riesgos de Gestión'!#REF!),"")</f>
        <v>#REF!</v>
      </c>
      <c r="AG12" s="544"/>
      <c r="AH12" s="554" t="str">
        <f>IF(AND('Riesgos de Gestión'!$P$66="Muy Alta",'Riesgos de Gestión'!$T$66="Catastrófico"),CONCATENATE("R",'Riesgos de Gestión'!$A$66),"")</f>
        <v/>
      </c>
      <c r="AI12" s="555"/>
      <c r="AJ12" s="555" t="e">
        <f>IF(AND('Riesgos de Gestión'!#REF!="Muy Alta",'Riesgos de Gestión'!#REF!="Catastrófico"),CONCATENATE("R",'Riesgos de Gestión'!#REF!),"")</f>
        <v>#REF!</v>
      </c>
      <c r="AK12" s="555"/>
      <c r="AL12" s="555" t="e">
        <f>IF(AND('Riesgos de Gestión'!#REF!="Muy Alta",'Riesgos de Gestión'!#REF!="Catastrófico"),CONCATENATE("R",'Riesgos de Gestión'!#REF!),"")</f>
        <v>#REF!</v>
      </c>
      <c r="AM12" s="556"/>
      <c r="AN12" s="66"/>
      <c r="AO12" s="501"/>
      <c r="AP12" s="502"/>
      <c r="AQ12" s="502"/>
      <c r="AR12" s="502"/>
      <c r="AS12" s="502"/>
      <c r="AT12" s="503"/>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row>
    <row r="13" spans="1:99" ht="15.75" customHeight="1" thickBot="1" x14ac:dyDescent="0.3">
      <c r="A13" s="66"/>
      <c r="B13" s="496"/>
      <c r="C13" s="496"/>
      <c r="D13" s="497"/>
      <c r="E13" s="540"/>
      <c r="F13" s="541"/>
      <c r="G13" s="541"/>
      <c r="H13" s="541"/>
      <c r="I13" s="542"/>
      <c r="J13" s="547"/>
      <c r="K13" s="543"/>
      <c r="L13" s="543"/>
      <c r="M13" s="543"/>
      <c r="N13" s="543"/>
      <c r="O13" s="544"/>
      <c r="P13" s="547"/>
      <c r="Q13" s="543"/>
      <c r="R13" s="543"/>
      <c r="S13" s="543"/>
      <c r="T13" s="543"/>
      <c r="U13" s="544"/>
      <c r="V13" s="547"/>
      <c r="W13" s="543"/>
      <c r="X13" s="543"/>
      <c r="Y13" s="543"/>
      <c r="Z13" s="543"/>
      <c r="AA13" s="544"/>
      <c r="AB13" s="547"/>
      <c r="AC13" s="543"/>
      <c r="AD13" s="543"/>
      <c r="AE13" s="543"/>
      <c r="AF13" s="543"/>
      <c r="AG13" s="544"/>
      <c r="AH13" s="557"/>
      <c r="AI13" s="558"/>
      <c r="AJ13" s="558"/>
      <c r="AK13" s="558"/>
      <c r="AL13" s="558"/>
      <c r="AM13" s="559"/>
      <c r="AN13" s="66"/>
      <c r="AO13" s="504"/>
      <c r="AP13" s="505"/>
      <c r="AQ13" s="505"/>
      <c r="AR13" s="505"/>
      <c r="AS13" s="505"/>
      <c r="AT13" s="506"/>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c r="BY13" s="66"/>
      <c r="BZ13" s="66"/>
      <c r="CA13" s="66"/>
      <c r="CB13" s="66"/>
    </row>
    <row r="14" spans="1:99" ht="15" customHeight="1" x14ac:dyDescent="0.25">
      <c r="A14" s="66"/>
      <c r="B14" s="496"/>
      <c r="C14" s="496"/>
      <c r="D14" s="497"/>
      <c r="E14" s="534" t="s">
        <v>403</v>
      </c>
      <c r="F14" s="535"/>
      <c r="G14" s="535"/>
      <c r="H14" s="535"/>
      <c r="I14" s="535"/>
      <c r="J14" s="569" t="str">
        <f>IF(AND('Riesgos de Gestión'!$P$10="Alta",'Riesgos de Gestión'!$T$10="Leve"),CONCATENATE("R",'Riesgos de Gestión'!$A$10),"")</f>
        <v/>
      </c>
      <c r="K14" s="570"/>
      <c r="L14" s="570" t="str">
        <f>IF(AND('Riesgos de Gestión'!$P$16="Alta",'Riesgos de Gestión'!$T$16="Leve"),CONCATENATE("R",'Riesgos de Gestión'!$A$16),"")</f>
        <v/>
      </c>
      <c r="M14" s="570"/>
      <c r="N14" s="570" t="str">
        <f>IF(AND('Riesgos de Gestión'!$P$22="Alta",'Riesgos de Gestión'!$T$22="Leve"),CONCATENATE("R",'Riesgos de Gestión'!$A$22),"")</f>
        <v/>
      </c>
      <c r="O14" s="571"/>
      <c r="P14" s="569" t="str">
        <f>IF(AND('Riesgos de Gestión'!$P$10="Alta",'Riesgos de Gestión'!$T$10="Menor"),CONCATENATE("R",'Riesgos de Gestión'!$A$10),"")</f>
        <v/>
      </c>
      <c r="Q14" s="570"/>
      <c r="R14" s="570" t="str">
        <f>IF(AND('Riesgos de Gestión'!$P$16="Alta",'Riesgos de Gestión'!$T$16="Menor"),CONCATENATE("R",'Riesgos de Gestión'!$A$16),"")</f>
        <v/>
      </c>
      <c r="S14" s="570"/>
      <c r="T14" s="570" t="str">
        <f>IF(AND('Riesgos de Gestión'!$P$22="Alta",'Riesgos de Gestión'!$T$22="Menor"),CONCATENATE("R",'Riesgos de Gestión'!$A$22),"")</f>
        <v/>
      </c>
      <c r="U14" s="571"/>
      <c r="V14" s="545" t="str">
        <f>IF(AND('Riesgos de Gestión'!$P$10="Alta",'Riesgos de Gestión'!$T$10="Moderado"),CONCATENATE("R",'Riesgos de Gestión'!$A$10),"")</f>
        <v/>
      </c>
      <c r="W14" s="546"/>
      <c r="X14" s="546" t="str">
        <f>IF(AND('Riesgos de Gestión'!$P$16="Alta",'Riesgos de Gestión'!$T$16="Moderado"),CONCATENATE("R",'Riesgos de Gestión'!$A$16),"")</f>
        <v/>
      </c>
      <c r="Y14" s="546"/>
      <c r="Z14" s="546" t="str">
        <f>IF(AND('Riesgos de Gestión'!$P$22="Alta",'Riesgos de Gestión'!$T$22="Moderado"),CONCATENATE("R",'Riesgos de Gestión'!$A$22),"")</f>
        <v/>
      </c>
      <c r="AA14" s="548"/>
      <c r="AB14" s="545" t="str">
        <f>IF(AND('Riesgos de Gestión'!$P$10="Alta",'Riesgos de Gestión'!$T$10="Mayor"),CONCATENATE("R",'Riesgos de Gestión'!$A$10),"")</f>
        <v/>
      </c>
      <c r="AC14" s="546"/>
      <c r="AD14" s="546" t="str">
        <f>IF(AND('Riesgos de Gestión'!$P$16="Alta",'Riesgos de Gestión'!$T$16="Mayor"),CONCATENATE("R",'Riesgos de Gestión'!$A$16),"")</f>
        <v/>
      </c>
      <c r="AE14" s="546"/>
      <c r="AF14" s="546" t="str">
        <f>IF(AND('Riesgos de Gestión'!$P$22="Alta",'Riesgos de Gestión'!$T$22="Mayor"),CONCATENATE("R",'Riesgos de Gestión'!$A$22),"")</f>
        <v/>
      </c>
      <c r="AG14" s="548"/>
      <c r="AH14" s="560" t="str">
        <f>IF(AND('Riesgos de Gestión'!$P$10="Alta",'Riesgos de Gestión'!$T$10="Catastrófico"),CONCATENATE("R",'Riesgos de Gestión'!$A$10),"")</f>
        <v/>
      </c>
      <c r="AI14" s="561"/>
      <c r="AJ14" s="561" t="str">
        <f>IF(AND('Riesgos de Gestión'!$P$16="Alta",'Riesgos de Gestión'!$T$16="Catastrófico"),CONCATENATE("R",'Riesgos de Gestión'!$A$16),"")</f>
        <v/>
      </c>
      <c r="AK14" s="561"/>
      <c r="AL14" s="561" t="str">
        <f>IF(AND('Riesgos de Gestión'!$P$22="Alta",'Riesgos de Gestión'!$T$22="Catastrófico"),CONCATENATE("R",'Riesgos de Gestión'!$A$22),"")</f>
        <v/>
      </c>
      <c r="AM14" s="562"/>
      <c r="AN14" s="66"/>
      <c r="AO14" s="507" t="s">
        <v>404</v>
      </c>
      <c r="AP14" s="508"/>
      <c r="AQ14" s="508"/>
      <c r="AR14" s="508"/>
      <c r="AS14" s="508"/>
      <c r="AT14" s="509"/>
      <c r="AU14" s="66"/>
      <c r="AV14" s="66"/>
      <c r="AW14" s="66"/>
      <c r="AX14" s="66"/>
      <c r="AY14" s="66"/>
      <c r="AZ14" s="66"/>
      <c r="BA14" s="66"/>
      <c r="BB14" s="66"/>
      <c r="BC14" s="66"/>
      <c r="BD14" s="66"/>
      <c r="BE14" s="66"/>
      <c r="BF14" s="66"/>
      <c r="BG14" s="66"/>
      <c r="BH14" s="66"/>
      <c r="BI14" s="66"/>
      <c r="BJ14" s="66"/>
      <c r="BK14" s="66"/>
      <c r="BL14" s="66"/>
      <c r="BM14" s="66"/>
      <c r="BN14" s="66"/>
      <c r="BO14" s="66"/>
      <c r="BP14" s="66"/>
      <c r="BQ14" s="66"/>
      <c r="BR14" s="66"/>
      <c r="BS14" s="66"/>
      <c r="BT14" s="66"/>
      <c r="BU14" s="66"/>
      <c r="BV14" s="66"/>
      <c r="BW14" s="66"/>
      <c r="BX14" s="66"/>
      <c r="BY14" s="66"/>
      <c r="BZ14" s="66"/>
      <c r="CA14" s="66"/>
      <c r="CB14" s="66"/>
    </row>
    <row r="15" spans="1:99" ht="15" customHeight="1" x14ac:dyDescent="0.25">
      <c r="A15" s="66"/>
      <c r="B15" s="496"/>
      <c r="C15" s="496"/>
      <c r="D15" s="497"/>
      <c r="E15" s="537"/>
      <c r="F15" s="538"/>
      <c r="G15" s="538"/>
      <c r="H15" s="538"/>
      <c r="I15" s="538"/>
      <c r="J15" s="563"/>
      <c r="K15" s="564"/>
      <c r="L15" s="564"/>
      <c r="M15" s="564"/>
      <c r="N15" s="564"/>
      <c r="O15" s="565"/>
      <c r="P15" s="563"/>
      <c r="Q15" s="564"/>
      <c r="R15" s="564"/>
      <c r="S15" s="564"/>
      <c r="T15" s="564"/>
      <c r="U15" s="565"/>
      <c r="V15" s="547"/>
      <c r="W15" s="543"/>
      <c r="X15" s="543"/>
      <c r="Y15" s="543"/>
      <c r="Z15" s="543"/>
      <c r="AA15" s="544"/>
      <c r="AB15" s="547"/>
      <c r="AC15" s="543"/>
      <c r="AD15" s="543"/>
      <c r="AE15" s="543"/>
      <c r="AF15" s="543"/>
      <c r="AG15" s="544"/>
      <c r="AH15" s="554"/>
      <c r="AI15" s="555"/>
      <c r="AJ15" s="555"/>
      <c r="AK15" s="555"/>
      <c r="AL15" s="555"/>
      <c r="AM15" s="556"/>
      <c r="AN15" s="66"/>
      <c r="AO15" s="510"/>
      <c r="AP15" s="511"/>
      <c r="AQ15" s="511"/>
      <c r="AR15" s="511"/>
      <c r="AS15" s="511"/>
      <c r="AT15" s="512"/>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c r="BY15" s="66"/>
      <c r="BZ15" s="66"/>
      <c r="CA15" s="66"/>
      <c r="CB15" s="66"/>
    </row>
    <row r="16" spans="1:99" ht="15" customHeight="1" x14ac:dyDescent="0.25">
      <c r="A16" s="66"/>
      <c r="B16" s="496"/>
      <c r="C16" s="496"/>
      <c r="D16" s="497"/>
      <c r="E16" s="537"/>
      <c r="F16" s="538"/>
      <c r="G16" s="538"/>
      <c r="H16" s="538"/>
      <c r="I16" s="538"/>
      <c r="J16" s="563" t="str">
        <f>IF(AND('Riesgos de Gestión'!$P$28="Alta",'Riesgos de Gestión'!$T$28="Leve"),CONCATENATE("R",'Riesgos de Gestión'!$A$28),"")</f>
        <v/>
      </c>
      <c r="K16" s="564"/>
      <c r="L16" s="564" t="str">
        <f>IF(AND('Riesgos de Gestión'!$P$34="Alta",'Riesgos de Gestión'!$T$34="Leve"),CONCATENATE("R",'Riesgos de Gestión'!$A$34),"")</f>
        <v/>
      </c>
      <c r="M16" s="564"/>
      <c r="N16" s="564" t="str">
        <f>IF(AND('Riesgos de Gestión'!$P$40="Alta",'Riesgos de Gestión'!$T$40="Leve"),CONCATENATE("R",'Riesgos de Gestión'!$A$40),"")</f>
        <v/>
      </c>
      <c r="O16" s="565"/>
      <c r="P16" s="563" t="str">
        <f>IF(AND('Riesgos de Gestión'!$P$28="Alta",'Riesgos de Gestión'!$T$28="Menor"),CONCATENATE("R",'Riesgos de Gestión'!$A$28),"")</f>
        <v/>
      </c>
      <c r="Q16" s="564"/>
      <c r="R16" s="564" t="str">
        <f>IF(AND('Riesgos de Gestión'!$P$34="Alta",'Riesgos de Gestión'!$T$34="Menor"),CONCATENATE("R",'Riesgos de Gestión'!$A$34),"")</f>
        <v/>
      </c>
      <c r="S16" s="564"/>
      <c r="T16" s="564" t="str">
        <f>IF(AND('Riesgos de Gestión'!$P$40="Alta",'Riesgos de Gestión'!$T$40="Menor"),CONCATENATE("R",'Riesgos de Gestión'!$A$40),"")</f>
        <v/>
      </c>
      <c r="U16" s="565"/>
      <c r="V16" s="547" t="str">
        <f>IF(AND('Riesgos de Gestión'!$P$28="Alta",'Riesgos de Gestión'!$T$28="Moderado"),CONCATENATE("R",'Riesgos de Gestión'!$A$28),"")</f>
        <v/>
      </c>
      <c r="W16" s="543"/>
      <c r="X16" s="543" t="str">
        <f>IF(AND('Riesgos de Gestión'!$P$34="Alta",'Riesgos de Gestión'!$T$34="Moderado"),CONCATENATE("R",'Riesgos de Gestión'!$A$34),"")</f>
        <v/>
      </c>
      <c r="Y16" s="543"/>
      <c r="Z16" s="543" t="str">
        <f>IF(AND('Riesgos de Gestión'!$P$40="Alta",'Riesgos de Gestión'!$T$40="Moderado"),CONCATENATE("R",'Riesgos de Gestión'!$A$40),"")</f>
        <v/>
      </c>
      <c r="AA16" s="544"/>
      <c r="AB16" s="547" t="str">
        <f>IF(AND('Riesgos de Gestión'!$P$28="Alta",'Riesgos de Gestión'!$T$28="Mayor"),CONCATENATE("R",'Riesgos de Gestión'!$A$28),"")</f>
        <v/>
      </c>
      <c r="AC16" s="543"/>
      <c r="AD16" s="543" t="str">
        <f>IF(AND('Riesgos de Gestión'!$P$34="Alta",'Riesgos de Gestión'!$T$34="Mayor"),CONCATENATE("R",'Riesgos de Gestión'!$A$34),"")</f>
        <v/>
      </c>
      <c r="AE16" s="543"/>
      <c r="AF16" s="543" t="str">
        <f>IF(AND('Riesgos de Gestión'!$P$40="Alta",'Riesgos de Gestión'!$T$40="Mayor"),CONCATENATE("R",'Riesgos de Gestión'!$A$40),"")</f>
        <v/>
      </c>
      <c r="AG16" s="544"/>
      <c r="AH16" s="554" t="str">
        <f>IF(AND('Riesgos de Gestión'!$P$28="Alta",'Riesgos de Gestión'!$T$28="Catastrófico"),CONCATENATE("R",'Riesgos de Gestión'!$A$28),"")</f>
        <v/>
      </c>
      <c r="AI16" s="555"/>
      <c r="AJ16" s="555" t="str">
        <f>IF(AND('Riesgos de Gestión'!$P$34="Alta",'Riesgos de Gestión'!$T$34="Catastrófico"),CONCATENATE("R",'Riesgos de Gestión'!$A$34),"")</f>
        <v/>
      </c>
      <c r="AK16" s="555"/>
      <c r="AL16" s="555" t="str">
        <f>IF(AND('Riesgos de Gestión'!$P$40="Alta",'Riesgos de Gestión'!$T$40="Catastrófico"),CONCATENATE("R",'Riesgos de Gestión'!$A$40),"")</f>
        <v/>
      </c>
      <c r="AM16" s="556"/>
      <c r="AN16" s="66"/>
      <c r="AO16" s="510"/>
      <c r="AP16" s="511"/>
      <c r="AQ16" s="511"/>
      <c r="AR16" s="511"/>
      <c r="AS16" s="511"/>
      <c r="AT16" s="512"/>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c r="BY16" s="66"/>
      <c r="BZ16" s="66"/>
      <c r="CA16" s="66"/>
      <c r="CB16" s="66"/>
    </row>
    <row r="17" spans="1:80" ht="15" customHeight="1" x14ac:dyDescent="0.25">
      <c r="A17" s="66"/>
      <c r="B17" s="496"/>
      <c r="C17" s="496"/>
      <c r="D17" s="497"/>
      <c r="E17" s="537"/>
      <c r="F17" s="538"/>
      <c r="G17" s="538"/>
      <c r="H17" s="538"/>
      <c r="I17" s="538"/>
      <c r="J17" s="563"/>
      <c r="K17" s="564"/>
      <c r="L17" s="564"/>
      <c r="M17" s="564"/>
      <c r="N17" s="564"/>
      <c r="O17" s="565"/>
      <c r="P17" s="563"/>
      <c r="Q17" s="564"/>
      <c r="R17" s="564"/>
      <c r="S17" s="564"/>
      <c r="T17" s="564"/>
      <c r="U17" s="565"/>
      <c r="V17" s="547"/>
      <c r="W17" s="543"/>
      <c r="X17" s="543"/>
      <c r="Y17" s="543"/>
      <c r="Z17" s="543"/>
      <c r="AA17" s="544"/>
      <c r="AB17" s="547"/>
      <c r="AC17" s="543"/>
      <c r="AD17" s="543"/>
      <c r="AE17" s="543"/>
      <c r="AF17" s="543"/>
      <c r="AG17" s="544"/>
      <c r="AH17" s="554"/>
      <c r="AI17" s="555"/>
      <c r="AJ17" s="555"/>
      <c r="AK17" s="555"/>
      <c r="AL17" s="555"/>
      <c r="AM17" s="556"/>
      <c r="AN17" s="66"/>
      <c r="AO17" s="510"/>
      <c r="AP17" s="511"/>
      <c r="AQ17" s="511"/>
      <c r="AR17" s="511"/>
      <c r="AS17" s="511"/>
      <c r="AT17" s="512"/>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c r="BY17" s="66"/>
      <c r="BZ17" s="66"/>
      <c r="CA17" s="66"/>
      <c r="CB17" s="66"/>
    </row>
    <row r="18" spans="1:80" ht="15" customHeight="1" x14ac:dyDescent="0.25">
      <c r="A18" s="66"/>
      <c r="B18" s="496"/>
      <c r="C18" s="496"/>
      <c r="D18" s="497"/>
      <c r="E18" s="537"/>
      <c r="F18" s="538"/>
      <c r="G18" s="538"/>
      <c r="H18" s="538"/>
      <c r="I18" s="538"/>
      <c r="J18" s="563" t="str">
        <f>IF(AND('Riesgos de Gestión'!$P$46="Alta",'Riesgos de Gestión'!$T$46="Leve"),CONCATENATE("R",'Riesgos de Gestión'!$A$46),"")</f>
        <v/>
      </c>
      <c r="K18" s="564"/>
      <c r="L18" s="564" t="str">
        <f>IF(AND('Riesgos de Gestión'!$P$52="Alta",'Riesgos de Gestión'!$T$52="Leve"),CONCATENATE("R",'Riesgos de Gestión'!$A$52),"")</f>
        <v/>
      </c>
      <c r="M18" s="564"/>
      <c r="N18" s="564" t="str">
        <f>IF(AND('Riesgos de Gestión'!$P$58="Alta",'Riesgos de Gestión'!$T$58="Leve"),CONCATENATE("R",'Riesgos de Gestión'!$A$58),"")</f>
        <v/>
      </c>
      <c r="O18" s="565"/>
      <c r="P18" s="563" t="str">
        <f>IF(AND('Riesgos de Gestión'!$P$46="Alta",'Riesgos de Gestión'!$T$46="Menor"),CONCATENATE("R",'Riesgos de Gestión'!$A$46),"")</f>
        <v/>
      </c>
      <c r="Q18" s="564"/>
      <c r="R18" s="564" t="str">
        <f>IF(AND('Riesgos de Gestión'!$P$52="Alta",'Riesgos de Gestión'!$T$52="Menor"),CONCATENATE("R",'Riesgos de Gestión'!$A$52),"")</f>
        <v/>
      </c>
      <c r="S18" s="564"/>
      <c r="T18" s="564" t="str">
        <f>IF(AND('Riesgos de Gestión'!$P$58="Alta",'Riesgos de Gestión'!$T$58="Menor"),CONCATENATE("R",'Riesgos de Gestión'!$A$58),"")</f>
        <v/>
      </c>
      <c r="U18" s="565"/>
      <c r="V18" s="547" t="str">
        <f>IF(AND('Riesgos de Gestión'!$P$46="Alta",'Riesgos de Gestión'!$T$46="Moderado"),CONCATENATE("R",'Riesgos de Gestión'!$A$46),"")</f>
        <v/>
      </c>
      <c r="W18" s="543"/>
      <c r="X18" s="543" t="str">
        <f>IF(AND('Riesgos de Gestión'!$P$52="Alta",'Riesgos de Gestión'!$T$52="Moderado"),CONCATENATE("R",'Riesgos de Gestión'!$A$52),"")</f>
        <v/>
      </c>
      <c r="Y18" s="543"/>
      <c r="Z18" s="543" t="str">
        <f>IF(AND('Riesgos de Gestión'!$P$58="Alta",'Riesgos de Gestión'!$T$58="Moderado"),CONCATENATE("R",'Riesgos de Gestión'!$A$58),"")</f>
        <v/>
      </c>
      <c r="AA18" s="544"/>
      <c r="AB18" s="547" t="str">
        <f>IF(AND('Riesgos de Gestión'!$P$46="Alta",'Riesgos de Gestión'!$T$46="Mayor"),CONCATENATE("R",'Riesgos de Gestión'!$A$46),"")</f>
        <v/>
      </c>
      <c r="AC18" s="543"/>
      <c r="AD18" s="543" t="str">
        <f>IF(AND('Riesgos de Gestión'!$P$52="Alta",'Riesgos de Gestión'!$T$52="Mayor"),CONCATENATE("R",'Riesgos de Gestión'!$A$52),"")</f>
        <v/>
      </c>
      <c r="AE18" s="543"/>
      <c r="AF18" s="543" t="str">
        <f>IF(AND('Riesgos de Gestión'!$P$58="Alta",'Riesgos de Gestión'!$T$58="Mayor"),CONCATENATE("R",'Riesgos de Gestión'!$A$58),"")</f>
        <v/>
      </c>
      <c r="AG18" s="544"/>
      <c r="AH18" s="554" t="str">
        <f>IF(AND('Riesgos de Gestión'!$P$46="Alta",'Riesgos de Gestión'!$T$46="Catastrófico"),CONCATENATE("R",'Riesgos de Gestión'!$A$46),"")</f>
        <v/>
      </c>
      <c r="AI18" s="555"/>
      <c r="AJ18" s="555" t="str">
        <f>IF(AND('Riesgos de Gestión'!$P$52="Alta",'Riesgos de Gestión'!$T$52="Catastrófico"),CONCATENATE("R",'Riesgos de Gestión'!$A$52),"")</f>
        <v/>
      </c>
      <c r="AK18" s="555"/>
      <c r="AL18" s="555" t="str">
        <f>IF(AND('Riesgos de Gestión'!$P$58="Alta",'Riesgos de Gestión'!$T$58="Catastrófico"),CONCATENATE("R",'Riesgos de Gestión'!$A$58),"")</f>
        <v/>
      </c>
      <c r="AM18" s="556"/>
      <c r="AN18" s="66"/>
      <c r="AO18" s="510"/>
      <c r="AP18" s="511"/>
      <c r="AQ18" s="511"/>
      <c r="AR18" s="511"/>
      <c r="AS18" s="511"/>
      <c r="AT18" s="512"/>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row>
    <row r="19" spans="1:80" ht="15" customHeight="1" x14ac:dyDescent="0.25">
      <c r="A19" s="66"/>
      <c r="B19" s="496"/>
      <c r="C19" s="496"/>
      <c r="D19" s="497"/>
      <c r="E19" s="537"/>
      <c r="F19" s="538"/>
      <c r="G19" s="538"/>
      <c r="H19" s="538"/>
      <c r="I19" s="538"/>
      <c r="J19" s="563"/>
      <c r="K19" s="564"/>
      <c r="L19" s="564"/>
      <c r="M19" s="564"/>
      <c r="N19" s="564"/>
      <c r="O19" s="565"/>
      <c r="P19" s="563"/>
      <c r="Q19" s="564"/>
      <c r="R19" s="564"/>
      <c r="S19" s="564"/>
      <c r="T19" s="564"/>
      <c r="U19" s="565"/>
      <c r="V19" s="547"/>
      <c r="W19" s="543"/>
      <c r="X19" s="543"/>
      <c r="Y19" s="543"/>
      <c r="Z19" s="543"/>
      <c r="AA19" s="544"/>
      <c r="AB19" s="547"/>
      <c r="AC19" s="543"/>
      <c r="AD19" s="543"/>
      <c r="AE19" s="543"/>
      <c r="AF19" s="543"/>
      <c r="AG19" s="544"/>
      <c r="AH19" s="554"/>
      <c r="AI19" s="555"/>
      <c r="AJ19" s="555"/>
      <c r="AK19" s="555"/>
      <c r="AL19" s="555"/>
      <c r="AM19" s="556"/>
      <c r="AN19" s="66"/>
      <c r="AO19" s="510"/>
      <c r="AP19" s="511"/>
      <c r="AQ19" s="511"/>
      <c r="AR19" s="511"/>
      <c r="AS19" s="511"/>
      <c r="AT19" s="512"/>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row>
    <row r="20" spans="1:80" ht="15" customHeight="1" x14ac:dyDescent="0.25">
      <c r="A20" s="66"/>
      <c r="B20" s="496"/>
      <c r="C20" s="496"/>
      <c r="D20" s="497"/>
      <c r="E20" s="537"/>
      <c r="F20" s="538"/>
      <c r="G20" s="538"/>
      <c r="H20" s="538"/>
      <c r="I20" s="538"/>
      <c r="J20" s="563" t="str">
        <f>IF(AND('Riesgos de Gestión'!$P$66="Alta",'Riesgos de Gestión'!$T$66="Leve"),CONCATENATE("R",'Riesgos de Gestión'!$A$66),"")</f>
        <v/>
      </c>
      <c r="K20" s="564"/>
      <c r="L20" s="564" t="e">
        <f>IF(AND('Riesgos de Gestión'!#REF!="Alta",'Riesgos de Gestión'!#REF!="Leve"),CONCATENATE("R",'Riesgos de Gestión'!#REF!),"")</f>
        <v>#REF!</v>
      </c>
      <c r="M20" s="564"/>
      <c r="N20" s="564" t="e">
        <f>IF(AND('Riesgos de Gestión'!#REF!="Alta",'Riesgos de Gestión'!#REF!="Leve"),CONCATENATE("R",'Riesgos de Gestión'!#REF!),"")</f>
        <v>#REF!</v>
      </c>
      <c r="O20" s="565"/>
      <c r="P20" s="563" t="str">
        <f>IF(AND('Riesgos de Gestión'!$P$66="Alta",'Riesgos de Gestión'!$T$66="Menor"),CONCATENATE("R",'Riesgos de Gestión'!$A$66),"")</f>
        <v/>
      </c>
      <c r="Q20" s="564"/>
      <c r="R20" s="564" t="e">
        <f>IF(AND('Riesgos de Gestión'!#REF!="Alta",'Riesgos de Gestión'!#REF!="Menor"),CONCATENATE("R",'Riesgos de Gestión'!#REF!),"")</f>
        <v>#REF!</v>
      </c>
      <c r="S20" s="564"/>
      <c r="T20" s="564" t="e">
        <f>IF(AND('Riesgos de Gestión'!#REF!="Alta",'Riesgos de Gestión'!#REF!="Menor"),CONCATENATE("R",'Riesgos de Gestión'!#REF!),"")</f>
        <v>#REF!</v>
      </c>
      <c r="U20" s="565"/>
      <c r="V20" s="547" t="str">
        <f>IF(AND('Riesgos de Gestión'!$P$66="Alta",'Riesgos de Gestión'!$T$66="Moderado"),CONCATENATE("R",'Riesgos de Gestión'!$A$66),"")</f>
        <v/>
      </c>
      <c r="W20" s="543"/>
      <c r="X20" s="543" t="e">
        <f>IF(AND('Riesgos de Gestión'!#REF!="Alta",'Riesgos de Gestión'!#REF!="Moderado"),CONCATENATE("R",'Riesgos de Gestión'!#REF!),"")</f>
        <v>#REF!</v>
      </c>
      <c r="Y20" s="543"/>
      <c r="Z20" s="543" t="e">
        <f>IF(AND('Riesgos de Gestión'!#REF!="Alta",'Riesgos de Gestión'!#REF!="Moderado"),CONCATENATE("R",'Riesgos de Gestión'!#REF!),"")</f>
        <v>#REF!</v>
      </c>
      <c r="AA20" s="544"/>
      <c r="AB20" s="547" t="str">
        <f>IF(AND('Riesgos de Gestión'!$P$66="Alta",'Riesgos de Gestión'!$T$66="Mayor"),CONCATENATE("R",'Riesgos de Gestión'!$A$66),"")</f>
        <v/>
      </c>
      <c r="AC20" s="543"/>
      <c r="AD20" s="543" t="e">
        <f>IF(AND('Riesgos de Gestión'!#REF!="Alta",'Riesgos de Gestión'!#REF!="Mayor"),CONCATENATE("R",'Riesgos de Gestión'!#REF!),"")</f>
        <v>#REF!</v>
      </c>
      <c r="AE20" s="543"/>
      <c r="AF20" s="543" t="e">
        <f>IF(AND('Riesgos de Gestión'!#REF!="Alta",'Riesgos de Gestión'!#REF!="Mayor"),CONCATENATE("R",'Riesgos de Gestión'!#REF!),"")</f>
        <v>#REF!</v>
      </c>
      <c r="AG20" s="544"/>
      <c r="AH20" s="554" t="str">
        <f>IF(AND('Riesgos de Gestión'!$P$66="Alta",'Riesgos de Gestión'!$T$66="Catastrófico"),CONCATENATE("R",'Riesgos de Gestión'!$A$66),"")</f>
        <v/>
      </c>
      <c r="AI20" s="555"/>
      <c r="AJ20" s="555" t="e">
        <f>IF(AND('Riesgos de Gestión'!#REF!="Alta",'Riesgos de Gestión'!#REF!="Catastrófico"),CONCATENATE("R",'Riesgos de Gestión'!#REF!),"")</f>
        <v>#REF!</v>
      </c>
      <c r="AK20" s="555"/>
      <c r="AL20" s="555" t="e">
        <f>IF(AND('Riesgos de Gestión'!#REF!="Alta",'Riesgos de Gestión'!#REF!="Catastrófico"),CONCATENATE("R",'Riesgos de Gestión'!#REF!),"")</f>
        <v>#REF!</v>
      </c>
      <c r="AM20" s="556"/>
      <c r="AN20" s="66"/>
      <c r="AO20" s="510"/>
      <c r="AP20" s="511"/>
      <c r="AQ20" s="511"/>
      <c r="AR20" s="511"/>
      <c r="AS20" s="511"/>
      <c r="AT20" s="512"/>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row>
    <row r="21" spans="1:80" ht="15.75" customHeight="1" thickBot="1" x14ac:dyDescent="0.3">
      <c r="A21" s="66"/>
      <c r="B21" s="496"/>
      <c r="C21" s="496"/>
      <c r="D21" s="497"/>
      <c r="E21" s="540"/>
      <c r="F21" s="541"/>
      <c r="G21" s="541"/>
      <c r="H21" s="541"/>
      <c r="I21" s="541"/>
      <c r="J21" s="566"/>
      <c r="K21" s="567"/>
      <c r="L21" s="567"/>
      <c r="M21" s="567"/>
      <c r="N21" s="567"/>
      <c r="O21" s="568"/>
      <c r="P21" s="566"/>
      <c r="Q21" s="567"/>
      <c r="R21" s="567"/>
      <c r="S21" s="567"/>
      <c r="T21" s="567"/>
      <c r="U21" s="568"/>
      <c r="V21" s="551"/>
      <c r="W21" s="552"/>
      <c r="X21" s="552"/>
      <c r="Y21" s="552"/>
      <c r="Z21" s="552"/>
      <c r="AA21" s="553"/>
      <c r="AB21" s="551"/>
      <c r="AC21" s="552"/>
      <c r="AD21" s="552"/>
      <c r="AE21" s="552"/>
      <c r="AF21" s="552"/>
      <c r="AG21" s="553"/>
      <c r="AH21" s="557"/>
      <c r="AI21" s="558"/>
      <c r="AJ21" s="558"/>
      <c r="AK21" s="558"/>
      <c r="AL21" s="558"/>
      <c r="AM21" s="559"/>
      <c r="AN21" s="66"/>
      <c r="AO21" s="513"/>
      <c r="AP21" s="514"/>
      <c r="AQ21" s="514"/>
      <c r="AR21" s="514"/>
      <c r="AS21" s="514"/>
      <c r="AT21" s="515"/>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row>
    <row r="22" spans="1:80" x14ac:dyDescent="0.25">
      <c r="A22" s="66"/>
      <c r="B22" s="496"/>
      <c r="C22" s="496"/>
      <c r="D22" s="497"/>
      <c r="E22" s="534" t="s">
        <v>405</v>
      </c>
      <c r="F22" s="535"/>
      <c r="G22" s="535"/>
      <c r="H22" s="535"/>
      <c r="I22" s="536"/>
      <c r="J22" s="569" t="str">
        <f>IF(AND('Riesgos de Gestión'!$P$10="Media",'Riesgos de Gestión'!$T$10="Leve"),CONCATENATE("R",'Riesgos de Gestión'!$A$10),"")</f>
        <v/>
      </c>
      <c r="K22" s="570"/>
      <c r="L22" s="570" t="str">
        <f>IF(AND('Riesgos de Gestión'!$P$16="Media",'Riesgos de Gestión'!$T$16="Leve"),CONCATENATE("R",'Riesgos de Gestión'!$A$16),"")</f>
        <v/>
      </c>
      <c r="M22" s="570"/>
      <c r="N22" s="570" t="str">
        <f>IF(AND('Riesgos de Gestión'!$P$22="Media",'Riesgos de Gestión'!$T$22="Leve"),CONCATENATE("R",'Riesgos de Gestión'!$A$22),"")</f>
        <v/>
      </c>
      <c r="O22" s="571"/>
      <c r="P22" s="569" t="str">
        <f>IF(AND('Riesgos de Gestión'!$P$10="Media",'Riesgos de Gestión'!$T$10="Menor"),CONCATENATE("R",'Riesgos de Gestión'!$A$10),"")</f>
        <v/>
      </c>
      <c r="Q22" s="570"/>
      <c r="R22" s="570" t="str">
        <f>IF(AND('Riesgos de Gestión'!$P$16="Media",'Riesgos de Gestión'!$T$16="Menor"),CONCATENATE("R",'Riesgos de Gestión'!$A$16),"")</f>
        <v/>
      </c>
      <c r="S22" s="570"/>
      <c r="T22" s="570" t="str">
        <f>IF(AND('Riesgos de Gestión'!$P$22="Media",'Riesgos de Gestión'!$T$22="Menor"),CONCATENATE("R",'Riesgos de Gestión'!$A$22),"")</f>
        <v>R3</v>
      </c>
      <c r="U22" s="571"/>
      <c r="V22" s="569" t="str">
        <f>IF(AND('Riesgos de Gestión'!$P$10="Media",'Riesgos de Gestión'!$T$10="Moderado"),CONCATENATE("R",'Riesgos de Gestión'!$A$10),"")</f>
        <v/>
      </c>
      <c r="W22" s="570"/>
      <c r="X22" s="570" t="str">
        <f>IF(AND('Riesgos de Gestión'!$P$16="Media",'Riesgos de Gestión'!$T$16="Moderado"),CONCATENATE("R",'Riesgos de Gestión'!$A$16),"")</f>
        <v>R2</v>
      </c>
      <c r="Y22" s="570"/>
      <c r="Z22" s="570" t="str">
        <f>IF(AND('Riesgos de Gestión'!$P$22="Media",'Riesgos de Gestión'!$T$22="Moderado"),CONCATENATE("R",'Riesgos de Gestión'!$A$22),"")</f>
        <v/>
      </c>
      <c r="AA22" s="571"/>
      <c r="AB22" s="545" t="str">
        <f>IF(AND('Riesgos de Gestión'!$P$10="Media",'Riesgos de Gestión'!$T$10="Mayor"),CONCATENATE("R",'Riesgos de Gestión'!$A$10),"")</f>
        <v/>
      </c>
      <c r="AC22" s="546"/>
      <c r="AD22" s="546" t="str">
        <f>IF(AND('Riesgos de Gestión'!$P$16="Media",'Riesgos de Gestión'!$T$16="Mayor"),CONCATENATE("R",'Riesgos de Gestión'!$A$16),"")</f>
        <v/>
      </c>
      <c r="AE22" s="546"/>
      <c r="AF22" s="546" t="str">
        <f>IF(AND('Riesgos de Gestión'!$P$22="Media",'Riesgos de Gestión'!$T$22="Mayor"),CONCATENATE("R",'Riesgos de Gestión'!$A$22),"")</f>
        <v/>
      </c>
      <c r="AG22" s="548"/>
      <c r="AH22" s="560" t="str">
        <f>IF(AND('Riesgos de Gestión'!$P$10="Media",'Riesgos de Gestión'!$T$10="Catastrófico"),CONCATENATE("R",'Riesgos de Gestión'!$A$10),"")</f>
        <v/>
      </c>
      <c r="AI22" s="561"/>
      <c r="AJ22" s="561" t="str">
        <f>IF(AND('Riesgos de Gestión'!$P$16="Media",'Riesgos de Gestión'!$T$16="Catastrófico"),CONCATENATE("R",'Riesgos de Gestión'!$A$16),"")</f>
        <v/>
      </c>
      <c r="AK22" s="561"/>
      <c r="AL22" s="561" t="str">
        <f>IF(AND('Riesgos de Gestión'!$P$22="Media",'Riesgos de Gestión'!$T$22="Catastrófico"),CONCATENATE("R",'Riesgos de Gestión'!$A$22),"")</f>
        <v/>
      </c>
      <c r="AM22" s="562"/>
      <c r="AN22" s="66"/>
      <c r="AO22" s="516" t="s">
        <v>406</v>
      </c>
      <c r="AP22" s="517"/>
      <c r="AQ22" s="517"/>
      <c r="AR22" s="517"/>
      <c r="AS22" s="517"/>
      <c r="AT22" s="518"/>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c r="BY22" s="66"/>
      <c r="BZ22" s="66"/>
      <c r="CA22" s="66"/>
      <c r="CB22" s="66"/>
    </row>
    <row r="23" spans="1:80" x14ac:dyDescent="0.25">
      <c r="A23" s="66"/>
      <c r="B23" s="496"/>
      <c r="C23" s="496"/>
      <c r="D23" s="497"/>
      <c r="E23" s="537"/>
      <c r="F23" s="538"/>
      <c r="G23" s="538"/>
      <c r="H23" s="538"/>
      <c r="I23" s="539"/>
      <c r="J23" s="563"/>
      <c r="K23" s="564"/>
      <c r="L23" s="564"/>
      <c r="M23" s="564"/>
      <c r="N23" s="564"/>
      <c r="O23" s="565"/>
      <c r="P23" s="563"/>
      <c r="Q23" s="564"/>
      <c r="R23" s="564"/>
      <c r="S23" s="564"/>
      <c r="T23" s="564"/>
      <c r="U23" s="565"/>
      <c r="V23" s="563"/>
      <c r="W23" s="564"/>
      <c r="X23" s="564"/>
      <c r="Y23" s="564"/>
      <c r="Z23" s="564"/>
      <c r="AA23" s="565"/>
      <c r="AB23" s="547"/>
      <c r="AC23" s="543"/>
      <c r="AD23" s="543"/>
      <c r="AE23" s="543"/>
      <c r="AF23" s="543"/>
      <c r="AG23" s="544"/>
      <c r="AH23" s="554"/>
      <c r="AI23" s="555"/>
      <c r="AJ23" s="555"/>
      <c r="AK23" s="555"/>
      <c r="AL23" s="555"/>
      <c r="AM23" s="556"/>
      <c r="AN23" s="66"/>
      <c r="AO23" s="519"/>
      <c r="AP23" s="520"/>
      <c r="AQ23" s="520"/>
      <c r="AR23" s="520"/>
      <c r="AS23" s="520"/>
      <c r="AT23" s="521"/>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row>
    <row r="24" spans="1:80" x14ac:dyDescent="0.25">
      <c r="A24" s="66"/>
      <c r="B24" s="496"/>
      <c r="C24" s="496"/>
      <c r="D24" s="497"/>
      <c r="E24" s="537"/>
      <c r="F24" s="538"/>
      <c r="G24" s="538"/>
      <c r="H24" s="538"/>
      <c r="I24" s="539"/>
      <c r="J24" s="563" t="str">
        <f>IF(AND('Riesgos de Gestión'!$P$28="Media",'Riesgos de Gestión'!$T$28="Leve"),CONCATENATE("R",'Riesgos de Gestión'!$A$28),"")</f>
        <v/>
      </c>
      <c r="K24" s="564"/>
      <c r="L24" s="564" t="str">
        <f>IF(AND('Riesgos de Gestión'!$P$34="Media",'Riesgos de Gestión'!$T$34="Leve"),CONCATENATE("R",'Riesgos de Gestión'!$A$34),"")</f>
        <v/>
      </c>
      <c r="M24" s="564"/>
      <c r="N24" s="564" t="str">
        <f>IF(AND('Riesgos de Gestión'!$P$40="Media",'Riesgos de Gestión'!$T$40="Leve"),CONCATENATE("R",'Riesgos de Gestión'!$A$40),"")</f>
        <v/>
      </c>
      <c r="O24" s="565"/>
      <c r="P24" s="563" t="str">
        <f>IF(AND('Riesgos de Gestión'!$P$28="Media",'Riesgos de Gestión'!$T$28="Menor"),CONCATENATE("R",'Riesgos de Gestión'!$A$28),"")</f>
        <v/>
      </c>
      <c r="Q24" s="564"/>
      <c r="R24" s="564" t="str">
        <f>IF(AND('Riesgos de Gestión'!$P$34="Media",'Riesgos de Gestión'!$T$34="Menor"),CONCATENATE("R",'Riesgos de Gestión'!$A$34),"")</f>
        <v/>
      </c>
      <c r="S24" s="564"/>
      <c r="T24" s="564" t="str">
        <f>IF(AND('Riesgos de Gestión'!$P$40="Media",'Riesgos de Gestión'!$T$40="Menor"),CONCATENATE("R",'Riesgos de Gestión'!$A$40),"")</f>
        <v/>
      </c>
      <c r="U24" s="565"/>
      <c r="V24" s="563" t="str">
        <f>IF(AND('Riesgos de Gestión'!$P$28="Media",'Riesgos de Gestión'!$T$28="Moderado"),CONCATENATE("R",'Riesgos de Gestión'!$A$28),"")</f>
        <v/>
      </c>
      <c r="W24" s="564"/>
      <c r="X24" s="564" t="str">
        <f>IF(AND('Riesgos de Gestión'!$P$34="Media",'Riesgos de Gestión'!$T$34="Moderado"),CONCATENATE("R",'Riesgos de Gestión'!$A$34),"")</f>
        <v/>
      </c>
      <c r="Y24" s="564"/>
      <c r="Z24" s="564" t="str">
        <f>IF(AND('Riesgos de Gestión'!$P$40="Media",'Riesgos de Gestión'!$T$40="Moderado"),CONCATENATE("R",'Riesgos de Gestión'!$A$40),"")</f>
        <v>R6</v>
      </c>
      <c r="AA24" s="565"/>
      <c r="AB24" s="547" t="str">
        <f>IF(AND('Riesgos de Gestión'!$P$28="Media",'Riesgos de Gestión'!$T$28="Mayor"),CONCATENATE("R",'Riesgos de Gestión'!$A$28),"")</f>
        <v/>
      </c>
      <c r="AC24" s="543"/>
      <c r="AD24" s="543" t="str">
        <f>IF(AND('Riesgos de Gestión'!$P$34="Media",'Riesgos de Gestión'!$T$34="Mayor"),CONCATENATE("R",'Riesgos de Gestión'!$A$34),"")</f>
        <v/>
      </c>
      <c r="AE24" s="543"/>
      <c r="AF24" s="543" t="str">
        <f>IF(AND('Riesgos de Gestión'!$P$40="Media",'Riesgos de Gestión'!$T$40="Mayor"),CONCATENATE("R",'Riesgos de Gestión'!$A$40),"")</f>
        <v/>
      </c>
      <c r="AG24" s="544"/>
      <c r="AH24" s="554" t="str">
        <f>IF(AND('Riesgos de Gestión'!$P$28="Media",'Riesgos de Gestión'!$T$28="Catastrófico"),CONCATENATE("R",'Riesgos de Gestión'!$A$28),"")</f>
        <v/>
      </c>
      <c r="AI24" s="555"/>
      <c r="AJ24" s="555" t="str">
        <f>IF(AND('Riesgos de Gestión'!$P$34="Media",'Riesgos de Gestión'!$T$34="Catastrófico"),CONCATENATE("R",'Riesgos de Gestión'!$A$34),"")</f>
        <v/>
      </c>
      <c r="AK24" s="555"/>
      <c r="AL24" s="555" t="str">
        <f>IF(AND('Riesgos de Gestión'!$P$40="Media",'Riesgos de Gestión'!$T$40="Catastrófico"),CONCATENATE("R",'Riesgos de Gestión'!$A$40),"")</f>
        <v/>
      </c>
      <c r="AM24" s="556"/>
      <c r="AN24" s="66"/>
      <c r="AO24" s="519"/>
      <c r="AP24" s="520"/>
      <c r="AQ24" s="520"/>
      <c r="AR24" s="520"/>
      <c r="AS24" s="520"/>
      <c r="AT24" s="521"/>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c r="BY24" s="66"/>
      <c r="BZ24" s="66"/>
      <c r="CA24" s="66"/>
      <c r="CB24" s="66"/>
    </row>
    <row r="25" spans="1:80" x14ac:dyDescent="0.25">
      <c r="A25" s="66"/>
      <c r="B25" s="496"/>
      <c r="C25" s="496"/>
      <c r="D25" s="497"/>
      <c r="E25" s="537"/>
      <c r="F25" s="538"/>
      <c r="G25" s="538"/>
      <c r="H25" s="538"/>
      <c r="I25" s="539"/>
      <c r="J25" s="563"/>
      <c r="K25" s="564"/>
      <c r="L25" s="564"/>
      <c r="M25" s="564"/>
      <c r="N25" s="564"/>
      <c r="O25" s="565"/>
      <c r="P25" s="563"/>
      <c r="Q25" s="564"/>
      <c r="R25" s="564"/>
      <c r="S25" s="564"/>
      <c r="T25" s="564"/>
      <c r="U25" s="565"/>
      <c r="V25" s="563"/>
      <c r="W25" s="564"/>
      <c r="X25" s="564"/>
      <c r="Y25" s="564"/>
      <c r="Z25" s="564"/>
      <c r="AA25" s="565"/>
      <c r="AB25" s="547"/>
      <c r="AC25" s="543"/>
      <c r="AD25" s="543"/>
      <c r="AE25" s="543"/>
      <c r="AF25" s="543"/>
      <c r="AG25" s="544"/>
      <c r="AH25" s="554"/>
      <c r="AI25" s="555"/>
      <c r="AJ25" s="555"/>
      <c r="AK25" s="555"/>
      <c r="AL25" s="555"/>
      <c r="AM25" s="556"/>
      <c r="AN25" s="66"/>
      <c r="AO25" s="519"/>
      <c r="AP25" s="520"/>
      <c r="AQ25" s="520"/>
      <c r="AR25" s="520"/>
      <c r="AS25" s="520"/>
      <c r="AT25" s="521"/>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row>
    <row r="26" spans="1:80" x14ac:dyDescent="0.25">
      <c r="A26" s="66"/>
      <c r="B26" s="496"/>
      <c r="C26" s="496"/>
      <c r="D26" s="497"/>
      <c r="E26" s="537"/>
      <c r="F26" s="538"/>
      <c r="G26" s="538"/>
      <c r="H26" s="538"/>
      <c r="I26" s="539"/>
      <c r="J26" s="563" t="str">
        <f>IF(AND('Riesgos de Gestión'!$P$46="Media",'Riesgos de Gestión'!$T$46="Leve"),CONCATENATE("R",'Riesgos de Gestión'!$A$46),"")</f>
        <v/>
      </c>
      <c r="K26" s="564"/>
      <c r="L26" s="564" t="str">
        <f>IF(AND('Riesgos de Gestión'!$P$52="Media",'Riesgos de Gestión'!$T$52="Leve"),CONCATENATE("R",'Riesgos de Gestión'!$A$52),"")</f>
        <v/>
      </c>
      <c r="M26" s="564"/>
      <c r="N26" s="564" t="str">
        <f>IF(AND('Riesgos de Gestión'!$P$58="Media",'Riesgos de Gestión'!$T$58="Leve"),CONCATENATE("R",'Riesgos de Gestión'!$A$58),"")</f>
        <v/>
      </c>
      <c r="O26" s="565"/>
      <c r="P26" s="563" t="str">
        <f>IF(AND('Riesgos de Gestión'!$P$46="Media",'Riesgos de Gestión'!$T$46="Menor"),CONCATENATE("R",'Riesgos de Gestión'!$A$46),"")</f>
        <v>R7</v>
      </c>
      <c r="Q26" s="564"/>
      <c r="R26" s="564" t="str">
        <f>IF(AND('Riesgos de Gestión'!$P$52="Media",'Riesgos de Gestión'!$T$52="Menor"),CONCATENATE("R",'Riesgos de Gestión'!$A$52),"")</f>
        <v/>
      </c>
      <c r="S26" s="564"/>
      <c r="T26" s="564" t="str">
        <f>IF(AND('Riesgos de Gestión'!$P$58="Media",'Riesgos de Gestión'!$T$58="Menor"),CONCATENATE("R",'Riesgos de Gestión'!$A$58),"")</f>
        <v/>
      </c>
      <c r="U26" s="565"/>
      <c r="V26" s="563" t="str">
        <f>IF(AND('Riesgos de Gestión'!$P$46="Media",'Riesgos de Gestión'!$T$46="Moderado"),CONCATENATE("R",'Riesgos de Gestión'!$A$46),"")</f>
        <v/>
      </c>
      <c r="W26" s="564"/>
      <c r="X26" s="564" t="str">
        <f>IF(AND('Riesgos de Gestión'!$P$52="Media",'Riesgos de Gestión'!$T$52="Moderado"),CONCATENATE("R",'Riesgos de Gestión'!$A$52),"")</f>
        <v>R8</v>
      </c>
      <c r="Y26" s="564"/>
      <c r="Z26" s="564" t="str">
        <f>IF(AND('Riesgos de Gestión'!$P$58="Media",'Riesgos de Gestión'!$T$58="Moderado"),CONCATENATE("R",'Riesgos de Gestión'!$A$58),"")</f>
        <v/>
      </c>
      <c r="AA26" s="565"/>
      <c r="AB26" s="547" t="str">
        <f>IF(AND('Riesgos de Gestión'!$P$46="Media",'Riesgos de Gestión'!$T$46="Mayor"),CONCATENATE("R",'Riesgos de Gestión'!$A$46),"")</f>
        <v/>
      </c>
      <c r="AC26" s="543"/>
      <c r="AD26" s="543" t="str">
        <f>IF(AND('Riesgos de Gestión'!$P$52="Media",'Riesgos de Gestión'!$T$52="Mayor"),CONCATENATE("R",'Riesgos de Gestión'!$A$52),"")</f>
        <v/>
      </c>
      <c r="AE26" s="543"/>
      <c r="AF26" s="543" t="str">
        <f>IF(AND('Riesgos de Gestión'!$P$58="Media",'Riesgos de Gestión'!$T$58="Mayor"),CONCATENATE("R",'Riesgos de Gestión'!$A$58),"")</f>
        <v/>
      </c>
      <c r="AG26" s="544"/>
      <c r="AH26" s="554" t="str">
        <f>IF(AND('Riesgos de Gestión'!$P$46="Media",'Riesgos de Gestión'!$T$46="Catastrófico"),CONCATENATE("R",'Riesgos de Gestión'!$A$46),"")</f>
        <v/>
      </c>
      <c r="AI26" s="555"/>
      <c r="AJ26" s="555" t="str">
        <f>IF(AND('Riesgos de Gestión'!$P$52="Media",'Riesgos de Gestión'!$T$52="Catastrófico"),CONCATENATE("R",'Riesgos de Gestión'!$A$52),"")</f>
        <v/>
      </c>
      <c r="AK26" s="555"/>
      <c r="AL26" s="555" t="str">
        <f>IF(AND('Riesgos de Gestión'!$P$58="Media",'Riesgos de Gestión'!$T$58="Catastrófico"),CONCATENATE("R",'Riesgos de Gestión'!$A$58),"")</f>
        <v/>
      </c>
      <c r="AM26" s="556"/>
      <c r="AN26" s="66"/>
      <c r="AO26" s="519"/>
      <c r="AP26" s="520"/>
      <c r="AQ26" s="520"/>
      <c r="AR26" s="520"/>
      <c r="AS26" s="520"/>
      <c r="AT26" s="521"/>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row>
    <row r="27" spans="1:80" x14ac:dyDescent="0.25">
      <c r="A27" s="66"/>
      <c r="B27" s="496"/>
      <c r="C27" s="496"/>
      <c r="D27" s="497"/>
      <c r="E27" s="537"/>
      <c r="F27" s="538"/>
      <c r="G27" s="538"/>
      <c r="H27" s="538"/>
      <c r="I27" s="539"/>
      <c r="J27" s="563"/>
      <c r="K27" s="564"/>
      <c r="L27" s="564"/>
      <c r="M27" s="564"/>
      <c r="N27" s="564"/>
      <c r="O27" s="565"/>
      <c r="P27" s="563"/>
      <c r="Q27" s="564"/>
      <c r="R27" s="564"/>
      <c r="S27" s="564"/>
      <c r="T27" s="564"/>
      <c r="U27" s="565"/>
      <c r="V27" s="563"/>
      <c r="W27" s="564"/>
      <c r="X27" s="564"/>
      <c r="Y27" s="564"/>
      <c r="Z27" s="564"/>
      <c r="AA27" s="565"/>
      <c r="AB27" s="547"/>
      <c r="AC27" s="543"/>
      <c r="AD27" s="543"/>
      <c r="AE27" s="543"/>
      <c r="AF27" s="543"/>
      <c r="AG27" s="544"/>
      <c r="AH27" s="554"/>
      <c r="AI27" s="555"/>
      <c r="AJ27" s="555"/>
      <c r="AK27" s="555"/>
      <c r="AL27" s="555"/>
      <c r="AM27" s="556"/>
      <c r="AN27" s="66"/>
      <c r="AO27" s="519"/>
      <c r="AP27" s="520"/>
      <c r="AQ27" s="520"/>
      <c r="AR27" s="520"/>
      <c r="AS27" s="520"/>
      <c r="AT27" s="521"/>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row>
    <row r="28" spans="1:80" x14ac:dyDescent="0.25">
      <c r="A28" s="66"/>
      <c r="B28" s="496"/>
      <c r="C28" s="496"/>
      <c r="D28" s="497"/>
      <c r="E28" s="537"/>
      <c r="F28" s="538"/>
      <c r="G28" s="538"/>
      <c r="H28" s="538"/>
      <c r="I28" s="539"/>
      <c r="J28" s="563" t="str">
        <f>IF(AND('Riesgos de Gestión'!$P$66="Media",'Riesgos de Gestión'!$T$66="Leve"),CONCATENATE("R",'Riesgos de Gestión'!$A$66),"")</f>
        <v/>
      </c>
      <c r="K28" s="564"/>
      <c r="L28" s="564" t="e">
        <f>IF(AND('Riesgos de Gestión'!#REF!="Media",'Riesgos de Gestión'!#REF!="Leve"),CONCATENATE("R",'Riesgos de Gestión'!#REF!),"")</f>
        <v>#REF!</v>
      </c>
      <c r="M28" s="564"/>
      <c r="N28" s="564" t="e">
        <f>IF(AND('Riesgos de Gestión'!#REF!="Media",'Riesgos de Gestión'!#REF!="Leve"),CONCATENATE("R",'Riesgos de Gestión'!#REF!),"")</f>
        <v>#REF!</v>
      </c>
      <c r="O28" s="565"/>
      <c r="P28" s="563" t="str">
        <f>IF(AND('Riesgos de Gestión'!$P$66="Media",'Riesgos de Gestión'!$T$66="Menor"),CONCATENATE("R",'Riesgos de Gestión'!$A$66),"")</f>
        <v>R10</v>
      </c>
      <c r="Q28" s="564"/>
      <c r="R28" s="564" t="e">
        <f>IF(AND('Riesgos de Gestión'!#REF!="Media",'Riesgos de Gestión'!#REF!="Menor"),CONCATENATE("R",'Riesgos de Gestión'!#REF!),"")</f>
        <v>#REF!</v>
      </c>
      <c r="S28" s="564"/>
      <c r="T28" s="564" t="e">
        <f>IF(AND('Riesgos de Gestión'!#REF!="Media",'Riesgos de Gestión'!#REF!="Menor"),CONCATENATE("R",'Riesgos de Gestión'!#REF!),"")</f>
        <v>#REF!</v>
      </c>
      <c r="U28" s="565"/>
      <c r="V28" s="563" t="str">
        <f>IF(AND('Riesgos de Gestión'!$P$66="Media",'Riesgos de Gestión'!$T$66="Moderado"),CONCATENATE("R",'Riesgos de Gestión'!$A$66),"")</f>
        <v/>
      </c>
      <c r="W28" s="564"/>
      <c r="X28" s="564" t="e">
        <f>IF(AND('Riesgos de Gestión'!#REF!="Media",'Riesgos de Gestión'!#REF!="Moderado"),CONCATENATE("R",'Riesgos de Gestión'!#REF!),"")</f>
        <v>#REF!</v>
      </c>
      <c r="Y28" s="564"/>
      <c r="Z28" s="564" t="e">
        <f>IF(AND('Riesgos de Gestión'!#REF!="Media",'Riesgos de Gestión'!#REF!="Moderado"),CONCATENATE("R",'Riesgos de Gestión'!#REF!),"")</f>
        <v>#REF!</v>
      </c>
      <c r="AA28" s="565"/>
      <c r="AB28" s="547" t="str">
        <f>IF(AND('Riesgos de Gestión'!$P$66="Media",'Riesgos de Gestión'!$T$66="Mayor"),CONCATENATE("R",'Riesgos de Gestión'!$A$66),"")</f>
        <v/>
      </c>
      <c r="AC28" s="543"/>
      <c r="AD28" s="543" t="e">
        <f>IF(AND('Riesgos de Gestión'!#REF!="Media",'Riesgos de Gestión'!#REF!="Mayor"),CONCATENATE("R",'Riesgos de Gestión'!#REF!),"")</f>
        <v>#REF!</v>
      </c>
      <c r="AE28" s="543"/>
      <c r="AF28" s="543" t="e">
        <f>IF(AND('Riesgos de Gestión'!#REF!="Media",'Riesgos de Gestión'!#REF!="Mayor"),CONCATENATE("R",'Riesgos de Gestión'!#REF!),"")</f>
        <v>#REF!</v>
      </c>
      <c r="AG28" s="544"/>
      <c r="AH28" s="554" t="str">
        <f>IF(AND('Riesgos de Gestión'!$P$66="Media",'Riesgos de Gestión'!$T$66="Catastrófico"),CONCATENATE("R",'Riesgos de Gestión'!$A$66),"")</f>
        <v/>
      </c>
      <c r="AI28" s="555"/>
      <c r="AJ28" s="555" t="e">
        <f>IF(AND('Riesgos de Gestión'!#REF!="Media",'Riesgos de Gestión'!#REF!="Catastrófico"),CONCATENATE("R",'Riesgos de Gestión'!#REF!),"")</f>
        <v>#REF!</v>
      </c>
      <c r="AK28" s="555"/>
      <c r="AL28" s="555" t="e">
        <f>IF(AND('Riesgos de Gestión'!#REF!="Media",'Riesgos de Gestión'!#REF!="Catastrófico"),CONCATENATE("R",'Riesgos de Gestión'!#REF!),"")</f>
        <v>#REF!</v>
      </c>
      <c r="AM28" s="556"/>
      <c r="AN28" s="66"/>
      <c r="AO28" s="519"/>
      <c r="AP28" s="520"/>
      <c r="AQ28" s="520"/>
      <c r="AR28" s="520"/>
      <c r="AS28" s="520"/>
      <c r="AT28" s="521"/>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c r="BY28" s="66"/>
      <c r="BZ28" s="66"/>
      <c r="CA28" s="66"/>
      <c r="CB28" s="66"/>
    </row>
    <row r="29" spans="1:80" ht="15.75" thickBot="1" x14ac:dyDescent="0.3">
      <c r="A29" s="66"/>
      <c r="B29" s="496"/>
      <c r="C29" s="496"/>
      <c r="D29" s="497"/>
      <c r="E29" s="540"/>
      <c r="F29" s="541"/>
      <c r="G29" s="541"/>
      <c r="H29" s="541"/>
      <c r="I29" s="542"/>
      <c r="J29" s="563"/>
      <c r="K29" s="564"/>
      <c r="L29" s="564"/>
      <c r="M29" s="564"/>
      <c r="N29" s="564"/>
      <c r="O29" s="565"/>
      <c r="P29" s="566"/>
      <c r="Q29" s="567"/>
      <c r="R29" s="567"/>
      <c r="S29" s="567"/>
      <c r="T29" s="567"/>
      <c r="U29" s="568"/>
      <c r="V29" s="566"/>
      <c r="W29" s="567"/>
      <c r="X29" s="567"/>
      <c r="Y29" s="567"/>
      <c r="Z29" s="567"/>
      <c r="AA29" s="568"/>
      <c r="AB29" s="551"/>
      <c r="AC29" s="552"/>
      <c r="AD29" s="552"/>
      <c r="AE29" s="552"/>
      <c r="AF29" s="552"/>
      <c r="AG29" s="553"/>
      <c r="AH29" s="557"/>
      <c r="AI29" s="558"/>
      <c r="AJ29" s="558"/>
      <c r="AK29" s="558"/>
      <c r="AL29" s="558"/>
      <c r="AM29" s="559"/>
      <c r="AN29" s="66"/>
      <c r="AO29" s="522"/>
      <c r="AP29" s="523"/>
      <c r="AQ29" s="523"/>
      <c r="AR29" s="523"/>
      <c r="AS29" s="523"/>
      <c r="AT29" s="524"/>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c r="BY29" s="66"/>
      <c r="BZ29" s="66"/>
      <c r="CA29" s="66"/>
      <c r="CB29" s="66"/>
    </row>
    <row r="30" spans="1:80" x14ac:dyDescent="0.25">
      <c r="A30" s="66"/>
      <c r="B30" s="496"/>
      <c r="C30" s="496"/>
      <c r="D30" s="497"/>
      <c r="E30" s="534" t="s">
        <v>407</v>
      </c>
      <c r="F30" s="535"/>
      <c r="G30" s="535"/>
      <c r="H30" s="535"/>
      <c r="I30" s="535"/>
      <c r="J30" s="578" t="str">
        <f>IF(AND('Riesgos de Gestión'!$P$10="Baja",'Riesgos de Gestión'!$T$10="Leve"),CONCATENATE("R",'Riesgos de Gestión'!$A$10),"")</f>
        <v/>
      </c>
      <c r="K30" s="579"/>
      <c r="L30" s="579" t="str">
        <f>IF(AND('Riesgos de Gestión'!$P$16="Baja",'Riesgos de Gestión'!$T$16="Leve"),CONCATENATE("R",'Riesgos de Gestión'!$A$16),"")</f>
        <v/>
      </c>
      <c r="M30" s="579"/>
      <c r="N30" s="579" t="str">
        <f>IF(AND('Riesgos de Gestión'!$P$22="Baja",'Riesgos de Gestión'!$T$22="Leve"),CONCATENATE("R",'Riesgos de Gestión'!$A$22),"")</f>
        <v/>
      </c>
      <c r="O30" s="580"/>
      <c r="P30" s="570" t="str">
        <f>IF(AND('Riesgos de Gestión'!$P$10="Baja",'Riesgos de Gestión'!$T$10="Menor"),CONCATENATE("R",'Riesgos de Gestión'!$A$10),"")</f>
        <v/>
      </c>
      <c r="Q30" s="570"/>
      <c r="R30" s="570" t="str">
        <f>IF(AND('Riesgos de Gestión'!$P$16="Baja",'Riesgos de Gestión'!$T$16="Menor"),CONCATENATE("R",'Riesgos de Gestión'!$A$16),"")</f>
        <v/>
      </c>
      <c r="S30" s="570"/>
      <c r="T30" s="570" t="str">
        <f>IF(AND('Riesgos de Gestión'!$P$22="Baja",'Riesgos de Gestión'!$T$22="Menor"),CONCATENATE("R",'Riesgos de Gestión'!$A$22),"")</f>
        <v/>
      </c>
      <c r="U30" s="571"/>
      <c r="V30" s="569" t="str">
        <f>IF(AND('Riesgos de Gestión'!$P$10="Baja",'Riesgos de Gestión'!$T$10="Moderado"),CONCATENATE("R",'Riesgos de Gestión'!$A$10),"")</f>
        <v>R1</v>
      </c>
      <c r="W30" s="570"/>
      <c r="X30" s="570" t="str">
        <f>IF(AND('Riesgos de Gestión'!$P$16="Baja",'Riesgos de Gestión'!$T$16="Moderado"),CONCATENATE("R",'Riesgos de Gestión'!$A$16),"")</f>
        <v/>
      </c>
      <c r="Y30" s="570"/>
      <c r="Z30" s="570" t="str">
        <f>IF(AND('Riesgos de Gestión'!$P$22="Baja",'Riesgos de Gestión'!$T$22="Moderado"),CONCATENATE("R",'Riesgos de Gestión'!$A$22),"")</f>
        <v/>
      </c>
      <c r="AA30" s="571"/>
      <c r="AB30" s="545" t="str">
        <f>IF(AND('Riesgos de Gestión'!$P$10="Baja",'Riesgos de Gestión'!$T$10="Mayor"),CONCATENATE("R",'Riesgos de Gestión'!$A$10),"")</f>
        <v/>
      </c>
      <c r="AC30" s="546"/>
      <c r="AD30" s="546" t="str">
        <f>IF(AND('Riesgos de Gestión'!$P$16="Baja",'Riesgos de Gestión'!$T$16="Mayor"),CONCATENATE("R",'Riesgos de Gestión'!$A$16),"")</f>
        <v/>
      </c>
      <c r="AE30" s="546"/>
      <c r="AF30" s="546" t="str">
        <f>IF(AND('Riesgos de Gestión'!$P$22="Baja",'Riesgos de Gestión'!$T$22="Mayor"),CONCATENATE("R",'Riesgos de Gestión'!$A$22),"")</f>
        <v/>
      </c>
      <c r="AG30" s="548"/>
      <c r="AH30" s="560" t="str">
        <f>IF(AND('Riesgos de Gestión'!$P$10="Baja",'Riesgos de Gestión'!$T$10="Catastrófico"),CONCATENATE("R",'Riesgos de Gestión'!$A$10),"")</f>
        <v/>
      </c>
      <c r="AI30" s="561"/>
      <c r="AJ30" s="561" t="str">
        <f>IF(AND('Riesgos de Gestión'!$P$16="Baja",'Riesgos de Gestión'!$T$16="Catastrófico"),CONCATENATE("R",'Riesgos de Gestión'!$A$16),"")</f>
        <v/>
      </c>
      <c r="AK30" s="561"/>
      <c r="AL30" s="561" t="str">
        <f>IF(AND('Riesgos de Gestión'!$P$22="Baja",'Riesgos de Gestión'!$T$22="Catastrófico"),CONCATENATE("R",'Riesgos de Gestión'!$A$22),"")</f>
        <v/>
      </c>
      <c r="AM30" s="562"/>
      <c r="AN30" s="66"/>
      <c r="AO30" s="525" t="s">
        <v>408</v>
      </c>
      <c r="AP30" s="526"/>
      <c r="AQ30" s="526"/>
      <c r="AR30" s="526"/>
      <c r="AS30" s="526"/>
      <c r="AT30" s="527"/>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row>
    <row r="31" spans="1:80" x14ac:dyDescent="0.25">
      <c r="A31" s="66"/>
      <c r="B31" s="496"/>
      <c r="C31" s="496"/>
      <c r="D31" s="497"/>
      <c r="E31" s="537"/>
      <c r="F31" s="538"/>
      <c r="G31" s="538"/>
      <c r="H31" s="538"/>
      <c r="I31" s="538"/>
      <c r="J31" s="574"/>
      <c r="K31" s="572"/>
      <c r="L31" s="572"/>
      <c r="M31" s="572"/>
      <c r="N31" s="572"/>
      <c r="O31" s="573"/>
      <c r="P31" s="564"/>
      <c r="Q31" s="564"/>
      <c r="R31" s="564"/>
      <c r="S31" s="564"/>
      <c r="T31" s="564"/>
      <c r="U31" s="565"/>
      <c r="V31" s="563"/>
      <c r="W31" s="564"/>
      <c r="X31" s="564"/>
      <c r="Y31" s="564"/>
      <c r="Z31" s="564"/>
      <c r="AA31" s="565"/>
      <c r="AB31" s="547"/>
      <c r="AC31" s="543"/>
      <c r="AD31" s="543"/>
      <c r="AE31" s="543"/>
      <c r="AF31" s="543"/>
      <c r="AG31" s="544"/>
      <c r="AH31" s="554"/>
      <c r="AI31" s="555"/>
      <c r="AJ31" s="555"/>
      <c r="AK31" s="555"/>
      <c r="AL31" s="555"/>
      <c r="AM31" s="556"/>
      <c r="AN31" s="66"/>
      <c r="AO31" s="528"/>
      <c r="AP31" s="529"/>
      <c r="AQ31" s="529"/>
      <c r="AR31" s="529"/>
      <c r="AS31" s="529"/>
      <c r="AT31" s="530"/>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row>
    <row r="32" spans="1:80" x14ac:dyDescent="0.25">
      <c r="A32" s="66"/>
      <c r="B32" s="496"/>
      <c r="C32" s="496"/>
      <c r="D32" s="497"/>
      <c r="E32" s="537"/>
      <c r="F32" s="538"/>
      <c r="G32" s="538"/>
      <c r="H32" s="538"/>
      <c r="I32" s="538"/>
      <c r="J32" s="574" t="str">
        <f>IF(AND('Riesgos de Gestión'!$P$28="Baja",'Riesgos de Gestión'!$T$28="Leve"),CONCATENATE("R",'Riesgos de Gestión'!$A$28),"")</f>
        <v/>
      </c>
      <c r="K32" s="572"/>
      <c r="L32" s="572" t="str">
        <f>IF(AND('Riesgos de Gestión'!$P$34="Baja",'Riesgos de Gestión'!$T$34="Leve"),CONCATENATE("R",'Riesgos de Gestión'!$A$34),"")</f>
        <v/>
      </c>
      <c r="M32" s="572"/>
      <c r="N32" s="572" t="str">
        <f>IF(AND('Riesgos de Gestión'!$P$40="Baja",'Riesgos de Gestión'!$T$40="Leve"),CONCATENATE("R",'Riesgos de Gestión'!$A$40),"")</f>
        <v/>
      </c>
      <c r="O32" s="573"/>
      <c r="P32" s="564" t="str">
        <f>IF(AND('Riesgos de Gestión'!$P$28="Baja",'Riesgos de Gestión'!$T$28="Menor"),CONCATENATE("R",'Riesgos de Gestión'!$A$28),"")</f>
        <v>R4</v>
      </c>
      <c r="Q32" s="564"/>
      <c r="R32" s="564" t="str">
        <f>IF(AND('Riesgos de Gestión'!$P$34="Baja",'Riesgos de Gestión'!$T$34="Menor"),CONCATENATE("R",'Riesgos de Gestión'!$A$34),"")</f>
        <v/>
      </c>
      <c r="S32" s="564"/>
      <c r="T32" s="564" t="str">
        <f>IF(AND('Riesgos de Gestión'!$P$40="Baja",'Riesgos de Gestión'!$T$40="Menor"),CONCATENATE("R",'Riesgos de Gestión'!$A$40),"")</f>
        <v/>
      </c>
      <c r="U32" s="565"/>
      <c r="V32" s="563" t="str">
        <f>IF(AND('Riesgos de Gestión'!$P$28="Baja",'Riesgos de Gestión'!$T$28="Moderado"),CONCATENATE("R",'Riesgos de Gestión'!$A$28),"")</f>
        <v/>
      </c>
      <c r="W32" s="564"/>
      <c r="X32" s="564" t="str">
        <f>IF(AND('Riesgos de Gestión'!$P$34="Baja",'Riesgos de Gestión'!$T$34="Moderado"),CONCATENATE("R",'Riesgos de Gestión'!$A$34),"")</f>
        <v/>
      </c>
      <c r="Y32" s="564"/>
      <c r="Z32" s="564" t="str">
        <f>IF(AND('Riesgos de Gestión'!$P$40="Baja",'Riesgos de Gestión'!$T$40="Moderado"),CONCATENATE("R",'Riesgos de Gestión'!$A$40),"")</f>
        <v/>
      </c>
      <c r="AA32" s="565"/>
      <c r="AB32" s="547" t="str">
        <f>IF(AND('Riesgos de Gestión'!$P$28="Baja",'Riesgos de Gestión'!$T$28="Mayor"),CONCATENATE("R",'Riesgos de Gestión'!$A$28),"")</f>
        <v/>
      </c>
      <c r="AC32" s="543"/>
      <c r="AD32" s="543" t="str">
        <f>IF(AND('Riesgos de Gestión'!$P$34="Baja",'Riesgos de Gestión'!$T$34="Mayor"),CONCATENATE("R",'Riesgos de Gestión'!$A$34),"")</f>
        <v/>
      </c>
      <c r="AE32" s="543"/>
      <c r="AF32" s="543" t="str">
        <f>IF(AND('Riesgos de Gestión'!$P$40="Baja",'Riesgos de Gestión'!$T$40="Mayor"),CONCATENATE("R",'Riesgos de Gestión'!$A$40),"")</f>
        <v/>
      </c>
      <c r="AG32" s="544"/>
      <c r="AH32" s="554" t="str">
        <f>IF(AND('Riesgos de Gestión'!$P$28="Baja",'Riesgos de Gestión'!$T$28="Catastrófico"),CONCATENATE("R",'Riesgos de Gestión'!$A$28),"")</f>
        <v/>
      </c>
      <c r="AI32" s="555"/>
      <c r="AJ32" s="555" t="str">
        <f>IF(AND('Riesgos de Gestión'!$P$34="Baja",'Riesgos de Gestión'!$T$34="Catastrófico"),CONCATENATE("R",'Riesgos de Gestión'!$A$34),"")</f>
        <v/>
      </c>
      <c r="AK32" s="555"/>
      <c r="AL32" s="555" t="str">
        <f>IF(AND('Riesgos de Gestión'!$P$40="Baja",'Riesgos de Gestión'!$T$40="Catastrófico"),CONCATENATE("R",'Riesgos de Gestión'!$A$40),"")</f>
        <v/>
      </c>
      <c r="AM32" s="556"/>
      <c r="AN32" s="66"/>
      <c r="AO32" s="528"/>
      <c r="AP32" s="529"/>
      <c r="AQ32" s="529"/>
      <c r="AR32" s="529"/>
      <c r="AS32" s="529"/>
      <c r="AT32" s="530"/>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row>
    <row r="33" spans="1:80" x14ac:dyDescent="0.25">
      <c r="A33" s="66"/>
      <c r="B33" s="496"/>
      <c r="C33" s="496"/>
      <c r="D33" s="497"/>
      <c r="E33" s="537"/>
      <c r="F33" s="538"/>
      <c r="G33" s="538"/>
      <c r="H33" s="538"/>
      <c r="I33" s="538"/>
      <c r="J33" s="574"/>
      <c r="K33" s="572"/>
      <c r="L33" s="572"/>
      <c r="M33" s="572"/>
      <c r="N33" s="572"/>
      <c r="O33" s="573"/>
      <c r="P33" s="564"/>
      <c r="Q33" s="564"/>
      <c r="R33" s="564"/>
      <c r="S33" s="564"/>
      <c r="T33" s="564"/>
      <c r="U33" s="565"/>
      <c r="V33" s="563"/>
      <c r="W33" s="564"/>
      <c r="X33" s="564"/>
      <c r="Y33" s="564"/>
      <c r="Z33" s="564"/>
      <c r="AA33" s="565"/>
      <c r="AB33" s="547"/>
      <c r="AC33" s="543"/>
      <c r="AD33" s="543"/>
      <c r="AE33" s="543"/>
      <c r="AF33" s="543"/>
      <c r="AG33" s="544"/>
      <c r="AH33" s="554"/>
      <c r="AI33" s="555"/>
      <c r="AJ33" s="555"/>
      <c r="AK33" s="555"/>
      <c r="AL33" s="555"/>
      <c r="AM33" s="556"/>
      <c r="AN33" s="66"/>
      <c r="AO33" s="528"/>
      <c r="AP33" s="529"/>
      <c r="AQ33" s="529"/>
      <c r="AR33" s="529"/>
      <c r="AS33" s="529"/>
      <c r="AT33" s="530"/>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row>
    <row r="34" spans="1:80" x14ac:dyDescent="0.25">
      <c r="A34" s="66"/>
      <c r="B34" s="496"/>
      <c r="C34" s="496"/>
      <c r="D34" s="497"/>
      <c r="E34" s="537"/>
      <c r="F34" s="538"/>
      <c r="G34" s="538"/>
      <c r="H34" s="538"/>
      <c r="I34" s="538"/>
      <c r="J34" s="574" t="str">
        <f>IF(AND('Riesgos de Gestión'!$P$46="Baja",'Riesgos de Gestión'!$T$46="Leve"),CONCATENATE("R",'Riesgos de Gestión'!$A$46),"")</f>
        <v/>
      </c>
      <c r="K34" s="572"/>
      <c r="L34" s="572" t="str">
        <f>IF(AND('Riesgos de Gestión'!$P$52="Baja",'Riesgos de Gestión'!$T$52="Leve"),CONCATENATE("R",'Riesgos de Gestión'!$A$52),"")</f>
        <v/>
      </c>
      <c r="M34" s="572"/>
      <c r="N34" s="572" t="str">
        <f>IF(AND('Riesgos de Gestión'!$P$58="Baja",'Riesgos de Gestión'!$T$58="Leve"),CONCATENATE("R",'Riesgos de Gestión'!$A$58),"")</f>
        <v/>
      </c>
      <c r="O34" s="573"/>
      <c r="P34" s="564" t="str">
        <f>IF(AND('Riesgos de Gestión'!$P$46="Baja",'Riesgos de Gestión'!$T$46="Menor"),CONCATENATE("R",'Riesgos de Gestión'!$A$46),"")</f>
        <v/>
      </c>
      <c r="Q34" s="564"/>
      <c r="R34" s="564" t="str">
        <f>IF(AND('Riesgos de Gestión'!$P$52="Baja",'Riesgos de Gestión'!$T$52="Menor"),CONCATENATE("R",'Riesgos de Gestión'!$A$52),"")</f>
        <v/>
      </c>
      <c r="S34" s="564"/>
      <c r="T34" s="564" t="str">
        <f>IF(AND('Riesgos de Gestión'!$P$58="Baja",'Riesgos de Gestión'!$T$58="Menor"),CONCATENATE("R",'Riesgos de Gestión'!$A$58),"")</f>
        <v/>
      </c>
      <c r="U34" s="565"/>
      <c r="V34" s="563" t="str">
        <f>IF(AND('Riesgos de Gestión'!$P$46="Baja",'Riesgos de Gestión'!$T$46="Moderado"),CONCATENATE("R",'Riesgos de Gestión'!$A$46),"")</f>
        <v/>
      </c>
      <c r="W34" s="564"/>
      <c r="X34" s="564" t="str">
        <f>IF(AND('Riesgos de Gestión'!$P$52="Baja",'Riesgos de Gestión'!$T$52="Moderado"),CONCATENATE("R",'Riesgos de Gestión'!$A$52),"")</f>
        <v/>
      </c>
      <c r="Y34" s="564"/>
      <c r="Z34" s="564" t="str">
        <f>IF(AND('Riesgos de Gestión'!$P$58="Baja",'Riesgos de Gestión'!$T$58="Moderado"),CONCATENATE("R",'Riesgos de Gestión'!$A$58),"")</f>
        <v/>
      </c>
      <c r="AA34" s="565"/>
      <c r="AB34" s="547" t="str">
        <f>IF(AND('Riesgos de Gestión'!$P$46="Baja",'Riesgos de Gestión'!$T$46="Mayor"),CONCATENATE("R",'Riesgos de Gestión'!$A$46),"")</f>
        <v/>
      </c>
      <c r="AC34" s="543"/>
      <c r="AD34" s="543" t="str">
        <f>IF(AND('Riesgos de Gestión'!$P$52="Baja",'Riesgos de Gestión'!$T$52="Mayor"),CONCATENATE("R",'Riesgos de Gestión'!$A$52),"")</f>
        <v/>
      </c>
      <c r="AE34" s="543"/>
      <c r="AF34" s="543" t="str">
        <f>IF(AND('Riesgos de Gestión'!$P$58="Baja",'Riesgos de Gestión'!$T$58="Mayor"),CONCATENATE("R",'Riesgos de Gestión'!$A$58),"")</f>
        <v/>
      </c>
      <c r="AG34" s="544"/>
      <c r="AH34" s="554" t="str">
        <f>IF(AND('Riesgos de Gestión'!$P$46="Baja",'Riesgos de Gestión'!$T$46="Catastrófico"),CONCATENATE("R",'Riesgos de Gestión'!$A$46),"")</f>
        <v/>
      </c>
      <c r="AI34" s="555"/>
      <c r="AJ34" s="555" t="str">
        <f>IF(AND('Riesgos de Gestión'!$P$52="Baja",'Riesgos de Gestión'!$T$52="Catastrófico"),CONCATENATE("R",'Riesgos de Gestión'!$A$52),"")</f>
        <v/>
      </c>
      <c r="AK34" s="555"/>
      <c r="AL34" s="555" t="str">
        <f>IF(AND('Riesgos de Gestión'!$P$58="Baja",'Riesgos de Gestión'!$T$58="Catastrófico"),CONCATENATE("R",'Riesgos de Gestión'!$A$58),"")</f>
        <v/>
      </c>
      <c r="AM34" s="556"/>
      <c r="AN34" s="66"/>
      <c r="AO34" s="528"/>
      <c r="AP34" s="529"/>
      <c r="AQ34" s="529"/>
      <c r="AR34" s="529"/>
      <c r="AS34" s="529"/>
      <c r="AT34" s="530"/>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row>
    <row r="35" spans="1:80" x14ac:dyDescent="0.25">
      <c r="A35" s="66"/>
      <c r="B35" s="496"/>
      <c r="C35" s="496"/>
      <c r="D35" s="497"/>
      <c r="E35" s="537"/>
      <c r="F35" s="538"/>
      <c r="G35" s="538"/>
      <c r="H35" s="538"/>
      <c r="I35" s="538"/>
      <c r="J35" s="574"/>
      <c r="K35" s="572"/>
      <c r="L35" s="572"/>
      <c r="M35" s="572"/>
      <c r="N35" s="572"/>
      <c r="O35" s="573"/>
      <c r="P35" s="564"/>
      <c r="Q35" s="564"/>
      <c r="R35" s="564"/>
      <c r="S35" s="564"/>
      <c r="T35" s="564"/>
      <c r="U35" s="565"/>
      <c r="V35" s="563"/>
      <c r="W35" s="564"/>
      <c r="X35" s="564"/>
      <c r="Y35" s="564"/>
      <c r="Z35" s="564"/>
      <c r="AA35" s="565"/>
      <c r="AB35" s="547"/>
      <c r="AC35" s="543"/>
      <c r="AD35" s="543"/>
      <c r="AE35" s="543"/>
      <c r="AF35" s="543"/>
      <c r="AG35" s="544"/>
      <c r="AH35" s="554"/>
      <c r="AI35" s="555"/>
      <c r="AJ35" s="555"/>
      <c r="AK35" s="555"/>
      <c r="AL35" s="555"/>
      <c r="AM35" s="556"/>
      <c r="AN35" s="66"/>
      <c r="AO35" s="528"/>
      <c r="AP35" s="529"/>
      <c r="AQ35" s="529"/>
      <c r="AR35" s="529"/>
      <c r="AS35" s="529"/>
      <c r="AT35" s="530"/>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row>
    <row r="36" spans="1:80" x14ac:dyDescent="0.25">
      <c r="A36" s="66"/>
      <c r="B36" s="496"/>
      <c r="C36" s="496"/>
      <c r="D36" s="497"/>
      <c r="E36" s="537"/>
      <c r="F36" s="538"/>
      <c r="G36" s="538"/>
      <c r="H36" s="538"/>
      <c r="I36" s="538"/>
      <c r="J36" s="574" t="str">
        <f>IF(AND('Riesgos de Gestión'!$P$66="Baja",'Riesgos de Gestión'!$T$66="Leve"),CONCATENATE("R",'Riesgos de Gestión'!$A$66),"")</f>
        <v/>
      </c>
      <c r="K36" s="572"/>
      <c r="L36" s="572" t="e">
        <f>IF(AND('Riesgos de Gestión'!#REF!="Baja",'Riesgos de Gestión'!#REF!="Leve"),CONCATENATE("R",'Riesgos de Gestión'!#REF!),"")</f>
        <v>#REF!</v>
      </c>
      <c r="M36" s="572"/>
      <c r="N36" s="572" t="e">
        <f>IF(AND('Riesgos de Gestión'!#REF!="Baja",'Riesgos de Gestión'!#REF!="Leve"),CONCATENATE("R",'Riesgos de Gestión'!#REF!),"")</f>
        <v>#REF!</v>
      </c>
      <c r="O36" s="573"/>
      <c r="P36" s="564" t="str">
        <f>IF(AND('Riesgos de Gestión'!$P$66="Baja",'Riesgos de Gestión'!$T$66="Menor"),CONCATENATE("R",'Riesgos de Gestión'!$A$66),"")</f>
        <v/>
      </c>
      <c r="Q36" s="564"/>
      <c r="R36" s="564" t="e">
        <f>IF(AND('Riesgos de Gestión'!#REF!="Baja",'Riesgos de Gestión'!#REF!="Menor"),CONCATENATE("R",'Riesgos de Gestión'!#REF!),"")</f>
        <v>#REF!</v>
      </c>
      <c r="S36" s="564"/>
      <c r="T36" s="564" t="e">
        <f>IF(AND('Riesgos de Gestión'!#REF!="Baja",'Riesgos de Gestión'!#REF!="Menor"),CONCATENATE("R",'Riesgos de Gestión'!#REF!),"")</f>
        <v>#REF!</v>
      </c>
      <c r="U36" s="565"/>
      <c r="V36" s="563" t="str">
        <f>IF(AND('Riesgos de Gestión'!$P$66="Baja",'Riesgos de Gestión'!$T$66="Moderado"),CONCATENATE("R",'Riesgos de Gestión'!$A$66),"")</f>
        <v/>
      </c>
      <c r="W36" s="564"/>
      <c r="X36" s="564" t="e">
        <f>IF(AND('Riesgos de Gestión'!#REF!="Baja",'Riesgos de Gestión'!#REF!="Moderado"),CONCATENATE("R",'Riesgos de Gestión'!#REF!),"")</f>
        <v>#REF!</v>
      </c>
      <c r="Y36" s="564"/>
      <c r="Z36" s="564" t="e">
        <f>IF(AND('Riesgos de Gestión'!#REF!="Baja",'Riesgos de Gestión'!#REF!="Moderado"),CONCATENATE("R",'Riesgos de Gestión'!#REF!),"")</f>
        <v>#REF!</v>
      </c>
      <c r="AA36" s="565"/>
      <c r="AB36" s="547" t="str">
        <f>IF(AND('Riesgos de Gestión'!$P$66="Baja",'Riesgos de Gestión'!$T$66="Mayor"),CONCATENATE("R",'Riesgos de Gestión'!$A$66),"")</f>
        <v/>
      </c>
      <c r="AC36" s="543"/>
      <c r="AD36" s="543" t="e">
        <f>IF(AND('Riesgos de Gestión'!#REF!="Baja",'Riesgos de Gestión'!#REF!="Mayor"),CONCATENATE("R",'Riesgos de Gestión'!#REF!),"")</f>
        <v>#REF!</v>
      </c>
      <c r="AE36" s="543"/>
      <c r="AF36" s="543" t="e">
        <f>IF(AND('Riesgos de Gestión'!#REF!="Baja",'Riesgos de Gestión'!#REF!="Mayor"),CONCATENATE("R",'Riesgos de Gestión'!#REF!),"")</f>
        <v>#REF!</v>
      </c>
      <c r="AG36" s="544"/>
      <c r="AH36" s="554" t="str">
        <f>IF(AND('Riesgos de Gestión'!$P$66="Baja",'Riesgos de Gestión'!$T$66="Catastrófico"),CONCATENATE("R",'Riesgos de Gestión'!$A$66),"")</f>
        <v/>
      </c>
      <c r="AI36" s="555"/>
      <c r="AJ36" s="555" t="e">
        <f>IF(AND('Riesgos de Gestión'!#REF!="Baja",'Riesgos de Gestión'!#REF!="Catastrófico"),CONCATENATE("R",'Riesgos de Gestión'!#REF!),"")</f>
        <v>#REF!</v>
      </c>
      <c r="AK36" s="555"/>
      <c r="AL36" s="555" t="e">
        <f>IF(AND('Riesgos de Gestión'!#REF!="Baja",'Riesgos de Gestión'!#REF!="Catastrófico"),CONCATENATE("R",'Riesgos de Gestión'!#REF!),"")</f>
        <v>#REF!</v>
      </c>
      <c r="AM36" s="556"/>
      <c r="AN36" s="66"/>
      <c r="AO36" s="528"/>
      <c r="AP36" s="529"/>
      <c r="AQ36" s="529"/>
      <c r="AR36" s="529"/>
      <c r="AS36" s="529"/>
      <c r="AT36" s="530"/>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row>
    <row r="37" spans="1:80" ht="15.75" thickBot="1" x14ac:dyDescent="0.3">
      <c r="A37" s="66"/>
      <c r="B37" s="496"/>
      <c r="C37" s="496"/>
      <c r="D37" s="497"/>
      <c r="E37" s="540"/>
      <c r="F37" s="541"/>
      <c r="G37" s="541"/>
      <c r="H37" s="541"/>
      <c r="I37" s="541"/>
      <c r="J37" s="575"/>
      <c r="K37" s="576"/>
      <c r="L37" s="576"/>
      <c r="M37" s="576"/>
      <c r="N37" s="576"/>
      <c r="O37" s="577"/>
      <c r="P37" s="567"/>
      <c r="Q37" s="567"/>
      <c r="R37" s="567"/>
      <c r="S37" s="567"/>
      <c r="T37" s="567"/>
      <c r="U37" s="568"/>
      <c r="V37" s="566"/>
      <c r="W37" s="567"/>
      <c r="X37" s="567"/>
      <c r="Y37" s="567"/>
      <c r="Z37" s="567"/>
      <c r="AA37" s="568"/>
      <c r="AB37" s="551"/>
      <c r="AC37" s="552"/>
      <c r="AD37" s="552"/>
      <c r="AE37" s="552"/>
      <c r="AF37" s="552"/>
      <c r="AG37" s="553"/>
      <c r="AH37" s="557"/>
      <c r="AI37" s="558"/>
      <c r="AJ37" s="558"/>
      <c r="AK37" s="558"/>
      <c r="AL37" s="558"/>
      <c r="AM37" s="559"/>
      <c r="AN37" s="66"/>
      <c r="AO37" s="531"/>
      <c r="AP37" s="532"/>
      <c r="AQ37" s="532"/>
      <c r="AR37" s="532"/>
      <c r="AS37" s="532"/>
      <c r="AT37" s="533"/>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row>
    <row r="38" spans="1:80" x14ac:dyDescent="0.25">
      <c r="A38" s="66"/>
      <c r="B38" s="496"/>
      <c r="C38" s="496"/>
      <c r="D38" s="497"/>
      <c r="E38" s="534" t="s">
        <v>409</v>
      </c>
      <c r="F38" s="535"/>
      <c r="G38" s="535"/>
      <c r="H38" s="535"/>
      <c r="I38" s="536"/>
      <c r="J38" s="578" t="str">
        <f>IF(AND('Riesgos de Gestión'!$P$10="Muy Baja",'Riesgos de Gestión'!$T$10="Leve"),CONCATENATE("R",'Riesgos de Gestión'!$A$10),"")</f>
        <v/>
      </c>
      <c r="K38" s="579"/>
      <c r="L38" s="579" t="str">
        <f>IF(AND('Riesgos de Gestión'!$P$16="Muy Baja",'Riesgos de Gestión'!$T$16="Leve"),CONCATENATE("R",'Riesgos de Gestión'!$A$16),"")</f>
        <v/>
      </c>
      <c r="M38" s="579"/>
      <c r="N38" s="579" t="str">
        <f>IF(AND('Riesgos de Gestión'!$P$22="Muy Baja",'Riesgos de Gestión'!$T$22="Leve"),CONCATENATE("R",'Riesgos de Gestión'!$A$22),"")</f>
        <v/>
      </c>
      <c r="O38" s="580"/>
      <c r="P38" s="578" t="str">
        <f>IF(AND('Riesgos de Gestión'!$P$10="Muy Baja",'Riesgos de Gestión'!$T$10="Menor"),CONCATENATE("R",'Riesgos de Gestión'!$A$10),"")</f>
        <v/>
      </c>
      <c r="Q38" s="579"/>
      <c r="R38" s="579" t="str">
        <f>IF(AND('Riesgos de Gestión'!$P$16="Muy Baja",'Riesgos de Gestión'!$T$16="Menor"),CONCATENATE("R",'Riesgos de Gestión'!$A$16),"")</f>
        <v/>
      </c>
      <c r="S38" s="579"/>
      <c r="T38" s="579" t="str">
        <f>IF(AND('Riesgos de Gestión'!$P$22="Muy Baja",'Riesgos de Gestión'!$T$22="Menor"),CONCATENATE("R",'Riesgos de Gestión'!$A$22),"")</f>
        <v/>
      </c>
      <c r="U38" s="580"/>
      <c r="V38" s="569" t="str">
        <f>IF(AND('Riesgos de Gestión'!$P$10="Muy Baja",'Riesgos de Gestión'!$T$10="Moderado"),CONCATENATE("R",'Riesgos de Gestión'!$A$10),"")</f>
        <v/>
      </c>
      <c r="W38" s="570"/>
      <c r="X38" s="570" t="str">
        <f>IF(AND('Riesgos de Gestión'!$P$16="Muy Baja",'Riesgos de Gestión'!$T$16="Moderado"),CONCATENATE("R",'Riesgos de Gestión'!$A$16),"")</f>
        <v/>
      </c>
      <c r="Y38" s="570"/>
      <c r="Z38" s="570" t="str">
        <f>IF(AND('Riesgos de Gestión'!$P$22="Muy Baja",'Riesgos de Gestión'!$T$22="Moderado"),CONCATENATE("R",'Riesgos de Gestión'!$A$22),"")</f>
        <v/>
      </c>
      <c r="AA38" s="571"/>
      <c r="AB38" s="545" t="str">
        <f>IF(AND('Riesgos de Gestión'!$P$10="Muy Baja",'Riesgos de Gestión'!$T$10="Mayor"),CONCATENATE("R",'Riesgos de Gestión'!$A$10),"")</f>
        <v/>
      </c>
      <c r="AC38" s="546"/>
      <c r="AD38" s="546" t="str">
        <f>IF(AND('Riesgos de Gestión'!$P$16="Muy Baja",'Riesgos de Gestión'!$T$16="Mayor"),CONCATENATE("R",'Riesgos de Gestión'!$A$16),"")</f>
        <v/>
      </c>
      <c r="AE38" s="546"/>
      <c r="AF38" s="546" t="str">
        <f>IF(AND('Riesgos de Gestión'!$P$22="Muy Baja",'Riesgos de Gestión'!$T$22="Mayor"),CONCATENATE("R",'Riesgos de Gestión'!$A$22),"")</f>
        <v/>
      </c>
      <c r="AG38" s="548"/>
      <c r="AH38" s="560" t="str">
        <f>IF(AND('Riesgos de Gestión'!$P$10="Muy Baja",'Riesgos de Gestión'!$T$10="Catastrófico"),CONCATENATE("R",'Riesgos de Gestión'!$A$10),"")</f>
        <v/>
      </c>
      <c r="AI38" s="561"/>
      <c r="AJ38" s="561" t="str">
        <f>IF(AND('Riesgos de Gestión'!$P$16="Muy Baja",'Riesgos de Gestión'!$T$16="Catastrófico"),CONCATENATE("R",'Riesgos de Gestión'!$A$16),"")</f>
        <v/>
      </c>
      <c r="AK38" s="561"/>
      <c r="AL38" s="561" t="str">
        <f>IF(AND('Riesgos de Gestión'!$P$22="Muy Baja",'Riesgos de Gestión'!$T$22="Catastrófico"),CONCATENATE("R",'Riesgos de Gestión'!$A$22),"")</f>
        <v/>
      </c>
      <c r="AM38" s="562"/>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row>
    <row r="39" spans="1:80" x14ac:dyDescent="0.25">
      <c r="A39" s="66"/>
      <c r="B39" s="496"/>
      <c r="C39" s="496"/>
      <c r="D39" s="497"/>
      <c r="E39" s="537"/>
      <c r="F39" s="538"/>
      <c r="G39" s="538"/>
      <c r="H39" s="538"/>
      <c r="I39" s="539"/>
      <c r="J39" s="574"/>
      <c r="K39" s="572"/>
      <c r="L39" s="572"/>
      <c r="M39" s="572"/>
      <c r="N39" s="572"/>
      <c r="O39" s="573"/>
      <c r="P39" s="574"/>
      <c r="Q39" s="572"/>
      <c r="R39" s="572"/>
      <c r="S39" s="572"/>
      <c r="T39" s="572"/>
      <c r="U39" s="573"/>
      <c r="V39" s="563"/>
      <c r="W39" s="564"/>
      <c r="X39" s="564"/>
      <c r="Y39" s="564"/>
      <c r="Z39" s="564"/>
      <c r="AA39" s="565"/>
      <c r="AB39" s="547"/>
      <c r="AC39" s="543"/>
      <c r="AD39" s="543"/>
      <c r="AE39" s="543"/>
      <c r="AF39" s="543"/>
      <c r="AG39" s="544"/>
      <c r="AH39" s="554"/>
      <c r="AI39" s="555"/>
      <c r="AJ39" s="555"/>
      <c r="AK39" s="555"/>
      <c r="AL39" s="555"/>
      <c r="AM39" s="55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row>
    <row r="40" spans="1:80" x14ac:dyDescent="0.25">
      <c r="A40" s="66"/>
      <c r="B40" s="496"/>
      <c r="C40" s="496"/>
      <c r="D40" s="497"/>
      <c r="E40" s="537"/>
      <c r="F40" s="538"/>
      <c r="G40" s="538"/>
      <c r="H40" s="538"/>
      <c r="I40" s="539"/>
      <c r="J40" s="574" t="str">
        <f>IF(AND('Riesgos de Gestión'!$P$28="Muy Baja",'Riesgos de Gestión'!$T$28="Leve"),CONCATENATE("R",'Riesgos de Gestión'!$A$28),"")</f>
        <v/>
      </c>
      <c r="K40" s="572"/>
      <c r="L40" s="572" t="str">
        <f>IF(AND('Riesgos de Gestión'!$P$34="Muy Baja",'Riesgos de Gestión'!$T$34="Leve"),CONCATENATE("R",'Riesgos de Gestión'!$A$34),"")</f>
        <v/>
      </c>
      <c r="M40" s="572"/>
      <c r="N40" s="572" t="str">
        <f>IF(AND('Riesgos de Gestión'!$P$40="Muy Baja",'Riesgos de Gestión'!$T$40="Leve"),CONCATENATE("R",'Riesgos de Gestión'!$A$40),"")</f>
        <v/>
      </c>
      <c r="O40" s="573"/>
      <c r="P40" s="574" t="str">
        <f>IF(AND('Riesgos de Gestión'!$P$28="Muy Baja",'Riesgos de Gestión'!$T$28="Menor"),CONCATENATE("R",'Riesgos de Gestión'!$A$28),"")</f>
        <v/>
      </c>
      <c r="Q40" s="572"/>
      <c r="R40" s="572" t="str">
        <f>IF(AND('Riesgos de Gestión'!$P$34="Muy Baja",'Riesgos de Gestión'!$T$34="Menor"),CONCATENATE("R",'Riesgos de Gestión'!$A$34),"")</f>
        <v/>
      </c>
      <c r="S40" s="572"/>
      <c r="T40" s="572" t="str">
        <f>IF(AND('Riesgos de Gestión'!$P$40="Muy Baja",'Riesgos de Gestión'!$T$40="Menor"),CONCATENATE("R",'Riesgos de Gestión'!$A$40),"")</f>
        <v/>
      </c>
      <c r="U40" s="573"/>
      <c r="V40" s="563" t="str">
        <f>IF(AND('Riesgos de Gestión'!$P$28="Muy Baja",'Riesgos de Gestión'!$T$28="Moderado"),CONCATENATE("R",'Riesgos de Gestión'!$A$28),"")</f>
        <v/>
      </c>
      <c r="W40" s="564"/>
      <c r="X40" s="564" t="str">
        <f>IF(AND('Riesgos de Gestión'!$P$34="Muy Baja",'Riesgos de Gestión'!$T$34="Moderado"),CONCATENATE("R",'Riesgos de Gestión'!$A$34),"")</f>
        <v/>
      </c>
      <c r="Y40" s="564"/>
      <c r="Z40" s="564" t="str">
        <f>IF(AND('Riesgos de Gestión'!$P$40="Muy Baja",'Riesgos de Gestión'!$T$40="Moderado"),CONCATENATE("R",'Riesgos de Gestión'!$A$40),"")</f>
        <v/>
      </c>
      <c r="AA40" s="565"/>
      <c r="AB40" s="547" t="str">
        <f>IF(AND('Riesgos de Gestión'!$P$28="Muy Baja",'Riesgos de Gestión'!$T$28="Mayor"),CONCATENATE("R",'Riesgos de Gestión'!$A$28),"")</f>
        <v/>
      </c>
      <c r="AC40" s="543"/>
      <c r="AD40" s="543" t="str">
        <f>IF(AND('Riesgos de Gestión'!$P$34="Muy Baja",'Riesgos de Gestión'!$T$34="Mayor"),CONCATENATE("R",'Riesgos de Gestión'!$A$34),"")</f>
        <v/>
      </c>
      <c r="AE40" s="543"/>
      <c r="AF40" s="543" t="str">
        <f>IF(AND('Riesgos de Gestión'!$P$40="Muy Baja",'Riesgos de Gestión'!$T$40="Mayor"),CONCATENATE("R",'Riesgos de Gestión'!$A$40),"")</f>
        <v/>
      </c>
      <c r="AG40" s="544"/>
      <c r="AH40" s="554" t="str">
        <f>IF(AND('Riesgos de Gestión'!$P$28="Muy Baja",'Riesgos de Gestión'!$T$28="Catastrófico"),CONCATENATE("R",'Riesgos de Gestión'!$A$28),"")</f>
        <v/>
      </c>
      <c r="AI40" s="555"/>
      <c r="AJ40" s="555" t="str">
        <f>IF(AND('Riesgos de Gestión'!$P$34="Muy Baja",'Riesgos de Gestión'!$T$34="Catastrófico"),CONCATENATE("R",'Riesgos de Gestión'!$A$34),"")</f>
        <v/>
      </c>
      <c r="AK40" s="555"/>
      <c r="AL40" s="555" t="str">
        <f>IF(AND('Riesgos de Gestión'!$P$40="Muy Baja",'Riesgos de Gestión'!$T$40="Catastrófico"),CONCATENATE("R",'Riesgos de Gestión'!$A$40),"")</f>
        <v/>
      </c>
      <c r="AM40" s="55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row>
    <row r="41" spans="1:80" x14ac:dyDescent="0.25">
      <c r="A41" s="66"/>
      <c r="B41" s="496"/>
      <c r="C41" s="496"/>
      <c r="D41" s="497"/>
      <c r="E41" s="537"/>
      <c r="F41" s="538"/>
      <c r="G41" s="538"/>
      <c r="H41" s="538"/>
      <c r="I41" s="539"/>
      <c r="J41" s="574"/>
      <c r="K41" s="572"/>
      <c r="L41" s="572"/>
      <c r="M41" s="572"/>
      <c r="N41" s="572"/>
      <c r="O41" s="573"/>
      <c r="P41" s="574"/>
      <c r="Q41" s="572"/>
      <c r="R41" s="572"/>
      <c r="S41" s="572"/>
      <c r="T41" s="572"/>
      <c r="U41" s="573"/>
      <c r="V41" s="563"/>
      <c r="W41" s="564"/>
      <c r="X41" s="564"/>
      <c r="Y41" s="564"/>
      <c r="Z41" s="564"/>
      <c r="AA41" s="565"/>
      <c r="AB41" s="547"/>
      <c r="AC41" s="543"/>
      <c r="AD41" s="543"/>
      <c r="AE41" s="543"/>
      <c r="AF41" s="543"/>
      <c r="AG41" s="544"/>
      <c r="AH41" s="554"/>
      <c r="AI41" s="555"/>
      <c r="AJ41" s="555"/>
      <c r="AK41" s="555"/>
      <c r="AL41" s="555"/>
      <c r="AM41" s="55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row>
    <row r="42" spans="1:80" x14ac:dyDescent="0.25">
      <c r="A42" s="66"/>
      <c r="B42" s="496"/>
      <c r="C42" s="496"/>
      <c r="D42" s="497"/>
      <c r="E42" s="537"/>
      <c r="F42" s="538"/>
      <c r="G42" s="538"/>
      <c r="H42" s="538"/>
      <c r="I42" s="539"/>
      <c r="J42" s="574" t="str">
        <f>IF(AND('Riesgos de Gestión'!$P$46="Muy Baja",'Riesgos de Gestión'!$T$46="Leve"),CONCATENATE("R",'Riesgos de Gestión'!$A$46),"")</f>
        <v/>
      </c>
      <c r="K42" s="572"/>
      <c r="L42" s="572" t="str">
        <f>IF(AND('Riesgos de Gestión'!$P$52="Muy Baja",'Riesgos de Gestión'!$T$52="Leve"),CONCATENATE("R",'Riesgos de Gestión'!$A$52),"")</f>
        <v/>
      </c>
      <c r="M42" s="572"/>
      <c r="N42" s="572" t="str">
        <f>IF(AND('Riesgos de Gestión'!$P$58="Muy Baja",'Riesgos de Gestión'!$T$58="Leve"),CONCATENATE("R",'Riesgos de Gestión'!$A$58),"")</f>
        <v/>
      </c>
      <c r="O42" s="573"/>
      <c r="P42" s="574" t="str">
        <f>IF(AND('Riesgos de Gestión'!$P$46="Muy Baja",'Riesgos de Gestión'!$T$46="Menor"),CONCATENATE("R",'Riesgos de Gestión'!$A$46),"")</f>
        <v/>
      </c>
      <c r="Q42" s="572"/>
      <c r="R42" s="572" t="str">
        <f>IF(AND('Riesgos de Gestión'!$P$52="Muy Baja",'Riesgos de Gestión'!$T$52="Menor"),CONCATENATE("R",'Riesgos de Gestión'!$A$52),"")</f>
        <v/>
      </c>
      <c r="S42" s="572"/>
      <c r="T42" s="572" t="str">
        <f>IF(AND('Riesgos de Gestión'!$P$58="Muy Baja",'Riesgos de Gestión'!$T$58="Menor"),CONCATENATE("R",'Riesgos de Gestión'!$A$58),"")</f>
        <v/>
      </c>
      <c r="U42" s="573"/>
      <c r="V42" s="563" t="str">
        <f>IF(AND('Riesgos de Gestión'!$P$46="Muy Baja",'Riesgos de Gestión'!$T$46="Moderado"),CONCATENATE("R",'Riesgos de Gestión'!$A$46),"")</f>
        <v/>
      </c>
      <c r="W42" s="564"/>
      <c r="X42" s="564" t="str">
        <f>IF(AND('Riesgos de Gestión'!$P$52="Muy Baja",'Riesgos de Gestión'!$T$52="Moderado"),CONCATENATE("R",'Riesgos de Gestión'!$A$52),"")</f>
        <v/>
      </c>
      <c r="Y42" s="564"/>
      <c r="Z42" s="564" t="str">
        <f>IF(AND('Riesgos de Gestión'!$P$58="Muy Baja",'Riesgos de Gestión'!$T$58="Moderado"),CONCATENATE("R",'Riesgos de Gestión'!$A$58),"")</f>
        <v/>
      </c>
      <c r="AA42" s="565"/>
      <c r="AB42" s="547" t="str">
        <f>IF(AND('Riesgos de Gestión'!$P$46="Muy Baja",'Riesgos de Gestión'!$T$46="Mayor"),CONCATENATE("R",'Riesgos de Gestión'!$A$46),"")</f>
        <v/>
      </c>
      <c r="AC42" s="543"/>
      <c r="AD42" s="543" t="str">
        <f>IF(AND('Riesgos de Gestión'!$P$52="Muy Baja",'Riesgos de Gestión'!$T$52="Mayor"),CONCATENATE("R",'Riesgos de Gestión'!$A$52),"")</f>
        <v/>
      </c>
      <c r="AE42" s="543"/>
      <c r="AF42" s="543" t="str">
        <f>IF(AND('Riesgos de Gestión'!$P$58="Muy Baja",'Riesgos de Gestión'!$T$58="Mayor"),CONCATENATE("R",'Riesgos de Gestión'!$A$58),"")</f>
        <v/>
      </c>
      <c r="AG42" s="544"/>
      <c r="AH42" s="554" t="str">
        <f>IF(AND('Riesgos de Gestión'!$P$46="Muy Baja",'Riesgos de Gestión'!$T$46="Catastrófico"),CONCATENATE("R",'Riesgos de Gestión'!$A$46),"")</f>
        <v/>
      </c>
      <c r="AI42" s="555"/>
      <c r="AJ42" s="555" t="str">
        <f>IF(AND('Riesgos de Gestión'!$P$52="Muy Baja",'Riesgos de Gestión'!$T$52="Catastrófico"),CONCATENATE("R",'Riesgos de Gestión'!$A$52),"")</f>
        <v/>
      </c>
      <c r="AK42" s="555"/>
      <c r="AL42" s="555" t="str">
        <f>IF(AND('Riesgos de Gestión'!$P$58="Muy Baja",'Riesgos de Gestión'!$T$58="Catastrófico"),CONCATENATE("R",'Riesgos de Gestión'!$A$58),"")</f>
        <v/>
      </c>
      <c r="AM42" s="556"/>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c r="BY42" s="66"/>
      <c r="BZ42" s="66"/>
      <c r="CA42" s="66"/>
      <c r="CB42" s="66"/>
    </row>
    <row r="43" spans="1:80" x14ac:dyDescent="0.25">
      <c r="A43" s="66"/>
      <c r="B43" s="496"/>
      <c r="C43" s="496"/>
      <c r="D43" s="497"/>
      <c r="E43" s="537"/>
      <c r="F43" s="538"/>
      <c r="G43" s="538"/>
      <c r="H43" s="538"/>
      <c r="I43" s="539"/>
      <c r="J43" s="574"/>
      <c r="K43" s="572"/>
      <c r="L43" s="572"/>
      <c r="M43" s="572"/>
      <c r="N43" s="572"/>
      <c r="O43" s="573"/>
      <c r="P43" s="574"/>
      <c r="Q43" s="572"/>
      <c r="R43" s="572"/>
      <c r="S43" s="572"/>
      <c r="T43" s="572"/>
      <c r="U43" s="573"/>
      <c r="V43" s="563"/>
      <c r="W43" s="564"/>
      <c r="X43" s="564"/>
      <c r="Y43" s="564"/>
      <c r="Z43" s="564"/>
      <c r="AA43" s="565"/>
      <c r="AB43" s="547"/>
      <c r="AC43" s="543"/>
      <c r="AD43" s="543"/>
      <c r="AE43" s="543"/>
      <c r="AF43" s="543"/>
      <c r="AG43" s="544"/>
      <c r="AH43" s="554"/>
      <c r="AI43" s="555"/>
      <c r="AJ43" s="555"/>
      <c r="AK43" s="555"/>
      <c r="AL43" s="555"/>
      <c r="AM43" s="556"/>
      <c r="AN43" s="66"/>
      <c r="AO43" s="66"/>
      <c r="AP43" s="66"/>
      <c r="AQ43" s="66"/>
      <c r="AR43" s="66"/>
      <c r="AS43" s="66"/>
      <c r="AT43" s="66"/>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c r="BY43" s="66"/>
      <c r="BZ43" s="66"/>
      <c r="CA43" s="66"/>
      <c r="CB43" s="66"/>
    </row>
    <row r="44" spans="1:80" x14ac:dyDescent="0.25">
      <c r="A44" s="66"/>
      <c r="B44" s="496"/>
      <c r="C44" s="496"/>
      <c r="D44" s="497"/>
      <c r="E44" s="537"/>
      <c r="F44" s="538"/>
      <c r="G44" s="538"/>
      <c r="H44" s="538"/>
      <c r="I44" s="539"/>
      <c r="J44" s="574" t="str">
        <f>IF(AND('Riesgos de Gestión'!$P$66="Muy Baja",'Riesgos de Gestión'!$T$66="Leve"),CONCATENATE("R",'Riesgos de Gestión'!$A$66),"")</f>
        <v/>
      </c>
      <c r="K44" s="572"/>
      <c r="L44" s="572" t="e">
        <f>IF(AND('Riesgos de Gestión'!#REF!="Muy Baja",'Riesgos de Gestión'!#REF!="Leve"),CONCATENATE("R",'Riesgos de Gestión'!#REF!),"")</f>
        <v>#REF!</v>
      </c>
      <c r="M44" s="572"/>
      <c r="N44" s="572" t="e">
        <f>IF(AND('Riesgos de Gestión'!#REF!="Muy Baja",'Riesgos de Gestión'!#REF!="Leve"),CONCATENATE("R",'Riesgos de Gestión'!#REF!),"")</f>
        <v>#REF!</v>
      </c>
      <c r="O44" s="573"/>
      <c r="P44" s="574" t="str">
        <f>IF(AND('Riesgos de Gestión'!$P$66="Muy Baja",'Riesgos de Gestión'!$T$66="Menor"),CONCATENATE("R",'Riesgos de Gestión'!$A$66),"")</f>
        <v/>
      </c>
      <c r="Q44" s="572"/>
      <c r="R44" s="572" t="e">
        <f>IF(AND('Riesgos de Gestión'!#REF!="Muy Baja",'Riesgos de Gestión'!#REF!="Menor"),CONCATENATE("R",'Riesgos de Gestión'!#REF!),"")</f>
        <v>#REF!</v>
      </c>
      <c r="S44" s="572"/>
      <c r="T44" s="572" t="e">
        <f>IF(AND('Riesgos de Gestión'!#REF!="Muy Baja",'Riesgos de Gestión'!#REF!="Menor"),CONCATENATE("R",'Riesgos de Gestión'!#REF!),"")</f>
        <v>#REF!</v>
      </c>
      <c r="U44" s="573"/>
      <c r="V44" s="563" t="str">
        <f>IF(AND('Riesgos de Gestión'!$P$66="Muy Baja",'Riesgos de Gestión'!$T$66="Moderado"),CONCATENATE("R",'Riesgos de Gestión'!$A$66),"")</f>
        <v/>
      </c>
      <c r="W44" s="564"/>
      <c r="X44" s="564" t="e">
        <f>IF(AND('Riesgos de Gestión'!#REF!="Muy Baja",'Riesgos de Gestión'!#REF!="Moderado"),CONCATENATE("R",'Riesgos de Gestión'!#REF!),"")</f>
        <v>#REF!</v>
      </c>
      <c r="Y44" s="564"/>
      <c r="Z44" s="564" t="e">
        <f>IF(AND('Riesgos de Gestión'!#REF!="Muy Baja",'Riesgos de Gestión'!#REF!="Moderado"),CONCATENATE("R",'Riesgos de Gestión'!#REF!),"")</f>
        <v>#REF!</v>
      </c>
      <c r="AA44" s="565"/>
      <c r="AB44" s="547" t="str">
        <f>IF(AND('Riesgos de Gestión'!$P$66="Muy Baja",'Riesgos de Gestión'!$T$66="Mayor"),CONCATENATE("R",'Riesgos de Gestión'!$A$66),"")</f>
        <v/>
      </c>
      <c r="AC44" s="543"/>
      <c r="AD44" s="543" t="e">
        <f>IF(AND('Riesgos de Gestión'!#REF!="Muy Baja",'Riesgos de Gestión'!#REF!="Mayor"),CONCATENATE("R",'Riesgos de Gestión'!#REF!),"")</f>
        <v>#REF!</v>
      </c>
      <c r="AE44" s="543"/>
      <c r="AF44" s="543" t="e">
        <f>IF(AND('Riesgos de Gestión'!#REF!="Muy Baja",'Riesgos de Gestión'!#REF!="Mayor"),CONCATENATE("R",'Riesgos de Gestión'!#REF!),"")</f>
        <v>#REF!</v>
      </c>
      <c r="AG44" s="544"/>
      <c r="AH44" s="554" t="str">
        <f>IF(AND('Riesgos de Gestión'!$P$66="Muy Baja",'Riesgos de Gestión'!$T$66="Catastrófico"),CONCATENATE("R",'Riesgos de Gestión'!$A$66),"")</f>
        <v/>
      </c>
      <c r="AI44" s="555"/>
      <c r="AJ44" s="555" t="e">
        <f>IF(AND('Riesgos de Gestión'!#REF!="Muy Baja",'Riesgos de Gestión'!#REF!="Catastrófico"),CONCATENATE("R",'Riesgos de Gestión'!#REF!),"")</f>
        <v>#REF!</v>
      </c>
      <c r="AK44" s="555"/>
      <c r="AL44" s="555" t="e">
        <f>IF(AND('Riesgos de Gestión'!#REF!="Muy Baja",'Riesgos de Gestión'!#REF!="Catastrófico"),CONCATENATE("R",'Riesgos de Gestión'!#REF!),"")</f>
        <v>#REF!</v>
      </c>
      <c r="AM44" s="55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row>
    <row r="45" spans="1:80" ht="15.75" thickBot="1" x14ac:dyDescent="0.3">
      <c r="A45" s="66"/>
      <c r="B45" s="496"/>
      <c r="C45" s="496"/>
      <c r="D45" s="497"/>
      <c r="E45" s="540"/>
      <c r="F45" s="541"/>
      <c r="G45" s="541"/>
      <c r="H45" s="541"/>
      <c r="I45" s="542"/>
      <c r="J45" s="575"/>
      <c r="K45" s="576"/>
      <c r="L45" s="576"/>
      <c r="M45" s="576"/>
      <c r="N45" s="576"/>
      <c r="O45" s="577"/>
      <c r="P45" s="575"/>
      <c r="Q45" s="576"/>
      <c r="R45" s="576"/>
      <c r="S45" s="576"/>
      <c r="T45" s="576"/>
      <c r="U45" s="577"/>
      <c r="V45" s="566"/>
      <c r="W45" s="567"/>
      <c r="X45" s="567"/>
      <c r="Y45" s="567"/>
      <c r="Z45" s="567"/>
      <c r="AA45" s="568"/>
      <c r="AB45" s="551"/>
      <c r="AC45" s="552"/>
      <c r="AD45" s="552"/>
      <c r="AE45" s="552"/>
      <c r="AF45" s="552"/>
      <c r="AG45" s="553"/>
      <c r="AH45" s="557"/>
      <c r="AI45" s="558"/>
      <c r="AJ45" s="558"/>
      <c r="AK45" s="558"/>
      <c r="AL45" s="558"/>
      <c r="AM45" s="559"/>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row>
    <row r="46" spans="1:80" x14ac:dyDescent="0.25">
      <c r="A46" s="66"/>
      <c r="B46" s="66"/>
      <c r="C46" s="66"/>
      <c r="D46" s="66"/>
      <c r="E46" s="66"/>
      <c r="F46" s="66"/>
      <c r="G46" s="66"/>
      <c r="H46" s="66"/>
      <c r="I46" s="66"/>
      <c r="J46" s="534" t="s">
        <v>410</v>
      </c>
      <c r="K46" s="535"/>
      <c r="L46" s="535"/>
      <c r="M46" s="535"/>
      <c r="N46" s="535"/>
      <c r="O46" s="536"/>
      <c r="P46" s="534" t="s">
        <v>411</v>
      </c>
      <c r="Q46" s="535"/>
      <c r="R46" s="535"/>
      <c r="S46" s="535"/>
      <c r="T46" s="535"/>
      <c r="U46" s="536"/>
      <c r="V46" s="534" t="s">
        <v>412</v>
      </c>
      <c r="W46" s="535"/>
      <c r="X46" s="535"/>
      <c r="Y46" s="535"/>
      <c r="Z46" s="535"/>
      <c r="AA46" s="536"/>
      <c r="AB46" s="534" t="s">
        <v>413</v>
      </c>
      <c r="AC46" s="550"/>
      <c r="AD46" s="535"/>
      <c r="AE46" s="535"/>
      <c r="AF46" s="535"/>
      <c r="AG46" s="536"/>
      <c r="AH46" s="534" t="s">
        <v>414</v>
      </c>
      <c r="AI46" s="535"/>
      <c r="AJ46" s="535"/>
      <c r="AK46" s="535"/>
      <c r="AL46" s="535"/>
      <c r="AM46" s="53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row>
    <row r="47" spans="1:80" x14ac:dyDescent="0.25">
      <c r="A47" s="66"/>
      <c r="B47" s="66"/>
      <c r="C47" s="66"/>
      <c r="D47" s="66"/>
      <c r="E47" s="66"/>
      <c r="F47" s="66"/>
      <c r="G47" s="66"/>
      <c r="H47" s="66"/>
      <c r="I47" s="66"/>
      <c r="J47" s="537"/>
      <c r="K47" s="538"/>
      <c r="L47" s="538"/>
      <c r="M47" s="538"/>
      <c r="N47" s="538"/>
      <c r="O47" s="539"/>
      <c r="P47" s="537"/>
      <c r="Q47" s="538"/>
      <c r="R47" s="538"/>
      <c r="S47" s="538"/>
      <c r="T47" s="538"/>
      <c r="U47" s="539"/>
      <c r="V47" s="537"/>
      <c r="W47" s="538"/>
      <c r="X47" s="538"/>
      <c r="Y47" s="538"/>
      <c r="Z47" s="538"/>
      <c r="AA47" s="539"/>
      <c r="AB47" s="537"/>
      <c r="AC47" s="538"/>
      <c r="AD47" s="538"/>
      <c r="AE47" s="538"/>
      <c r="AF47" s="538"/>
      <c r="AG47" s="539"/>
      <c r="AH47" s="537"/>
      <c r="AI47" s="538"/>
      <c r="AJ47" s="538"/>
      <c r="AK47" s="538"/>
      <c r="AL47" s="538"/>
      <c r="AM47" s="539"/>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row>
    <row r="48" spans="1:80" x14ac:dyDescent="0.25">
      <c r="A48" s="66"/>
      <c r="B48" s="66"/>
      <c r="C48" s="66"/>
      <c r="D48" s="66"/>
      <c r="E48" s="66"/>
      <c r="F48" s="66"/>
      <c r="G48" s="66"/>
      <c r="H48" s="66"/>
      <c r="I48" s="66"/>
      <c r="J48" s="537"/>
      <c r="K48" s="538"/>
      <c r="L48" s="538"/>
      <c r="M48" s="538"/>
      <c r="N48" s="538"/>
      <c r="O48" s="539"/>
      <c r="P48" s="537"/>
      <c r="Q48" s="538"/>
      <c r="R48" s="538"/>
      <c r="S48" s="538"/>
      <c r="T48" s="538"/>
      <c r="U48" s="539"/>
      <c r="V48" s="537"/>
      <c r="W48" s="538"/>
      <c r="X48" s="538"/>
      <c r="Y48" s="538"/>
      <c r="Z48" s="538"/>
      <c r="AA48" s="539"/>
      <c r="AB48" s="537"/>
      <c r="AC48" s="538"/>
      <c r="AD48" s="538"/>
      <c r="AE48" s="538"/>
      <c r="AF48" s="538"/>
      <c r="AG48" s="539"/>
      <c r="AH48" s="537"/>
      <c r="AI48" s="538"/>
      <c r="AJ48" s="538"/>
      <c r="AK48" s="538"/>
      <c r="AL48" s="538"/>
      <c r="AM48" s="539"/>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row>
    <row r="49" spans="1:80" x14ac:dyDescent="0.25">
      <c r="A49" s="66"/>
      <c r="B49" s="66"/>
      <c r="C49" s="66"/>
      <c r="D49" s="66"/>
      <c r="E49" s="66"/>
      <c r="F49" s="66"/>
      <c r="G49" s="66"/>
      <c r="H49" s="66"/>
      <c r="I49" s="66"/>
      <c r="J49" s="537"/>
      <c r="K49" s="538"/>
      <c r="L49" s="538"/>
      <c r="M49" s="538"/>
      <c r="N49" s="538"/>
      <c r="O49" s="539"/>
      <c r="P49" s="537"/>
      <c r="Q49" s="538"/>
      <c r="R49" s="538"/>
      <c r="S49" s="538"/>
      <c r="T49" s="538"/>
      <c r="U49" s="539"/>
      <c r="V49" s="537"/>
      <c r="W49" s="538"/>
      <c r="X49" s="538"/>
      <c r="Y49" s="538"/>
      <c r="Z49" s="538"/>
      <c r="AA49" s="539"/>
      <c r="AB49" s="537"/>
      <c r="AC49" s="538"/>
      <c r="AD49" s="538"/>
      <c r="AE49" s="538"/>
      <c r="AF49" s="538"/>
      <c r="AG49" s="539"/>
      <c r="AH49" s="537"/>
      <c r="AI49" s="538"/>
      <c r="AJ49" s="538"/>
      <c r="AK49" s="538"/>
      <c r="AL49" s="538"/>
      <c r="AM49" s="539"/>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row>
    <row r="50" spans="1:80" x14ac:dyDescent="0.25">
      <c r="A50" s="66"/>
      <c r="B50" s="66"/>
      <c r="C50" s="66"/>
      <c r="D50" s="66"/>
      <c r="E50" s="66"/>
      <c r="F50" s="66"/>
      <c r="G50" s="66"/>
      <c r="H50" s="66"/>
      <c r="I50" s="66"/>
      <c r="J50" s="537"/>
      <c r="K50" s="538"/>
      <c r="L50" s="538"/>
      <c r="M50" s="538"/>
      <c r="N50" s="538"/>
      <c r="O50" s="539"/>
      <c r="P50" s="537"/>
      <c r="Q50" s="538"/>
      <c r="R50" s="538"/>
      <c r="S50" s="538"/>
      <c r="T50" s="538"/>
      <c r="U50" s="539"/>
      <c r="V50" s="537"/>
      <c r="W50" s="538"/>
      <c r="X50" s="538"/>
      <c r="Y50" s="538"/>
      <c r="Z50" s="538"/>
      <c r="AA50" s="539"/>
      <c r="AB50" s="537"/>
      <c r="AC50" s="538"/>
      <c r="AD50" s="538"/>
      <c r="AE50" s="538"/>
      <c r="AF50" s="538"/>
      <c r="AG50" s="539"/>
      <c r="AH50" s="537"/>
      <c r="AI50" s="538"/>
      <c r="AJ50" s="538"/>
      <c r="AK50" s="538"/>
      <c r="AL50" s="538"/>
      <c r="AM50" s="539"/>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row>
    <row r="51" spans="1:80" ht="15.75" thickBot="1" x14ac:dyDescent="0.3">
      <c r="A51" s="66"/>
      <c r="B51" s="66"/>
      <c r="C51" s="66"/>
      <c r="D51" s="66"/>
      <c r="E51" s="66"/>
      <c r="F51" s="66"/>
      <c r="G51" s="66"/>
      <c r="H51" s="66"/>
      <c r="I51" s="66"/>
      <c r="J51" s="540"/>
      <c r="K51" s="541"/>
      <c r="L51" s="541"/>
      <c r="M51" s="541"/>
      <c r="N51" s="541"/>
      <c r="O51" s="542"/>
      <c r="P51" s="540"/>
      <c r="Q51" s="541"/>
      <c r="R51" s="541"/>
      <c r="S51" s="541"/>
      <c r="T51" s="541"/>
      <c r="U51" s="542"/>
      <c r="V51" s="540"/>
      <c r="W51" s="541"/>
      <c r="X51" s="541"/>
      <c r="Y51" s="541"/>
      <c r="Z51" s="541"/>
      <c r="AA51" s="542"/>
      <c r="AB51" s="540"/>
      <c r="AC51" s="541"/>
      <c r="AD51" s="541"/>
      <c r="AE51" s="541"/>
      <c r="AF51" s="541"/>
      <c r="AG51" s="542"/>
      <c r="AH51" s="540"/>
      <c r="AI51" s="541"/>
      <c r="AJ51" s="541"/>
      <c r="AK51" s="541"/>
      <c r="AL51" s="541"/>
      <c r="AM51" s="542"/>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row>
    <row r="52" spans="1:80" x14ac:dyDescent="0.25">
      <c r="A52" s="66"/>
      <c r="B52" s="66"/>
      <c r="C52" s="66"/>
      <c r="D52" s="66"/>
      <c r="E52" s="66"/>
      <c r="F52" s="66"/>
      <c r="G52" s="66"/>
      <c r="H52" s="66"/>
      <c r="I52" s="66"/>
      <c r="J52" s="66"/>
      <c r="K52" s="66"/>
      <c r="L52" s="66"/>
      <c r="M52" s="66"/>
      <c r="N52" s="66"/>
      <c r="O52" s="66"/>
      <c r="P52" s="66"/>
      <c r="Q52" s="66"/>
      <c r="R52" s="66"/>
      <c r="S52" s="66"/>
      <c r="T52" s="66"/>
      <c r="U52" s="66"/>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row>
    <row r="53" spans="1:80" ht="15" customHeight="1" x14ac:dyDescent="0.25">
      <c r="A53" s="66"/>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row>
    <row r="54" spans="1:80" ht="15" customHeight="1" x14ac:dyDescent="0.25">
      <c r="A54" s="66"/>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row>
    <row r="55" spans="1:80" x14ac:dyDescent="0.25">
      <c r="A55" s="66"/>
      <c r="B55" s="66"/>
      <c r="C55" s="66"/>
      <c r="D55" s="66"/>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row>
    <row r="56" spans="1:80" x14ac:dyDescent="0.25">
      <c r="A56" s="66"/>
      <c r="B56" s="66"/>
      <c r="C56" s="66"/>
      <c r="D56" s="66"/>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row>
    <row r="57" spans="1:80" x14ac:dyDescent="0.25">
      <c r="A57" s="66"/>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row>
    <row r="58" spans="1:80" x14ac:dyDescent="0.25">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row>
    <row r="59" spans="1:80" x14ac:dyDescent="0.25">
      <c r="A59" s="66"/>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row>
    <row r="60" spans="1:80" x14ac:dyDescent="0.25">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row>
    <row r="61" spans="1:80" x14ac:dyDescent="0.25">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row>
    <row r="62" spans="1:80" x14ac:dyDescent="0.25">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row>
    <row r="63" spans="1:80" x14ac:dyDescent="0.25">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row>
    <row r="64" spans="1:80" x14ac:dyDescent="0.25">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row>
    <row r="65" spans="1:80" x14ac:dyDescent="0.25">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row>
    <row r="66" spans="1:80" x14ac:dyDescent="0.25">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row>
    <row r="67" spans="1:80" x14ac:dyDescent="0.25">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row>
    <row r="68" spans="1:80" x14ac:dyDescent="0.25">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row>
    <row r="69" spans="1:80" x14ac:dyDescent="0.25">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row>
    <row r="70" spans="1:80" x14ac:dyDescent="0.25">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row>
    <row r="71" spans="1:80" x14ac:dyDescent="0.25">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row>
    <row r="72" spans="1:80" x14ac:dyDescent="0.25">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row>
    <row r="73" spans="1:80" x14ac:dyDescent="0.25">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row>
    <row r="74" spans="1:80" x14ac:dyDescent="0.25">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row>
    <row r="75" spans="1:80" x14ac:dyDescent="0.25">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row>
    <row r="76" spans="1:80" x14ac:dyDescent="0.25">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row>
    <row r="77" spans="1:80" x14ac:dyDescent="0.25">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row>
    <row r="78" spans="1:80" x14ac:dyDescent="0.25">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66"/>
      <c r="BY78" s="66"/>
      <c r="BZ78" s="66"/>
      <c r="CA78" s="66"/>
      <c r="CB78" s="66"/>
    </row>
    <row r="79" spans="1:80" x14ac:dyDescent="0.25">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c r="BI79" s="66"/>
      <c r="BJ79" s="66"/>
      <c r="BK79" s="66"/>
    </row>
    <row r="80" spans="1:80" x14ac:dyDescent="0.25">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6"/>
      <c r="BK80" s="66"/>
    </row>
    <row r="81" spans="1:63" x14ac:dyDescent="0.25">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c r="BI81" s="66"/>
      <c r="BJ81" s="66"/>
      <c r="BK81" s="66"/>
    </row>
    <row r="82" spans="1:63" x14ac:dyDescent="0.25">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c r="BI82" s="66"/>
      <c r="BJ82" s="66"/>
      <c r="BK82" s="66"/>
    </row>
    <row r="83" spans="1:63" x14ac:dyDescent="0.25">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6"/>
      <c r="BK83" s="66"/>
    </row>
    <row r="84" spans="1:63" x14ac:dyDescent="0.25">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row>
    <row r="85" spans="1:63" x14ac:dyDescent="0.25">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c r="BI85" s="66"/>
      <c r="BJ85" s="66"/>
      <c r="BK85" s="66"/>
    </row>
    <row r="86" spans="1:63" x14ac:dyDescent="0.25">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c r="BD86" s="66"/>
      <c r="BE86" s="66"/>
      <c r="BF86" s="66"/>
      <c r="BG86" s="66"/>
      <c r="BH86" s="66"/>
      <c r="BI86" s="66"/>
      <c r="BJ86" s="66"/>
      <c r="BK86" s="66"/>
    </row>
    <row r="87" spans="1:63" x14ac:dyDescent="0.25">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c r="BI87" s="66"/>
      <c r="BJ87" s="66"/>
      <c r="BK87" s="66"/>
    </row>
    <row r="88" spans="1:63" x14ac:dyDescent="0.25">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6"/>
      <c r="BK88" s="66"/>
    </row>
    <row r="89" spans="1:63" x14ac:dyDescent="0.25">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c r="BI89" s="66"/>
      <c r="BJ89" s="66"/>
      <c r="BK89" s="66"/>
    </row>
    <row r="90" spans="1:63" x14ac:dyDescent="0.25">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c r="BI90" s="66"/>
      <c r="BJ90" s="66"/>
      <c r="BK90" s="66"/>
    </row>
    <row r="91" spans="1:63" x14ac:dyDescent="0.25">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row>
    <row r="92" spans="1:63" x14ac:dyDescent="0.25">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row>
    <row r="93" spans="1:63" x14ac:dyDescent="0.25">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c r="BI93" s="66"/>
      <c r="BJ93" s="66"/>
      <c r="BK93" s="66"/>
    </row>
    <row r="94" spans="1:63" x14ac:dyDescent="0.25">
      <c r="A94" s="66"/>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c r="BI94" s="66"/>
      <c r="BJ94" s="66"/>
      <c r="BK94" s="66"/>
    </row>
    <row r="95" spans="1:63" x14ac:dyDescent="0.25">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c r="BI95" s="66"/>
      <c r="BJ95" s="66"/>
      <c r="BK95" s="66"/>
    </row>
    <row r="96" spans="1:63" x14ac:dyDescent="0.25">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row>
    <row r="97" spans="1:63" x14ac:dyDescent="0.25">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c r="BI97" s="66"/>
      <c r="BJ97" s="66"/>
      <c r="BK97" s="66"/>
    </row>
    <row r="98" spans="1:63" x14ac:dyDescent="0.25">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row>
    <row r="99" spans="1:63" x14ac:dyDescent="0.25">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6"/>
      <c r="BK99" s="66"/>
    </row>
    <row r="100" spans="1:63" x14ac:dyDescent="0.25">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c r="BI100" s="66"/>
      <c r="BJ100" s="66"/>
      <c r="BK100" s="66"/>
    </row>
    <row r="101" spans="1:63" x14ac:dyDescent="0.25">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c r="BI101" s="66"/>
      <c r="BJ101" s="66"/>
      <c r="BK101" s="66"/>
    </row>
    <row r="102" spans="1:63" x14ac:dyDescent="0.25">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c r="BI102" s="66"/>
      <c r="BJ102" s="66"/>
      <c r="BK102" s="66"/>
    </row>
    <row r="103" spans="1:63" x14ac:dyDescent="0.25">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c r="BI103" s="66"/>
      <c r="BJ103" s="66"/>
      <c r="BK103" s="66"/>
    </row>
    <row r="104" spans="1:63" x14ac:dyDescent="0.25">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c r="BI104" s="66"/>
      <c r="BJ104" s="66"/>
      <c r="BK104" s="66"/>
    </row>
    <row r="105" spans="1:63" x14ac:dyDescent="0.25">
      <c r="A105" s="66"/>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6"/>
      <c r="BK105" s="66"/>
    </row>
    <row r="106" spans="1:63" x14ac:dyDescent="0.2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row>
    <row r="107" spans="1:63" x14ac:dyDescent="0.25">
      <c r="A107" s="66"/>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row>
    <row r="108" spans="1:63" x14ac:dyDescent="0.25">
      <c r="A108" s="66"/>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row>
    <row r="109" spans="1:63" x14ac:dyDescent="0.25">
      <c r="A109" s="66"/>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row>
    <row r="110" spans="1:63" x14ac:dyDescent="0.25">
      <c r="A110" s="66"/>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row>
    <row r="111" spans="1:63" x14ac:dyDescent="0.25">
      <c r="A111" s="66"/>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row>
    <row r="112" spans="1:63" x14ac:dyDescent="0.25">
      <c r="A112" s="66"/>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row>
    <row r="113" spans="1:63" x14ac:dyDescent="0.25">
      <c r="A113" s="66"/>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row>
    <row r="114" spans="1:63" x14ac:dyDescent="0.25">
      <c r="A114" s="66"/>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row>
    <row r="115" spans="1:63" x14ac:dyDescent="0.25">
      <c r="A115" s="66"/>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row>
    <row r="116" spans="1:63" x14ac:dyDescent="0.25">
      <c r="A116" s="66"/>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c r="BI116" s="66"/>
      <c r="BJ116" s="66"/>
      <c r="BK116" s="66"/>
    </row>
    <row r="117" spans="1:63" x14ac:dyDescent="0.25">
      <c r="A117" s="66"/>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c r="BI117" s="66"/>
      <c r="BJ117" s="66"/>
      <c r="BK117" s="66"/>
    </row>
    <row r="118" spans="1:63" x14ac:dyDescent="0.25">
      <c r="A118" s="66"/>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c r="BI118" s="66"/>
      <c r="BJ118" s="66"/>
      <c r="BK118" s="66"/>
    </row>
    <row r="119" spans="1:63" x14ac:dyDescent="0.25">
      <c r="A119" s="66"/>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c r="BI119" s="66"/>
      <c r="BJ119" s="66"/>
      <c r="BK119" s="66"/>
    </row>
    <row r="120" spans="1:63" x14ac:dyDescent="0.25">
      <c r="A120" s="66"/>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c r="BI120" s="66"/>
      <c r="BJ120" s="66"/>
      <c r="BK120" s="66"/>
    </row>
    <row r="121" spans="1:63" x14ac:dyDescent="0.25">
      <c r="A121" s="66"/>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row>
    <row r="122" spans="1:63" x14ac:dyDescent="0.25">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row>
    <row r="123" spans="1:63" x14ac:dyDescent="0.25">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row>
    <row r="124" spans="1:63" x14ac:dyDescent="0.25">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row>
    <row r="125" spans="1:63" x14ac:dyDescent="0.25">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row>
    <row r="126" spans="1:63" x14ac:dyDescent="0.25">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row>
    <row r="127" spans="1:63" x14ac:dyDescent="0.25">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row>
    <row r="128" spans="1:63" x14ac:dyDescent="0.25">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c r="BI128" s="66"/>
      <c r="BJ128" s="66"/>
      <c r="BK128" s="66"/>
    </row>
    <row r="129" spans="2:63" x14ac:dyDescent="0.25">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row>
    <row r="130" spans="2:63" x14ac:dyDescent="0.25">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c r="BI130" s="66"/>
      <c r="BJ130" s="66"/>
      <c r="BK130" s="66"/>
    </row>
    <row r="131" spans="2:63" x14ac:dyDescent="0.25">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c r="BI131" s="66"/>
      <c r="BJ131" s="66"/>
      <c r="BK131" s="66"/>
    </row>
    <row r="132" spans="2:63" x14ac:dyDescent="0.25">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c r="BI132" s="66"/>
      <c r="BJ132" s="66"/>
      <c r="BK132" s="66"/>
    </row>
    <row r="133" spans="2:63" x14ac:dyDescent="0.25">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c r="BI133" s="66"/>
      <c r="BJ133" s="66"/>
      <c r="BK133" s="66"/>
    </row>
    <row r="134" spans="2:63" x14ac:dyDescent="0.25">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c r="BI134" s="66"/>
      <c r="BJ134" s="66"/>
      <c r="BK134" s="66"/>
    </row>
    <row r="135" spans="2:63" x14ac:dyDescent="0.25">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c r="BI135" s="66"/>
      <c r="BJ135" s="66"/>
      <c r="BK135" s="66"/>
    </row>
    <row r="136" spans="2:63" x14ac:dyDescent="0.25">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c r="BI136" s="66"/>
      <c r="BJ136" s="66"/>
      <c r="BK136" s="66"/>
    </row>
    <row r="137" spans="2:63" x14ac:dyDescent="0.25">
      <c r="B137" s="66"/>
      <c r="C137" s="66"/>
      <c r="D137" s="66"/>
      <c r="E137" s="66"/>
      <c r="F137" s="66"/>
      <c r="G137" s="66"/>
      <c r="H137" s="66"/>
      <c r="I137" s="66"/>
    </row>
    <row r="138" spans="2:63" x14ac:dyDescent="0.25">
      <c r="B138" s="66"/>
      <c r="C138" s="66"/>
      <c r="D138" s="66"/>
      <c r="E138" s="66"/>
      <c r="F138" s="66"/>
      <c r="G138" s="66"/>
      <c r="H138" s="66"/>
      <c r="I138" s="66"/>
    </row>
    <row r="139" spans="2:63" x14ac:dyDescent="0.25">
      <c r="B139" s="66"/>
      <c r="C139" s="66"/>
      <c r="D139" s="66"/>
      <c r="E139" s="66"/>
      <c r="F139" s="66"/>
      <c r="G139" s="66"/>
      <c r="H139" s="66"/>
      <c r="I139" s="66"/>
    </row>
    <row r="140" spans="2:63" x14ac:dyDescent="0.25">
      <c r="B140" s="66"/>
      <c r="C140" s="66"/>
      <c r="D140" s="66"/>
      <c r="E140" s="66"/>
      <c r="F140" s="66"/>
      <c r="G140" s="66"/>
      <c r="H140" s="66"/>
      <c r="I140" s="66"/>
    </row>
  </sheetData>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M248"/>
  <sheetViews>
    <sheetView topLeftCell="A18" zoomScale="40" zoomScaleNormal="40" workbookViewId="0">
      <selection activeCell="W46" sqref="W46"/>
    </sheetView>
  </sheetViews>
  <sheetFormatPr baseColWidth="10" defaultColWidth="11.42578125"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row>
    <row r="2" spans="1:91" ht="18" customHeight="1" x14ac:dyDescent="0.25">
      <c r="A2" s="66"/>
      <c r="B2" s="607" t="s">
        <v>415</v>
      </c>
      <c r="C2" s="608"/>
      <c r="D2" s="608"/>
      <c r="E2" s="608"/>
      <c r="F2" s="608"/>
      <c r="G2" s="608"/>
      <c r="H2" s="608"/>
      <c r="I2" s="608"/>
      <c r="J2" s="549" t="s">
        <v>0</v>
      </c>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c r="AM2" s="549"/>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row>
    <row r="3" spans="1:91" ht="18.75" customHeight="1" x14ac:dyDescent="0.25">
      <c r="A3" s="66"/>
      <c r="B3" s="608"/>
      <c r="C3" s="608"/>
      <c r="D3" s="608"/>
      <c r="E3" s="608"/>
      <c r="F3" s="608"/>
      <c r="G3" s="608"/>
      <c r="H3" s="608"/>
      <c r="I3" s="608"/>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549"/>
      <c r="AJ3" s="549"/>
      <c r="AK3" s="549"/>
      <c r="AL3" s="549"/>
      <c r="AM3" s="549"/>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row>
    <row r="4" spans="1:91" ht="15" customHeight="1" x14ac:dyDescent="0.25">
      <c r="A4" s="66"/>
      <c r="B4" s="608"/>
      <c r="C4" s="608"/>
      <c r="D4" s="608"/>
      <c r="E4" s="608"/>
      <c r="F4" s="608"/>
      <c r="G4" s="608"/>
      <c r="H4" s="608"/>
      <c r="I4" s="608"/>
      <c r="J4" s="549"/>
      <c r="K4" s="549"/>
      <c r="L4" s="549"/>
      <c r="M4" s="549"/>
      <c r="N4" s="549"/>
      <c r="O4" s="549"/>
      <c r="P4" s="549"/>
      <c r="Q4" s="549"/>
      <c r="R4" s="549"/>
      <c r="S4" s="549"/>
      <c r="T4" s="549"/>
      <c r="U4" s="549"/>
      <c r="V4" s="549"/>
      <c r="W4" s="549"/>
      <c r="X4" s="549"/>
      <c r="Y4" s="549"/>
      <c r="Z4" s="549"/>
      <c r="AA4" s="549"/>
      <c r="AB4" s="549"/>
      <c r="AC4" s="549"/>
      <c r="AD4" s="549"/>
      <c r="AE4" s="549"/>
      <c r="AF4" s="549"/>
      <c r="AG4" s="549"/>
      <c r="AH4" s="549"/>
      <c r="AI4" s="549"/>
      <c r="AJ4" s="549"/>
      <c r="AK4" s="549"/>
      <c r="AL4" s="549"/>
      <c r="AM4" s="549"/>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row>
    <row r="5" spans="1:91" ht="15.75" thickBot="1" x14ac:dyDescent="0.3">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row>
    <row r="6" spans="1:91" ht="15" customHeight="1" x14ac:dyDescent="0.25">
      <c r="A6" s="66"/>
      <c r="B6" s="496" t="s">
        <v>400</v>
      </c>
      <c r="C6" s="496"/>
      <c r="D6" s="497"/>
      <c r="E6" s="591" t="s">
        <v>401</v>
      </c>
      <c r="F6" s="592"/>
      <c r="G6" s="592"/>
      <c r="H6" s="592"/>
      <c r="I6" s="609"/>
      <c r="J6" s="29" t="str">
        <f>IF(AND('Riesgos de Gestión'!$AJ$10="Muy Alta",'Riesgos de Gestión'!$AL$10="Leve"),CONCATENATE("R1C",'Riesgos de Gestión'!$W$10),"")</f>
        <v/>
      </c>
      <c r="K6" s="30" t="str">
        <f>IF(AND('Riesgos de Gestión'!$AJ$11="Muy Alta",'Riesgos de Gestión'!$AL$11="Leve"),CONCATENATE("R1C",'Riesgos de Gestión'!$W$11),"")</f>
        <v/>
      </c>
      <c r="L6" s="30" t="str">
        <f>IF(AND('Riesgos de Gestión'!$AJ$12="Muy Alta",'Riesgos de Gestión'!$AL$12="Leve"),CONCATENATE("R1C",'Riesgos de Gestión'!$W$12),"")</f>
        <v/>
      </c>
      <c r="M6" s="30" t="str">
        <f>IF(AND('Riesgos de Gestión'!$AJ$13="Muy Alta",'Riesgos de Gestión'!$AL$13="Leve"),CONCATENATE("R1C",'Riesgos de Gestión'!$W$13),"")</f>
        <v/>
      </c>
      <c r="N6" s="30" t="str">
        <f>IF(AND('Riesgos de Gestión'!$AJ$14="Muy Alta",'Riesgos de Gestión'!$AL$14="Leve"),CONCATENATE("R1C",'Riesgos de Gestión'!$W$14),"")</f>
        <v/>
      </c>
      <c r="O6" s="31" t="str">
        <f>IF(AND('Riesgos de Gestión'!$AJ$15="Muy Alta",'Riesgos de Gestión'!$AL$15="Leve"),CONCATENATE("R1C",'Riesgos de Gestión'!$W$15),"")</f>
        <v/>
      </c>
      <c r="P6" s="29" t="str">
        <f>IF(AND('Riesgos de Gestión'!$AJ$10="Muy Alta",'Riesgos de Gestión'!$AL$10="Menor"),CONCATENATE("R1C",'Riesgos de Gestión'!$W$10),"")</f>
        <v/>
      </c>
      <c r="Q6" s="30" t="str">
        <f>IF(AND('Riesgos de Gestión'!$AJ$11="Muy Alta",'Riesgos de Gestión'!$AL$11="Menor"),CONCATENATE("R1C",'Riesgos de Gestión'!$W$11),"")</f>
        <v/>
      </c>
      <c r="R6" s="30" t="str">
        <f>IF(AND('Riesgos de Gestión'!$AJ$12="Muy Alta",'Riesgos de Gestión'!$AL$12="Menor"),CONCATENATE("R1C",'Riesgos de Gestión'!$W$12),"")</f>
        <v/>
      </c>
      <c r="S6" s="30" t="str">
        <f>IF(AND('Riesgos de Gestión'!$AJ$13="Muy Alta",'Riesgos de Gestión'!$AL$13="Menor"),CONCATENATE("R1C",'Riesgos de Gestión'!$W$13),"")</f>
        <v/>
      </c>
      <c r="T6" s="30" t="str">
        <f>IF(AND('Riesgos de Gestión'!$AJ$14="Muy Alta",'Riesgos de Gestión'!$AL$14="Menor"),CONCATENATE("R1C",'Riesgos de Gestión'!$W$14),"")</f>
        <v/>
      </c>
      <c r="U6" s="31" t="str">
        <f>IF(AND('Riesgos de Gestión'!$AJ$15="Muy Alta",'Riesgos de Gestión'!$AL$15="Menor"),CONCATENATE("R1C",'Riesgos de Gestión'!$W$15),"")</f>
        <v/>
      </c>
      <c r="V6" s="29" t="str">
        <f>IF(AND('Riesgos de Gestión'!$AJ$10="Muy Alta",'Riesgos de Gestión'!$AL$10="Moderado"),CONCATENATE("R1C",'Riesgos de Gestión'!$W$10),"")</f>
        <v/>
      </c>
      <c r="W6" s="30" t="str">
        <f>IF(AND('Riesgos de Gestión'!$AJ$11="Muy Alta",'Riesgos de Gestión'!$AL$11="Moderado"),CONCATENATE("R1C",'Riesgos de Gestión'!$W$11),"")</f>
        <v/>
      </c>
      <c r="X6" s="30" t="str">
        <f>IF(AND('Riesgos de Gestión'!$AJ$12="Muy Alta",'Riesgos de Gestión'!$AL$12="Moderado"),CONCATENATE("R1C",'Riesgos de Gestión'!$W$12),"")</f>
        <v/>
      </c>
      <c r="Y6" s="30" t="str">
        <f>IF(AND('Riesgos de Gestión'!$AJ$13="Muy Alta",'Riesgos de Gestión'!$AL$13="Moderado"),CONCATENATE("R1C",'Riesgos de Gestión'!$W$13),"")</f>
        <v/>
      </c>
      <c r="Z6" s="30" t="str">
        <f>IF(AND('Riesgos de Gestión'!$AJ$14="Muy Alta",'Riesgos de Gestión'!$AL$14="Moderado"),CONCATENATE("R1C",'Riesgos de Gestión'!$W$14),"")</f>
        <v/>
      </c>
      <c r="AA6" s="31" t="str">
        <f>IF(AND('Riesgos de Gestión'!$AJ$15="Muy Alta",'Riesgos de Gestión'!$AL$15="Moderado"),CONCATENATE("R1C",'Riesgos de Gestión'!$W$15),"")</f>
        <v/>
      </c>
      <c r="AB6" s="29" t="str">
        <f>IF(AND('Riesgos de Gestión'!$AJ$10="Muy Alta",'Riesgos de Gestión'!$AL$10="Mayor"),CONCATENATE("R1C",'Riesgos de Gestión'!$W$10),"")</f>
        <v/>
      </c>
      <c r="AC6" s="30" t="str">
        <f>IF(AND('Riesgos de Gestión'!$AJ$11="Muy Alta",'Riesgos de Gestión'!$AL$11="Mayor"),CONCATENATE("R1C",'Riesgos de Gestión'!$W$11),"")</f>
        <v/>
      </c>
      <c r="AD6" s="30" t="str">
        <f>IF(AND('Riesgos de Gestión'!$AJ$12="Muy Alta",'Riesgos de Gestión'!$AL$12="Mayor"),CONCATENATE("R1C",'Riesgos de Gestión'!$W$12),"")</f>
        <v/>
      </c>
      <c r="AE6" s="30" t="str">
        <f>IF(AND('Riesgos de Gestión'!$AJ$13="Muy Alta",'Riesgos de Gestión'!$AL$13="Mayor"),CONCATENATE("R1C",'Riesgos de Gestión'!$W$13),"")</f>
        <v/>
      </c>
      <c r="AF6" s="30" t="str">
        <f>IF(AND('Riesgos de Gestión'!$AJ$14="Muy Alta",'Riesgos de Gestión'!$AL$14="Mayor"),CONCATENATE("R1C",'Riesgos de Gestión'!$W$14),"")</f>
        <v/>
      </c>
      <c r="AG6" s="31" t="str">
        <f>IF(AND('Riesgos de Gestión'!$AJ$15="Muy Alta",'Riesgos de Gestión'!$AL$15="Mayor"),CONCATENATE("R1C",'Riesgos de Gestión'!$W$15),"")</f>
        <v/>
      </c>
      <c r="AH6" s="32" t="str">
        <f>IF(AND('Riesgos de Gestión'!$AJ$10="Muy Alta",'Riesgos de Gestión'!$AL$10="Catastrófico"),CONCATENATE("R1C",'Riesgos de Gestión'!$W$10),"")</f>
        <v/>
      </c>
      <c r="AI6" s="33" t="str">
        <f>IF(AND('Riesgos de Gestión'!$AJ$11="Muy Alta",'Riesgos de Gestión'!$AL$11="Catastrófico"),CONCATENATE("R1C",'Riesgos de Gestión'!$W$11),"")</f>
        <v/>
      </c>
      <c r="AJ6" s="33" t="str">
        <f>IF(AND('Riesgos de Gestión'!$AJ$12="Muy Alta",'Riesgos de Gestión'!$AL$12="Catastrófico"),CONCATENATE("R1C",'Riesgos de Gestión'!$W$12),"")</f>
        <v/>
      </c>
      <c r="AK6" s="33" t="str">
        <f>IF(AND('Riesgos de Gestión'!$AJ$13="Muy Alta",'Riesgos de Gestión'!$AL$13="Catastrófico"),CONCATENATE("R1C",'Riesgos de Gestión'!$W$13),"")</f>
        <v/>
      </c>
      <c r="AL6" s="33" t="str">
        <f>IF(AND('Riesgos de Gestión'!$AJ$14="Muy Alta",'Riesgos de Gestión'!$AL$14="Catastrófico"),CONCATENATE("R1C",'Riesgos de Gestión'!$W$14),"")</f>
        <v/>
      </c>
      <c r="AM6" s="34" t="str">
        <f>IF(AND('Riesgos de Gestión'!$AJ$15="Muy Alta",'Riesgos de Gestión'!$AL$15="Catastrófico"),CONCATENATE("R1C",'Riesgos de Gestión'!$W$15),"")</f>
        <v/>
      </c>
      <c r="AN6" s="66"/>
      <c r="AO6" s="598" t="s">
        <v>402</v>
      </c>
      <c r="AP6" s="599"/>
      <c r="AQ6" s="599"/>
      <c r="AR6" s="599"/>
      <c r="AS6" s="599"/>
      <c r="AT6" s="600"/>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row>
    <row r="7" spans="1:91" ht="15" customHeight="1" x14ac:dyDescent="0.25">
      <c r="A7" s="66"/>
      <c r="B7" s="496"/>
      <c r="C7" s="496"/>
      <c r="D7" s="497"/>
      <c r="E7" s="595"/>
      <c r="F7" s="594"/>
      <c r="G7" s="594"/>
      <c r="H7" s="594"/>
      <c r="I7" s="610"/>
      <c r="J7" s="35" t="str">
        <f>IF(AND('Riesgos de Gestión'!$AJ$16="Muy Alta",'Riesgos de Gestión'!$AL$16="Leve"),CONCATENATE("R2C",'Riesgos de Gestión'!$W$16),"")</f>
        <v/>
      </c>
      <c r="K7" s="36" t="str">
        <f>IF(AND('Riesgos de Gestión'!$AJ$17="Muy Alta",'Riesgos de Gestión'!$AL$17="Leve"),CONCATENATE("R2C",'Riesgos de Gestión'!$W$17),"")</f>
        <v/>
      </c>
      <c r="L7" s="36" t="str">
        <f>IF(AND('Riesgos de Gestión'!$AJ$18="Muy Alta",'Riesgos de Gestión'!$AL$18="Leve"),CONCATENATE("R2C",'Riesgos de Gestión'!$W$18),"")</f>
        <v/>
      </c>
      <c r="M7" s="36" t="str">
        <f>IF(AND('Riesgos de Gestión'!$AJ$19="Muy Alta",'Riesgos de Gestión'!$AL$19="Leve"),CONCATENATE("R2C",'Riesgos de Gestión'!$W$19),"")</f>
        <v/>
      </c>
      <c r="N7" s="36" t="str">
        <f>IF(AND('Riesgos de Gestión'!$AJ$20="Muy Alta",'Riesgos de Gestión'!$AL$20="Leve"),CONCATENATE("R2C",'Riesgos de Gestión'!$W$20),"")</f>
        <v/>
      </c>
      <c r="O7" s="37" t="str">
        <f>IF(AND('Riesgos de Gestión'!$AJ$21="Muy Alta",'Riesgos de Gestión'!$AL$21="Leve"),CONCATENATE("R2C",'Riesgos de Gestión'!$W$21),"")</f>
        <v/>
      </c>
      <c r="P7" s="35" t="str">
        <f>IF(AND('Riesgos de Gestión'!$AJ$16="Muy Alta",'Riesgos de Gestión'!$AL$16="Menor"),CONCATENATE("R2C",'Riesgos de Gestión'!$W$16),"")</f>
        <v/>
      </c>
      <c r="Q7" s="36" t="str">
        <f>IF(AND('Riesgos de Gestión'!$AJ$17="Muy Alta",'Riesgos de Gestión'!$AL$17="Menor"),CONCATENATE("R2C",'Riesgos de Gestión'!$W$17),"")</f>
        <v/>
      </c>
      <c r="R7" s="36" t="str">
        <f>IF(AND('Riesgos de Gestión'!$AJ$18="Muy Alta",'Riesgos de Gestión'!$AL$18="Menor"),CONCATENATE("R2C",'Riesgos de Gestión'!$W$18),"")</f>
        <v/>
      </c>
      <c r="S7" s="36" t="str">
        <f>IF(AND('Riesgos de Gestión'!$AJ$19="Muy Alta",'Riesgos de Gestión'!$AL$19="Menor"),CONCATENATE("R2C",'Riesgos de Gestión'!$W$19),"")</f>
        <v/>
      </c>
      <c r="T7" s="36" t="str">
        <f>IF(AND('Riesgos de Gestión'!$AJ$20="Muy Alta",'Riesgos de Gestión'!$AL$20="Menor"),CONCATENATE("R2C",'Riesgos de Gestión'!$W$20),"")</f>
        <v/>
      </c>
      <c r="U7" s="37" t="str">
        <f>IF(AND('Riesgos de Gestión'!$AJ$21="Muy Alta",'Riesgos de Gestión'!$AL$21="Menor"),CONCATENATE("R2C",'Riesgos de Gestión'!$W$21),"")</f>
        <v/>
      </c>
      <c r="V7" s="35" t="str">
        <f>IF(AND('Riesgos de Gestión'!$AJ$16="Muy Alta",'Riesgos de Gestión'!$AL$16="Moderado"),CONCATENATE("R2C",'Riesgos de Gestión'!$W$16),"")</f>
        <v/>
      </c>
      <c r="W7" s="36" t="str">
        <f>IF(AND('Riesgos de Gestión'!$AJ$17="Muy Alta",'Riesgos de Gestión'!$AL$17="Moderado"),CONCATENATE("R2C",'Riesgos de Gestión'!$W$17),"")</f>
        <v/>
      </c>
      <c r="X7" s="36" t="str">
        <f>IF(AND('Riesgos de Gestión'!$AJ$18="Muy Alta",'Riesgos de Gestión'!$AL$18="Moderado"),CONCATENATE("R2C",'Riesgos de Gestión'!$W$18),"")</f>
        <v/>
      </c>
      <c r="Y7" s="36" t="str">
        <f>IF(AND('Riesgos de Gestión'!$AJ$19="Muy Alta",'Riesgos de Gestión'!$AL$19="Moderado"),CONCATENATE("R2C",'Riesgos de Gestión'!$W$19),"")</f>
        <v/>
      </c>
      <c r="Z7" s="36" t="str">
        <f>IF(AND('Riesgos de Gestión'!$AJ$20="Muy Alta",'Riesgos de Gestión'!$AL$20="Moderado"),CONCATENATE("R2C",'Riesgos de Gestión'!$W$20),"")</f>
        <v/>
      </c>
      <c r="AA7" s="37" t="str">
        <f>IF(AND('Riesgos de Gestión'!$AJ$21="Muy Alta",'Riesgos de Gestión'!$AL$21="Moderado"),CONCATENATE("R2C",'Riesgos de Gestión'!$W$21),"")</f>
        <v/>
      </c>
      <c r="AB7" s="35" t="str">
        <f>IF(AND('Riesgos de Gestión'!$AJ$16="Muy Alta",'Riesgos de Gestión'!$AL$16="Mayor"),CONCATENATE("R2C",'Riesgos de Gestión'!$W$16),"")</f>
        <v/>
      </c>
      <c r="AC7" s="36" t="str">
        <f>IF(AND('Riesgos de Gestión'!$AJ$17="Muy Alta",'Riesgos de Gestión'!$AL$17="Mayor"),CONCATENATE("R2C",'Riesgos de Gestión'!$W$17),"")</f>
        <v/>
      </c>
      <c r="AD7" s="36" t="str">
        <f>IF(AND('Riesgos de Gestión'!$AJ$18="Muy Alta",'Riesgos de Gestión'!$AL$18="Mayor"),CONCATENATE("R2C",'Riesgos de Gestión'!$W$18),"")</f>
        <v/>
      </c>
      <c r="AE7" s="36" t="str">
        <f>IF(AND('Riesgos de Gestión'!$AJ$19="Muy Alta",'Riesgos de Gestión'!$AL$19="Mayor"),CONCATENATE("R2C",'Riesgos de Gestión'!$W$19),"")</f>
        <v/>
      </c>
      <c r="AF7" s="36" t="str">
        <f>IF(AND('Riesgos de Gestión'!$AJ$20="Muy Alta",'Riesgos de Gestión'!$AL$20="Mayor"),CONCATENATE("R2C",'Riesgos de Gestión'!$W$20),"")</f>
        <v/>
      </c>
      <c r="AG7" s="37" t="str">
        <f>IF(AND('Riesgos de Gestión'!$AJ$21="Muy Alta",'Riesgos de Gestión'!$AL$21="Mayor"),CONCATENATE("R2C",'Riesgos de Gestión'!$W$21),"")</f>
        <v/>
      </c>
      <c r="AH7" s="38" t="str">
        <f>IF(AND('Riesgos de Gestión'!$AJ$16="Muy Alta",'Riesgos de Gestión'!$AL$16="Catastrófico"),CONCATENATE("R2C",'Riesgos de Gestión'!$W$16),"")</f>
        <v/>
      </c>
      <c r="AI7" s="39" t="str">
        <f>IF(AND('Riesgos de Gestión'!$AJ$17="Muy Alta",'Riesgos de Gestión'!$AL$17="Catastrófico"),CONCATENATE("R2C",'Riesgos de Gestión'!$W$17),"")</f>
        <v/>
      </c>
      <c r="AJ7" s="39" t="str">
        <f>IF(AND('Riesgos de Gestión'!$AJ$18="Muy Alta",'Riesgos de Gestión'!$AL$18="Catastrófico"),CONCATENATE("R2C",'Riesgos de Gestión'!$W$18),"")</f>
        <v/>
      </c>
      <c r="AK7" s="39" t="str">
        <f>IF(AND('Riesgos de Gestión'!$AJ$19="Muy Alta",'Riesgos de Gestión'!$AL$19="Catastrófico"),CONCATENATE("R2C",'Riesgos de Gestión'!$W$19),"")</f>
        <v/>
      </c>
      <c r="AL7" s="39" t="str">
        <f>IF(AND('Riesgos de Gestión'!$AJ$20="Muy Alta",'Riesgos de Gestión'!$AL$20="Catastrófico"),CONCATENATE("R2C",'Riesgos de Gestión'!$W$20),"")</f>
        <v/>
      </c>
      <c r="AM7" s="40" t="str">
        <f>IF(AND('Riesgos de Gestión'!$AJ$21="Muy Alta",'Riesgos de Gestión'!$AL$21="Catastrófico"),CONCATENATE("R2C",'Riesgos de Gestión'!$W$21),"")</f>
        <v/>
      </c>
      <c r="AN7" s="66"/>
      <c r="AO7" s="601"/>
      <c r="AP7" s="602"/>
      <c r="AQ7" s="602"/>
      <c r="AR7" s="602"/>
      <c r="AS7" s="602"/>
      <c r="AT7" s="603"/>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row>
    <row r="8" spans="1:91" ht="15" customHeight="1" x14ac:dyDescent="0.25">
      <c r="A8" s="66"/>
      <c r="B8" s="496"/>
      <c r="C8" s="496"/>
      <c r="D8" s="497"/>
      <c r="E8" s="595"/>
      <c r="F8" s="594"/>
      <c r="G8" s="594"/>
      <c r="H8" s="594"/>
      <c r="I8" s="610"/>
      <c r="J8" s="35" t="str">
        <f>IF(AND('Riesgos de Gestión'!$AJ$22="Muy Alta",'Riesgos de Gestión'!$AL$22="Leve"),CONCATENATE("R3C",'Riesgos de Gestión'!$W$22),"")</f>
        <v/>
      </c>
      <c r="K8" s="36" t="str">
        <f>IF(AND('Riesgos de Gestión'!$AJ$23="Muy Alta",'Riesgos de Gestión'!$AL$23="Leve"),CONCATENATE("R3C",'Riesgos de Gestión'!$W$23),"")</f>
        <v/>
      </c>
      <c r="L8" s="36" t="str">
        <f>IF(AND('Riesgos de Gestión'!$AJ$24="Muy Alta",'Riesgos de Gestión'!$AL$24="Leve"),CONCATENATE("R3C",'Riesgos de Gestión'!$W$24),"")</f>
        <v/>
      </c>
      <c r="M8" s="36" t="str">
        <f>IF(AND('Riesgos de Gestión'!$AJ$25="Muy Alta",'Riesgos de Gestión'!$AL$25="Leve"),CONCATENATE("R3C",'Riesgos de Gestión'!$W$25),"")</f>
        <v/>
      </c>
      <c r="N8" s="36" t="str">
        <f>IF(AND('Riesgos de Gestión'!$AJ$26="Muy Alta",'Riesgos de Gestión'!$AL$26="Leve"),CONCATENATE("R3C",'Riesgos de Gestión'!$W$26),"")</f>
        <v/>
      </c>
      <c r="O8" s="37" t="str">
        <f>IF(AND('Riesgos de Gestión'!$AJ$27="Muy Alta",'Riesgos de Gestión'!$AL$27="Leve"),CONCATENATE("R3C",'Riesgos de Gestión'!$W$27),"")</f>
        <v/>
      </c>
      <c r="P8" s="35" t="str">
        <f>IF(AND('Riesgos de Gestión'!$AJ$22="Muy Alta",'Riesgos de Gestión'!$AL$22="Menor"),CONCATENATE("R3C",'Riesgos de Gestión'!$W$22),"")</f>
        <v/>
      </c>
      <c r="Q8" s="36" t="str">
        <f>IF(AND('Riesgos de Gestión'!$AJ$23="Muy Alta",'Riesgos de Gestión'!$AL$23="Menor"),CONCATENATE("R3C",'Riesgos de Gestión'!$W$23),"")</f>
        <v/>
      </c>
      <c r="R8" s="36" t="str">
        <f>IF(AND('Riesgos de Gestión'!$AJ$24="Muy Alta",'Riesgos de Gestión'!$AL$24="Menor"),CONCATENATE("R3C",'Riesgos de Gestión'!$W$24),"")</f>
        <v/>
      </c>
      <c r="S8" s="36" t="str">
        <f>IF(AND('Riesgos de Gestión'!$AJ$25="Muy Alta",'Riesgos de Gestión'!$AL$25="Menor"),CONCATENATE("R3C",'Riesgos de Gestión'!$W$25),"")</f>
        <v/>
      </c>
      <c r="T8" s="36" t="str">
        <f>IF(AND('Riesgos de Gestión'!$AJ$26="Muy Alta",'Riesgos de Gestión'!$AL$26="Menor"),CONCATENATE("R3C",'Riesgos de Gestión'!$W$26),"")</f>
        <v/>
      </c>
      <c r="U8" s="37" t="str">
        <f>IF(AND('Riesgos de Gestión'!$AJ$27="Muy Alta",'Riesgos de Gestión'!$AL$27="Menor"),CONCATENATE("R3C",'Riesgos de Gestión'!$W$27),"")</f>
        <v/>
      </c>
      <c r="V8" s="35" t="str">
        <f>IF(AND('Riesgos de Gestión'!$AJ$22="Muy Alta",'Riesgos de Gestión'!$AL$22="Moderado"),CONCATENATE("R3C",'Riesgos de Gestión'!$W$22),"")</f>
        <v/>
      </c>
      <c r="W8" s="36" t="str">
        <f>IF(AND('Riesgos de Gestión'!$AJ$23="Muy Alta",'Riesgos de Gestión'!$AL$23="Moderado"),CONCATENATE("R3C",'Riesgos de Gestión'!$W$23),"")</f>
        <v/>
      </c>
      <c r="X8" s="36" t="str">
        <f>IF(AND('Riesgos de Gestión'!$AJ$24="Muy Alta",'Riesgos de Gestión'!$AL$24="Moderado"),CONCATENATE("R3C",'Riesgos de Gestión'!$W$24),"")</f>
        <v/>
      </c>
      <c r="Y8" s="36" t="str">
        <f>IF(AND('Riesgos de Gestión'!$AJ$25="Muy Alta",'Riesgos de Gestión'!$AL$25="Moderado"),CONCATENATE("R3C",'Riesgos de Gestión'!$W$25),"")</f>
        <v/>
      </c>
      <c r="Z8" s="36" t="str">
        <f>IF(AND('Riesgos de Gestión'!$AJ$26="Muy Alta",'Riesgos de Gestión'!$AL$26="Moderado"),CONCATENATE("R3C",'Riesgos de Gestión'!$W$26),"")</f>
        <v/>
      </c>
      <c r="AA8" s="37" t="str">
        <f>IF(AND('Riesgos de Gestión'!$AJ$27="Muy Alta",'Riesgos de Gestión'!$AL$27="Moderado"),CONCATENATE("R3C",'Riesgos de Gestión'!$W$27),"")</f>
        <v/>
      </c>
      <c r="AB8" s="35" t="str">
        <f>IF(AND('Riesgos de Gestión'!$AJ$22="Muy Alta",'Riesgos de Gestión'!$AL$22="Mayor"),CONCATENATE("R3C",'Riesgos de Gestión'!$W$22),"")</f>
        <v/>
      </c>
      <c r="AC8" s="36" t="str">
        <f>IF(AND('Riesgos de Gestión'!$AJ$23="Muy Alta",'Riesgos de Gestión'!$AL$23="Mayor"),CONCATENATE("R3C",'Riesgos de Gestión'!$W$23),"")</f>
        <v/>
      </c>
      <c r="AD8" s="36" t="str">
        <f>IF(AND('Riesgos de Gestión'!$AJ$24="Muy Alta",'Riesgos de Gestión'!$AL$24="Mayor"),CONCATENATE("R3C",'Riesgos de Gestión'!$W$24),"")</f>
        <v/>
      </c>
      <c r="AE8" s="36" t="str">
        <f>IF(AND('Riesgos de Gestión'!$AJ$25="Muy Alta",'Riesgos de Gestión'!$AL$25="Mayor"),CONCATENATE("R3C",'Riesgos de Gestión'!$W$25),"")</f>
        <v/>
      </c>
      <c r="AF8" s="36" t="str">
        <f>IF(AND('Riesgos de Gestión'!$AJ$26="Muy Alta",'Riesgos de Gestión'!$AL$26="Mayor"),CONCATENATE("R3C",'Riesgos de Gestión'!$W$26),"")</f>
        <v/>
      </c>
      <c r="AG8" s="37" t="str">
        <f>IF(AND('Riesgos de Gestión'!$AJ$27="Muy Alta",'Riesgos de Gestión'!$AL$27="Mayor"),CONCATENATE("R3C",'Riesgos de Gestión'!$W$27),"")</f>
        <v/>
      </c>
      <c r="AH8" s="38" t="str">
        <f>IF(AND('Riesgos de Gestión'!$AJ$22="Muy Alta",'Riesgos de Gestión'!$AL$22="Catastrófico"),CONCATENATE("R3C",'Riesgos de Gestión'!$W$22),"")</f>
        <v/>
      </c>
      <c r="AI8" s="39" t="str">
        <f>IF(AND('Riesgos de Gestión'!$AJ$23="Muy Alta",'Riesgos de Gestión'!$AL$23="Catastrófico"),CONCATENATE("R3C",'Riesgos de Gestión'!$W$23),"")</f>
        <v/>
      </c>
      <c r="AJ8" s="39" t="str">
        <f>IF(AND('Riesgos de Gestión'!$AJ$24="Muy Alta",'Riesgos de Gestión'!$AL$24="Catastrófico"),CONCATENATE("R3C",'Riesgos de Gestión'!$W$24),"")</f>
        <v/>
      </c>
      <c r="AK8" s="39" t="str">
        <f>IF(AND('Riesgos de Gestión'!$AJ$25="Muy Alta",'Riesgos de Gestión'!$AL$25="Catastrófico"),CONCATENATE("R3C",'Riesgos de Gestión'!$W$25),"")</f>
        <v/>
      </c>
      <c r="AL8" s="39" t="str">
        <f>IF(AND('Riesgos de Gestión'!$AJ$26="Muy Alta",'Riesgos de Gestión'!$AL$26="Catastrófico"),CONCATENATE("R3C",'Riesgos de Gestión'!$W$26),"")</f>
        <v/>
      </c>
      <c r="AM8" s="40" t="str">
        <f>IF(AND('Riesgos de Gestión'!$AJ$27="Muy Alta",'Riesgos de Gestión'!$AL$27="Catastrófico"),CONCATENATE("R3C",'Riesgos de Gestión'!$W$27),"")</f>
        <v/>
      </c>
      <c r="AN8" s="66"/>
      <c r="AO8" s="601"/>
      <c r="AP8" s="602"/>
      <c r="AQ8" s="602"/>
      <c r="AR8" s="602"/>
      <c r="AS8" s="602"/>
      <c r="AT8" s="603"/>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row>
    <row r="9" spans="1:91" ht="15" customHeight="1" x14ac:dyDescent="0.25">
      <c r="A9" s="66"/>
      <c r="B9" s="496"/>
      <c r="C9" s="496"/>
      <c r="D9" s="497"/>
      <c r="E9" s="595"/>
      <c r="F9" s="594"/>
      <c r="G9" s="594"/>
      <c r="H9" s="594"/>
      <c r="I9" s="610"/>
      <c r="J9" s="35" t="str">
        <f>IF(AND('Riesgos de Gestión'!$AJ$28="Muy Alta",'Riesgos de Gestión'!$AL$28="Leve"),CONCATENATE("R4C",'Riesgos de Gestión'!$W$28),"")</f>
        <v/>
      </c>
      <c r="K9" s="36" t="str">
        <f>IF(AND('Riesgos de Gestión'!$AJ$29="Muy Alta",'Riesgos de Gestión'!$AL$29="Leve"),CONCATENATE("R4C",'Riesgos de Gestión'!$W$29),"")</f>
        <v/>
      </c>
      <c r="L9" s="36" t="str">
        <f>IF(AND('Riesgos de Gestión'!$AJ$30="Muy Alta",'Riesgos de Gestión'!$AL$30="Leve"),CONCATENATE("R4C",'Riesgos de Gestión'!$W$30),"")</f>
        <v/>
      </c>
      <c r="M9" s="36" t="str">
        <f>IF(AND('Riesgos de Gestión'!$AJ$31="Muy Alta",'Riesgos de Gestión'!$AL$31="Leve"),CONCATENATE("R4C",'Riesgos de Gestión'!$W$31),"")</f>
        <v/>
      </c>
      <c r="N9" s="36" t="str">
        <f>IF(AND('Riesgos de Gestión'!$AJ$32="Muy Alta",'Riesgos de Gestión'!$AL$32="Leve"),CONCATENATE("R4C",'Riesgos de Gestión'!$W$32),"")</f>
        <v/>
      </c>
      <c r="O9" s="37" t="str">
        <f>IF(AND('Riesgos de Gestión'!$AJ$33="Muy Alta",'Riesgos de Gestión'!$AL$33="Leve"),CONCATENATE("R4C",'Riesgos de Gestión'!$W$33),"")</f>
        <v/>
      </c>
      <c r="P9" s="35" t="str">
        <f>IF(AND('Riesgos de Gestión'!$AJ$28="Muy Alta",'Riesgos de Gestión'!$AL$28="Menor"),CONCATENATE("R4C",'Riesgos de Gestión'!$W$28),"")</f>
        <v/>
      </c>
      <c r="Q9" s="36" t="str">
        <f>IF(AND('Riesgos de Gestión'!$AJ$29="Muy Alta",'Riesgos de Gestión'!$AL$29="Menor"),CONCATENATE("R4C",'Riesgos de Gestión'!$W$29),"")</f>
        <v/>
      </c>
      <c r="R9" s="36" t="str">
        <f>IF(AND('Riesgos de Gestión'!$AJ$30="Muy Alta",'Riesgos de Gestión'!$AL$30="Menor"),CONCATENATE("R4C",'Riesgos de Gestión'!$W$30),"")</f>
        <v/>
      </c>
      <c r="S9" s="36" t="str">
        <f>IF(AND('Riesgos de Gestión'!$AJ$31="Muy Alta",'Riesgos de Gestión'!$AL$31="Menor"),CONCATENATE("R4C",'Riesgos de Gestión'!$W$31),"")</f>
        <v/>
      </c>
      <c r="T9" s="36" t="str">
        <f>IF(AND('Riesgos de Gestión'!$AJ$32="Muy Alta",'Riesgos de Gestión'!$AL$32="Menor"),CONCATENATE("R4C",'Riesgos de Gestión'!$W$32),"")</f>
        <v/>
      </c>
      <c r="U9" s="37" t="str">
        <f>IF(AND('Riesgos de Gestión'!$AJ$33="Muy Alta",'Riesgos de Gestión'!$AL$33="Menor"),CONCATENATE("R4C",'Riesgos de Gestión'!$W$33),"")</f>
        <v/>
      </c>
      <c r="V9" s="35" t="str">
        <f>IF(AND('Riesgos de Gestión'!$AJ$28="Muy Alta",'Riesgos de Gestión'!$AL$28="Moderado"),CONCATENATE("R4C",'Riesgos de Gestión'!$W$28),"")</f>
        <v/>
      </c>
      <c r="W9" s="36" t="str">
        <f>IF(AND('Riesgos de Gestión'!$AJ$29="Muy Alta",'Riesgos de Gestión'!$AL$29="Moderado"),CONCATENATE("R4C",'Riesgos de Gestión'!$W$29),"")</f>
        <v/>
      </c>
      <c r="X9" s="36" t="str">
        <f>IF(AND('Riesgos de Gestión'!$AJ$30="Muy Alta",'Riesgos de Gestión'!$AL$30="Moderado"),CONCATENATE("R4C",'Riesgos de Gestión'!$W$30),"")</f>
        <v/>
      </c>
      <c r="Y9" s="36" t="str">
        <f>IF(AND('Riesgos de Gestión'!$AJ$31="Muy Alta",'Riesgos de Gestión'!$AL$31="Moderado"),CONCATENATE("R4C",'Riesgos de Gestión'!$W$31),"")</f>
        <v/>
      </c>
      <c r="Z9" s="36" t="str">
        <f>IF(AND('Riesgos de Gestión'!$AJ$32="Muy Alta",'Riesgos de Gestión'!$AL$32="Moderado"),CONCATENATE("R4C",'Riesgos de Gestión'!$W$32),"")</f>
        <v/>
      </c>
      <c r="AA9" s="37" t="str">
        <f>IF(AND('Riesgos de Gestión'!$AJ$33="Muy Alta",'Riesgos de Gestión'!$AL$33="Moderado"),CONCATENATE("R4C",'Riesgos de Gestión'!$W$33),"")</f>
        <v/>
      </c>
      <c r="AB9" s="35" t="str">
        <f>IF(AND('Riesgos de Gestión'!$AJ$28="Muy Alta",'Riesgos de Gestión'!$AL$28="Mayor"),CONCATENATE("R4C",'Riesgos de Gestión'!$W$28),"")</f>
        <v/>
      </c>
      <c r="AC9" s="36" t="str">
        <f>IF(AND('Riesgos de Gestión'!$AJ$29="Muy Alta",'Riesgos de Gestión'!$AL$29="Mayor"),CONCATENATE("R4C",'Riesgos de Gestión'!$W$29),"")</f>
        <v/>
      </c>
      <c r="AD9" s="36" t="str">
        <f>IF(AND('Riesgos de Gestión'!$AJ$30="Muy Alta",'Riesgos de Gestión'!$AL$30="Mayor"),CONCATENATE("R4C",'Riesgos de Gestión'!$W$30),"")</f>
        <v/>
      </c>
      <c r="AE9" s="36" t="str">
        <f>IF(AND('Riesgos de Gestión'!$AJ$31="Muy Alta",'Riesgos de Gestión'!$AL$31="Mayor"),CONCATENATE("R4C",'Riesgos de Gestión'!$W$31),"")</f>
        <v/>
      </c>
      <c r="AF9" s="36" t="str">
        <f>IF(AND('Riesgos de Gestión'!$AJ$32="Muy Alta",'Riesgos de Gestión'!$AL$32="Mayor"),CONCATENATE("R4C",'Riesgos de Gestión'!$W$32),"")</f>
        <v/>
      </c>
      <c r="AG9" s="37" t="str">
        <f>IF(AND('Riesgos de Gestión'!$AJ$33="Muy Alta",'Riesgos de Gestión'!$AL$33="Mayor"),CONCATENATE("R4C",'Riesgos de Gestión'!$W$33),"")</f>
        <v/>
      </c>
      <c r="AH9" s="38" t="str">
        <f>IF(AND('Riesgos de Gestión'!$AJ$28="Muy Alta",'Riesgos de Gestión'!$AL$28="Catastrófico"),CONCATENATE("R4C",'Riesgos de Gestión'!$W$28),"")</f>
        <v/>
      </c>
      <c r="AI9" s="39" t="str">
        <f>IF(AND('Riesgos de Gestión'!$AJ$29="Muy Alta",'Riesgos de Gestión'!$AL$29="Catastrófico"),CONCATENATE("R4C",'Riesgos de Gestión'!$W$29),"")</f>
        <v/>
      </c>
      <c r="AJ9" s="39" t="str">
        <f>IF(AND('Riesgos de Gestión'!$AJ$30="Muy Alta",'Riesgos de Gestión'!$AL$30="Catastrófico"),CONCATENATE("R4C",'Riesgos de Gestión'!$W$30),"")</f>
        <v/>
      </c>
      <c r="AK9" s="39" t="str">
        <f>IF(AND('Riesgos de Gestión'!$AJ$31="Muy Alta",'Riesgos de Gestión'!$AL$31="Catastrófico"),CONCATENATE("R4C",'Riesgos de Gestión'!$W$31),"")</f>
        <v/>
      </c>
      <c r="AL9" s="39" t="str">
        <f>IF(AND('Riesgos de Gestión'!$AJ$32="Muy Alta",'Riesgos de Gestión'!$AL$32="Catastrófico"),CONCATENATE("R4C",'Riesgos de Gestión'!$W$32),"")</f>
        <v/>
      </c>
      <c r="AM9" s="40" t="str">
        <f>IF(AND('Riesgos de Gestión'!$AJ$33="Muy Alta",'Riesgos de Gestión'!$AL$33="Catastrófico"),CONCATENATE("R4C",'Riesgos de Gestión'!$W$33),"")</f>
        <v/>
      </c>
      <c r="AN9" s="66"/>
      <c r="AO9" s="601"/>
      <c r="AP9" s="602"/>
      <c r="AQ9" s="602"/>
      <c r="AR9" s="602"/>
      <c r="AS9" s="602"/>
      <c r="AT9" s="603"/>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row>
    <row r="10" spans="1:91" ht="15" customHeight="1" x14ac:dyDescent="0.25">
      <c r="A10" s="66"/>
      <c r="B10" s="496"/>
      <c r="C10" s="496"/>
      <c r="D10" s="497"/>
      <c r="E10" s="595"/>
      <c r="F10" s="594"/>
      <c r="G10" s="594"/>
      <c r="H10" s="594"/>
      <c r="I10" s="610"/>
      <c r="J10" s="35" t="str">
        <f>IF(AND('Riesgos de Gestión'!$AJ$34="Muy Alta",'Riesgos de Gestión'!$AL$34="Leve"),CONCATENATE("R5C",'Riesgos de Gestión'!$W$34),"")</f>
        <v/>
      </c>
      <c r="K10" s="36" t="str">
        <f>IF(AND('Riesgos de Gestión'!$AJ$35="Muy Alta",'Riesgos de Gestión'!$AL$35="Leve"),CONCATENATE("R5C",'Riesgos de Gestión'!$W$35),"")</f>
        <v/>
      </c>
      <c r="L10" s="36" t="str">
        <f>IF(AND('Riesgos de Gestión'!$AJ$36="Muy Alta",'Riesgos de Gestión'!$AL$36="Leve"),CONCATENATE("R5C",'Riesgos de Gestión'!$W$36),"")</f>
        <v/>
      </c>
      <c r="M10" s="36" t="str">
        <f>IF(AND('Riesgos de Gestión'!$AJ$37="Muy Alta",'Riesgos de Gestión'!$AL$37="Leve"),CONCATENATE("R5C",'Riesgos de Gestión'!$W$37),"")</f>
        <v/>
      </c>
      <c r="N10" s="36" t="str">
        <f>IF(AND('Riesgos de Gestión'!$AJ$38="Muy Alta",'Riesgos de Gestión'!$AL$38="Leve"),CONCATENATE("R5C",'Riesgos de Gestión'!$W$38),"")</f>
        <v/>
      </c>
      <c r="O10" s="37" t="str">
        <f>IF(AND('Riesgos de Gestión'!$AJ$39="Muy Alta",'Riesgos de Gestión'!$AL$39="Leve"),CONCATENATE("R5C",'Riesgos de Gestión'!$W$39),"")</f>
        <v/>
      </c>
      <c r="P10" s="35" t="str">
        <f>IF(AND('Riesgos de Gestión'!$AJ$34="Muy Alta",'Riesgos de Gestión'!$AL$34="Menor"),CONCATENATE("R5C",'Riesgos de Gestión'!$W$34),"")</f>
        <v/>
      </c>
      <c r="Q10" s="36" t="str">
        <f>IF(AND('Riesgos de Gestión'!$AJ$35="Muy Alta",'Riesgos de Gestión'!$AL$35="Menor"),CONCATENATE("R5C",'Riesgos de Gestión'!$W$35),"")</f>
        <v/>
      </c>
      <c r="R10" s="36" t="str">
        <f>IF(AND('Riesgos de Gestión'!$AJ$36="Muy Alta",'Riesgos de Gestión'!$AL$36="Menor"),CONCATENATE("R5C",'Riesgos de Gestión'!$W$36),"")</f>
        <v/>
      </c>
      <c r="S10" s="36" t="str">
        <f>IF(AND('Riesgos de Gestión'!$AJ$37="Muy Alta",'Riesgos de Gestión'!$AL$37="Menor"),CONCATENATE("R5C",'Riesgos de Gestión'!$W$37),"")</f>
        <v/>
      </c>
      <c r="T10" s="36" t="str">
        <f>IF(AND('Riesgos de Gestión'!$AJ$38="Muy Alta",'Riesgos de Gestión'!$AL$38="Menor"),CONCATENATE("R5C",'Riesgos de Gestión'!$W$38),"")</f>
        <v/>
      </c>
      <c r="U10" s="37" t="str">
        <f>IF(AND('Riesgos de Gestión'!$AJ$39="Muy Alta",'Riesgos de Gestión'!$AL$39="Menor"),CONCATENATE("R5C",'Riesgos de Gestión'!$W$39),"")</f>
        <v/>
      </c>
      <c r="V10" s="35" t="str">
        <f>IF(AND('Riesgos de Gestión'!$AJ$34="Muy Alta",'Riesgos de Gestión'!$AL$34="Moderado"),CONCATENATE("R5C",'Riesgos de Gestión'!$W$34),"")</f>
        <v/>
      </c>
      <c r="W10" s="36" t="str">
        <f>IF(AND('Riesgos de Gestión'!$AJ$35="Muy Alta",'Riesgos de Gestión'!$AL$35="Moderado"),CONCATENATE("R5C",'Riesgos de Gestión'!$W$35),"")</f>
        <v/>
      </c>
      <c r="X10" s="36" t="str">
        <f>IF(AND('Riesgos de Gestión'!$AJ$36="Muy Alta",'Riesgos de Gestión'!$AL$36="Moderado"),CONCATENATE("R5C",'Riesgos de Gestión'!$W$36),"")</f>
        <v/>
      </c>
      <c r="Y10" s="36" t="str">
        <f>IF(AND('Riesgos de Gestión'!$AJ$37="Muy Alta",'Riesgos de Gestión'!$AL$37="Moderado"),CONCATENATE("R5C",'Riesgos de Gestión'!$W$37),"")</f>
        <v/>
      </c>
      <c r="Z10" s="36" t="str">
        <f>IF(AND('Riesgos de Gestión'!$AJ$38="Muy Alta",'Riesgos de Gestión'!$AL$38="Moderado"),CONCATENATE("R5C",'Riesgos de Gestión'!$W$38),"")</f>
        <v/>
      </c>
      <c r="AA10" s="37" t="str">
        <f>IF(AND('Riesgos de Gestión'!$AJ$39="Muy Alta",'Riesgos de Gestión'!$AL$39="Moderado"),CONCATENATE("R5C",'Riesgos de Gestión'!$W$39),"")</f>
        <v/>
      </c>
      <c r="AB10" s="35" t="str">
        <f>IF(AND('Riesgos de Gestión'!$AJ$34="Muy Alta",'Riesgos de Gestión'!$AL$34="Mayor"),CONCATENATE("R5C",'Riesgos de Gestión'!$W$34),"")</f>
        <v/>
      </c>
      <c r="AC10" s="36" t="str">
        <f>IF(AND('Riesgos de Gestión'!$AJ$35="Muy Alta",'Riesgos de Gestión'!$AL$35="Mayor"),CONCATENATE("R5C",'Riesgos de Gestión'!$W$35),"")</f>
        <v/>
      </c>
      <c r="AD10" s="36" t="str">
        <f>IF(AND('Riesgos de Gestión'!$AJ$36="Muy Alta",'Riesgos de Gestión'!$AL$36="Mayor"),CONCATENATE("R5C",'Riesgos de Gestión'!$W$36),"")</f>
        <v/>
      </c>
      <c r="AE10" s="36" t="str">
        <f>IF(AND('Riesgos de Gestión'!$AJ$37="Muy Alta",'Riesgos de Gestión'!$AL$37="Mayor"),CONCATENATE("R5C",'Riesgos de Gestión'!$W$37),"")</f>
        <v/>
      </c>
      <c r="AF10" s="36" t="str">
        <f>IF(AND('Riesgos de Gestión'!$AJ$38="Muy Alta",'Riesgos de Gestión'!$AL$38="Mayor"),CONCATENATE("R5C",'Riesgos de Gestión'!$W$38),"")</f>
        <v/>
      </c>
      <c r="AG10" s="37" t="str">
        <f>IF(AND('Riesgos de Gestión'!$AJ$39="Muy Alta",'Riesgos de Gestión'!$AL$39="Mayor"),CONCATENATE("R5C",'Riesgos de Gestión'!$W$39),"")</f>
        <v/>
      </c>
      <c r="AH10" s="38" t="str">
        <f>IF(AND('Riesgos de Gestión'!$AJ$34="Muy Alta",'Riesgos de Gestión'!$AL$34="Catastrófico"),CONCATENATE("R5C",'Riesgos de Gestión'!$W$34),"")</f>
        <v/>
      </c>
      <c r="AI10" s="39" t="str">
        <f>IF(AND('Riesgos de Gestión'!$AJ$35="Muy Alta",'Riesgos de Gestión'!$AL$35="Catastrófico"),CONCATENATE("R5C",'Riesgos de Gestión'!$W$35),"")</f>
        <v/>
      </c>
      <c r="AJ10" s="39" t="str">
        <f>IF(AND('Riesgos de Gestión'!$AJ$36="Muy Alta",'Riesgos de Gestión'!$AL$36="Catastrófico"),CONCATENATE("R5C",'Riesgos de Gestión'!$W$36),"")</f>
        <v/>
      </c>
      <c r="AK10" s="39" t="str">
        <f>IF(AND('Riesgos de Gestión'!$AJ$37="Muy Alta",'Riesgos de Gestión'!$AL$37="Catastrófico"),CONCATENATE("R5C",'Riesgos de Gestión'!$W$37),"")</f>
        <v/>
      </c>
      <c r="AL10" s="39" t="str">
        <f>IF(AND('Riesgos de Gestión'!$AJ$38="Muy Alta",'Riesgos de Gestión'!$AL$38="Catastrófico"),CONCATENATE("R5C",'Riesgos de Gestión'!$W$38),"")</f>
        <v/>
      </c>
      <c r="AM10" s="40" t="str">
        <f>IF(AND('Riesgos de Gestión'!$AJ$39="Muy Alta",'Riesgos de Gestión'!$AL$39="Catastrófico"),CONCATENATE("R5C",'Riesgos de Gestión'!$W$39),"")</f>
        <v/>
      </c>
      <c r="AN10" s="66"/>
      <c r="AO10" s="601"/>
      <c r="AP10" s="602"/>
      <c r="AQ10" s="602"/>
      <c r="AR10" s="602"/>
      <c r="AS10" s="602"/>
      <c r="AT10" s="603"/>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row>
    <row r="11" spans="1:91" ht="15" customHeight="1" x14ac:dyDescent="0.25">
      <c r="A11" s="66"/>
      <c r="B11" s="496"/>
      <c r="C11" s="496"/>
      <c r="D11" s="497"/>
      <c r="E11" s="595"/>
      <c r="F11" s="594"/>
      <c r="G11" s="594"/>
      <c r="H11" s="594"/>
      <c r="I11" s="610"/>
      <c r="J11" s="35" t="str">
        <f>IF(AND('Riesgos de Gestión'!$AJ$40="Muy Alta",'Riesgos de Gestión'!$AL$40="Leve"),CONCATENATE("R6C",'Riesgos de Gestión'!$W$40),"")</f>
        <v/>
      </c>
      <c r="K11" s="36" t="str">
        <f>IF(AND('Riesgos de Gestión'!$AJ$41="Muy Alta",'Riesgos de Gestión'!$AL$41="Leve"),CONCATENATE("R6C",'Riesgos de Gestión'!$W$41),"")</f>
        <v/>
      </c>
      <c r="L11" s="36" t="str">
        <f>IF(AND('Riesgos de Gestión'!$AJ$42="Muy Alta",'Riesgos de Gestión'!$AL$42="Leve"),CONCATENATE("R6C",'Riesgos de Gestión'!$W$42),"")</f>
        <v/>
      </c>
      <c r="M11" s="36" t="str">
        <f>IF(AND('Riesgos de Gestión'!$AJ$43="Muy Alta",'Riesgos de Gestión'!$AL$43="Leve"),CONCATENATE("R6C",'Riesgos de Gestión'!$W$43),"")</f>
        <v/>
      </c>
      <c r="N11" s="36" t="str">
        <f>IF(AND('Riesgos de Gestión'!$AJ$44="Muy Alta",'Riesgos de Gestión'!$AL$44="Leve"),CONCATENATE("R6C",'Riesgos de Gestión'!$W$44),"")</f>
        <v/>
      </c>
      <c r="O11" s="37" t="str">
        <f>IF(AND('Riesgos de Gestión'!$AJ$45="Muy Alta",'Riesgos de Gestión'!$AL$45="Leve"),CONCATENATE("R6C",'Riesgos de Gestión'!$W$45),"")</f>
        <v/>
      </c>
      <c r="P11" s="35" t="str">
        <f>IF(AND('Riesgos de Gestión'!$AJ$40="Muy Alta",'Riesgos de Gestión'!$AL$40="Menor"),CONCATENATE("R6C",'Riesgos de Gestión'!$W$40),"")</f>
        <v/>
      </c>
      <c r="Q11" s="36" t="str">
        <f>IF(AND('Riesgos de Gestión'!$AJ$41="Muy Alta",'Riesgos de Gestión'!$AL$41="Menor"),CONCATENATE("R6C",'Riesgos de Gestión'!$W$41),"")</f>
        <v/>
      </c>
      <c r="R11" s="36" t="str">
        <f>IF(AND('Riesgos de Gestión'!$AJ$42="Muy Alta",'Riesgos de Gestión'!$AL$42="Menor"),CONCATENATE("R6C",'Riesgos de Gestión'!$W$42),"")</f>
        <v/>
      </c>
      <c r="S11" s="36" t="str">
        <f>IF(AND('Riesgos de Gestión'!$AJ$43="Muy Alta",'Riesgos de Gestión'!$AL$43="Menor"),CONCATENATE("R6C",'Riesgos de Gestión'!$W$43),"")</f>
        <v/>
      </c>
      <c r="T11" s="36" t="str">
        <f>IF(AND('Riesgos de Gestión'!$AJ$44="Muy Alta",'Riesgos de Gestión'!$AL$44="Menor"),CONCATENATE("R6C",'Riesgos de Gestión'!$W$44),"")</f>
        <v/>
      </c>
      <c r="U11" s="37" t="str">
        <f>IF(AND('Riesgos de Gestión'!$AJ$45="Muy Alta",'Riesgos de Gestión'!$AL$45="Menor"),CONCATENATE("R6C",'Riesgos de Gestión'!$W$45),"")</f>
        <v/>
      </c>
      <c r="V11" s="35" t="str">
        <f>IF(AND('Riesgos de Gestión'!$AJ$40="Muy Alta",'Riesgos de Gestión'!$AL$40="Moderado"),CONCATENATE("R6C",'Riesgos de Gestión'!$W$40),"")</f>
        <v/>
      </c>
      <c r="W11" s="36" t="str">
        <f>IF(AND('Riesgos de Gestión'!$AJ$41="Muy Alta",'Riesgos de Gestión'!$AL$41="Moderado"),CONCATENATE("R6C",'Riesgos de Gestión'!$W$41),"")</f>
        <v/>
      </c>
      <c r="X11" s="36" t="str">
        <f>IF(AND('Riesgos de Gestión'!$AJ$42="Muy Alta",'Riesgos de Gestión'!$AL$42="Moderado"),CONCATENATE("R6C",'Riesgos de Gestión'!$W$42),"")</f>
        <v/>
      </c>
      <c r="Y11" s="36" t="str">
        <f>IF(AND('Riesgos de Gestión'!$AJ$43="Muy Alta",'Riesgos de Gestión'!$AL$43="Moderado"),CONCATENATE("R6C",'Riesgos de Gestión'!$W$43),"")</f>
        <v/>
      </c>
      <c r="Z11" s="36" t="str">
        <f>IF(AND('Riesgos de Gestión'!$AJ$44="Muy Alta",'Riesgos de Gestión'!$AL$44="Moderado"),CONCATENATE("R6C",'Riesgos de Gestión'!$W$44),"")</f>
        <v/>
      </c>
      <c r="AA11" s="37" t="str">
        <f>IF(AND('Riesgos de Gestión'!$AJ$45="Muy Alta",'Riesgos de Gestión'!$AL$45="Moderado"),CONCATENATE("R6C",'Riesgos de Gestión'!$W$45),"")</f>
        <v/>
      </c>
      <c r="AB11" s="35" t="str">
        <f>IF(AND('Riesgos de Gestión'!$AJ$40="Muy Alta",'Riesgos de Gestión'!$AL$40="Mayor"),CONCATENATE("R6C",'Riesgos de Gestión'!$W$40),"")</f>
        <v/>
      </c>
      <c r="AC11" s="36" t="str">
        <f>IF(AND('Riesgos de Gestión'!$AJ$41="Muy Alta",'Riesgos de Gestión'!$AL$41="Mayor"),CONCATENATE("R6C",'Riesgos de Gestión'!$W$41),"")</f>
        <v/>
      </c>
      <c r="AD11" s="36" t="str">
        <f>IF(AND('Riesgos de Gestión'!$AJ$42="Muy Alta",'Riesgos de Gestión'!$AL$42="Mayor"),CONCATENATE("R6C",'Riesgos de Gestión'!$W$42),"")</f>
        <v/>
      </c>
      <c r="AE11" s="36" t="str">
        <f>IF(AND('Riesgos de Gestión'!$AJ$43="Muy Alta",'Riesgos de Gestión'!$AL$43="Mayor"),CONCATENATE("R6C",'Riesgos de Gestión'!$W$43),"")</f>
        <v/>
      </c>
      <c r="AF11" s="36" t="str">
        <f>IF(AND('Riesgos de Gestión'!$AJ$44="Muy Alta",'Riesgos de Gestión'!$AL$44="Mayor"),CONCATENATE("R6C",'Riesgos de Gestión'!$W$44),"")</f>
        <v/>
      </c>
      <c r="AG11" s="37" t="str">
        <f>IF(AND('Riesgos de Gestión'!$AJ$45="Muy Alta",'Riesgos de Gestión'!$AL$45="Mayor"),CONCATENATE("R6C",'Riesgos de Gestión'!$W$45),"")</f>
        <v/>
      </c>
      <c r="AH11" s="38" t="str">
        <f>IF(AND('Riesgos de Gestión'!$AJ$40="Muy Alta",'Riesgos de Gestión'!$AL$40="Catastrófico"),CONCATENATE("R6C",'Riesgos de Gestión'!$W$40),"")</f>
        <v/>
      </c>
      <c r="AI11" s="39" t="str">
        <f>IF(AND('Riesgos de Gestión'!$AJ$41="Muy Alta",'Riesgos de Gestión'!$AL$41="Catastrófico"),CONCATENATE("R6C",'Riesgos de Gestión'!$W$41),"")</f>
        <v/>
      </c>
      <c r="AJ11" s="39" t="str">
        <f>IF(AND('Riesgos de Gestión'!$AJ$42="Muy Alta",'Riesgos de Gestión'!$AL$42="Catastrófico"),CONCATENATE("R6C",'Riesgos de Gestión'!$W$42),"")</f>
        <v/>
      </c>
      <c r="AK11" s="39" t="str">
        <f>IF(AND('Riesgos de Gestión'!$AJ$43="Muy Alta",'Riesgos de Gestión'!$AL$43="Catastrófico"),CONCATENATE("R6C",'Riesgos de Gestión'!$W$43),"")</f>
        <v/>
      </c>
      <c r="AL11" s="39" t="str">
        <f>IF(AND('Riesgos de Gestión'!$AJ$44="Muy Alta",'Riesgos de Gestión'!$AL$44="Catastrófico"),CONCATENATE("R6C",'Riesgos de Gestión'!$W$44),"")</f>
        <v/>
      </c>
      <c r="AM11" s="40" t="str">
        <f>IF(AND('Riesgos de Gestión'!$AJ$45="Muy Alta",'Riesgos de Gestión'!$AL$45="Catastrófico"),CONCATENATE("R6C",'Riesgos de Gestión'!$W$45),"")</f>
        <v/>
      </c>
      <c r="AN11" s="66"/>
      <c r="AO11" s="601"/>
      <c r="AP11" s="602"/>
      <c r="AQ11" s="602"/>
      <c r="AR11" s="602"/>
      <c r="AS11" s="602"/>
      <c r="AT11" s="603"/>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row>
    <row r="12" spans="1:91" ht="15" customHeight="1" x14ac:dyDescent="0.25">
      <c r="A12" s="66"/>
      <c r="B12" s="496"/>
      <c r="C12" s="496"/>
      <c r="D12" s="497"/>
      <c r="E12" s="595"/>
      <c r="F12" s="594"/>
      <c r="G12" s="594"/>
      <c r="H12" s="594"/>
      <c r="I12" s="610"/>
      <c r="J12" s="35" t="str">
        <f>IF(AND('Riesgos de Gestión'!$AJ$46="Muy Alta",'Riesgos de Gestión'!$AL$46="Leve"),CONCATENATE("R7C",'Riesgos de Gestión'!$W$46),"")</f>
        <v/>
      </c>
      <c r="K12" s="36" t="str">
        <f>IF(AND('Riesgos de Gestión'!$AJ$47="Muy Alta",'Riesgos de Gestión'!$AL$47="Leve"),CONCATENATE("R7C",'Riesgos de Gestión'!$W$47),"")</f>
        <v/>
      </c>
      <c r="L12" s="36" t="str">
        <f>IF(AND('Riesgos de Gestión'!$AJ$48="Muy Alta",'Riesgos de Gestión'!$AL$48="Leve"),CONCATENATE("R7C",'Riesgos de Gestión'!$W$48),"")</f>
        <v/>
      </c>
      <c r="M12" s="36" t="str">
        <f>IF(AND('Riesgos de Gestión'!$AJ$49="Muy Alta",'Riesgos de Gestión'!$AL$49="Leve"),CONCATENATE("R7C",'Riesgos de Gestión'!$W$49),"")</f>
        <v/>
      </c>
      <c r="N12" s="36" t="str">
        <f>IF(AND('Riesgos de Gestión'!$AJ$50="Muy Alta",'Riesgos de Gestión'!$AL$50="Leve"),CONCATENATE("R7C",'Riesgos de Gestión'!$W$50),"")</f>
        <v/>
      </c>
      <c r="O12" s="37" t="str">
        <f>IF(AND('Riesgos de Gestión'!$AJ$51="Muy Alta",'Riesgos de Gestión'!$AL$51="Leve"),CONCATENATE("R7C",'Riesgos de Gestión'!$W$51),"")</f>
        <v/>
      </c>
      <c r="P12" s="35" t="str">
        <f>IF(AND('Riesgos de Gestión'!$AJ$46="Muy Alta",'Riesgos de Gestión'!$AL$46="Menor"),CONCATENATE("R7C",'Riesgos de Gestión'!$W$46),"")</f>
        <v/>
      </c>
      <c r="Q12" s="36" t="str">
        <f>IF(AND('Riesgos de Gestión'!$AJ$47="Muy Alta",'Riesgos de Gestión'!$AL$47="Menor"),CONCATENATE("R7C",'Riesgos de Gestión'!$W$47),"")</f>
        <v/>
      </c>
      <c r="R12" s="36" t="str">
        <f>IF(AND('Riesgos de Gestión'!$AJ$48="Muy Alta",'Riesgos de Gestión'!$AL$48="Menor"),CONCATENATE("R7C",'Riesgos de Gestión'!$W$48),"")</f>
        <v/>
      </c>
      <c r="S12" s="36" t="str">
        <f>IF(AND('Riesgos de Gestión'!$AJ$49="Muy Alta",'Riesgos de Gestión'!$AL$49="Menor"),CONCATENATE("R7C",'Riesgos de Gestión'!$W$49),"")</f>
        <v/>
      </c>
      <c r="T12" s="36" t="str">
        <f>IF(AND('Riesgos de Gestión'!$AJ$50="Muy Alta",'Riesgos de Gestión'!$AL$50="Menor"),CONCATENATE("R7C",'Riesgos de Gestión'!$W$50),"")</f>
        <v/>
      </c>
      <c r="U12" s="37" t="str">
        <f>IF(AND('Riesgos de Gestión'!$AJ$51="Muy Alta",'Riesgos de Gestión'!$AL$51="Menor"),CONCATENATE("R7C",'Riesgos de Gestión'!$W$51),"")</f>
        <v/>
      </c>
      <c r="V12" s="35" t="str">
        <f>IF(AND('Riesgos de Gestión'!$AJ$46="Muy Alta",'Riesgos de Gestión'!$AL$46="Moderado"),CONCATENATE("R7C",'Riesgos de Gestión'!$W$46),"")</f>
        <v/>
      </c>
      <c r="W12" s="36" t="str">
        <f>IF(AND('Riesgos de Gestión'!$AJ$47="Muy Alta",'Riesgos de Gestión'!$AL$47="Moderado"),CONCATENATE("R7C",'Riesgos de Gestión'!$W$47),"")</f>
        <v/>
      </c>
      <c r="X12" s="36" t="str">
        <f>IF(AND('Riesgos de Gestión'!$AJ$48="Muy Alta",'Riesgos de Gestión'!$AL$48="Moderado"),CONCATENATE("R7C",'Riesgos de Gestión'!$W$48),"")</f>
        <v/>
      </c>
      <c r="Y12" s="36" t="str">
        <f>IF(AND('Riesgos de Gestión'!$AJ$49="Muy Alta",'Riesgos de Gestión'!$AL$49="Moderado"),CONCATENATE("R7C",'Riesgos de Gestión'!$W$49),"")</f>
        <v/>
      </c>
      <c r="Z12" s="36" t="str">
        <f>IF(AND('Riesgos de Gestión'!$AJ$50="Muy Alta",'Riesgos de Gestión'!$AL$50="Moderado"),CONCATENATE("R7C",'Riesgos de Gestión'!$W$50),"")</f>
        <v/>
      </c>
      <c r="AA12" s="37" t="str">
        <f>IF(AND('Riesgos de Gestión'!$AJ$51="Muy Alta",'Riesgos de Gestión'!$AL$51="Moderado"),CONCATENATE("R7C",'Riesgos de Gestión'!$W$51),"")</f>
        <v/>
      </c>
      <c r="AB12" s="35" t="str">
        <f>IF(AND('Riesgos de Gestión'!$AJ$46="Muy Alta",'Riesgos de Gestión'!$AL$46="Mayor"),CONCATENATE("R7C",'Riesgos de Gestión'!$W$46),"")</f>
        <v/>
      </c>
      <c r="AC12" s="36" t="str">
        <f>IF(AND('Riesgos de Gestión'!$AJ$47="Muy Alta",'Riesgos de Gestión'!$AL$47="Mayor"),CONCATENATE("R7C",'Riesgos de Gestión'!$W$47),"")</f>
        <v/>
      </c>
      <c r="AD12" s="36" t="str">
        <f>IF(AND('Riesgos de Gestión'!$AJ$48="Muy Alta",'Riesgos de Gestión'!$AL$48="Mayor"),CONCATENATE("R7C",'Riesgos de Gestión'!$W$48),"")</f>
        <v/>
      </c>
      <c r="AE12" s="36" t="str">
        <f>IF(AND('Riesgos de Gestión'!$AJ$49="Muy Alta",'Riesgos de Gestión'!$AL$49="Mayor"),CONCATENATE("R7C",'Riesgos de Gestión'!$W$49),"")</f>
        <v/>
      </c>
      <c r="AF12" s="36" t="str">
        <f>IF(AND('Riesgos de Gestión'!$AJ$50="Muy Alta",'Riesgos de Gestión'!$AL$50="Mayor"),CONCATENATE("R7C",'Riesgos de Gestión'!$W$50),"")</f>
        <v/>
      </c>
      <c r="AG12" s="37" t="str">
        <f>IF(AND('Riesgos de Gestión'!$AJ$51="Muy Alta",'Riesgos de Gestión'!$AL$51="Mayor"),CONCATENATE("R7C",'Riesgos de Gestión'!$W$51),"")</f>
        <v/>
      </c>
      <c r="AH12" s="38" t="str">
        <f>IF(AND('Riesgos de Gestión'!$AJ$46="Muy Alta",'Riesgos de Gestión'!$AL$46="Catastrófico"),CONCATENATE("R7C",'Riesgos de Gestión'!$W$46),"")</f>
        <v/>
      </c>
      <c r="AI12" s="39" t="str">
        <f>IF(AND('Riesgos de Gestión'!$AJ$47="Muy Alta",'Riesgos de Gestión'!$AL$47="Catastrófico"),CONCATENATE("R7C",'Riesgos de Gestión'!$W$47),"")</f>
        <v/>
      </c>
      <c r="AJ12" s="39" t="str">
        <f>IF(AND('Riesgos de Gestión'!$AJ$48="Muy Alta",'Riesgos de Gestión'!$AL$48="Catastrófico"),CONCATENATE("R7C",'Riesgos de Gestión'!$W$48),"")</f>
        <v/>
      </c>
      <c r="AK12" s="39" t="str">
        <f>IF(AND('Riesgos de Gestión'!$AJ$49="Muy Alta",'Riesgos de Gestión'!$AL$49="Catastrófico"),CONCATENATE("R7C",'Riesgos de Gestión'!$W$49),"")</f>
        <v/>
      </c>
      <c r="AL12" s="39" t="str">
        <f>IF(AND('Riesgos de Gestión'!$AJ$50="Muy Alta",'Riesgos de Gestión'!$AL$50="Catastrófico"),CONCATENATE("R7C",'Riesgos de Gestión'!$W$50),"")</f>
        <v/>
      </c>
      <c r="AM12" s="40" t="str">
        <f>IF(AND('Riesgos de Gestión'!$AJ$51="Muy Alta",'Riesgos de Gestión'!$AL$51="Catastrófico"),CONCATENATE("R7C",'Riesgos de Gestión'!$W$51),"")</f>
        <v/>
      </c>
      <c r="AN12" s="66"/>
      <c r="AO12" s="601"/>
      <c r="AP12" s="602"/>
      <c r="AQ12" s="602"/>
      <c r="AR12" s="602"/>
      <c r="AS12" s="602"/>
      <c r="AT12" s="603"/>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row>
    <row r="13" spans="1:91" ht="15" customHeight="1" x14ac:dyDescent="0.25">
      <c r="A13" s="66"/>
      <c r="B13" s="496"/>
      <c r="C13" s="496"/>
      <c r="D13" s="497"/>
      <c r="E13" s="595"/>
      <c r="F13" s="594"/>
      <c r="G13" s="594"/>
      <c r="H13" s="594"/>
      <c r="I13" s="610"/>
      <c r="J13" s="35" t="str">
        <f>IF(AND('Riesgos de Gestión'!$AJ$52="Muy Alta",'Riesgos de Gestión'!$AL$52="Leve"),CONCATENATE("R8C",'Riesgos de Gestión'!$W$52),"")</f>
        <v/>
      </c>
      <c r="K13" s="36" t="str">
        <f>IF(AND('Riesgos de Gestión'!$AJ$53="Muy Alta",'Riesgos de Gestión'!$AL$53="Leve"),CONCATENATE("R8C",'Riesgos de Gestión'!$W$53),"")</f>
        <v/>
      </c>
      <c r="L13" s="36" t="str">
        <f>IF(AND('Riesgos de Gestión'!$AJ$54="Muy Alta",'Riesgos de Gestión'!$AL$54="Leve"),CONCATENATE("R8C",'Riesgos de Gestión'!$W$54),"")</f>
        <v/>
      </c>
      <c r="M13" s="36" t="str">
        <f>IF(AND('Riesgos de Gestión'!$AJ$55="Muy Alta",'Riesgos de Gestión'!$AL$55="Leve"),CONCATENATE("R8C",'Riesgos de Gestión'!$W$55),"")</f>
        <v/>
      </c>
      <c r="N13" s="36" t="str">
        <f>IF(AND('Riesgos de Gestión'!$AJ$56="Muy Alta",'Riesgos de Gestión'!$AL$56="Leve"),CONCATENATE("R8C",'Riesgos de Gestión'!$W$56),"")</f>
        <v/>
      </c>
      <c r="O13" s="37" t="str">
        <f>IF(AND('Riesgos de Gestión'!$AJ$57="Muy Alta",'Riesgos de Gestión'!$AL$57="Leve"),CONCATENATE("R8C",'Riesgos de Gestión'!$W$57),"")</f>
        <v/>
      </c>
      <c r="P13" s="35" t="str">
        <f>IF(AND('Riesgos de Gestión'!$AJ$52="Muy Alta",'Riesgos de Gestión'!$AL$52="Menor"),CONCATENATE("R8C",'Riesgos de Gestión'!$W$52),"")</f>
        <v/>
      </c>
      <c r="Q13" s="36" t="str">
        <f>IF(AND('Riesgos de Gestión'!$AJ$53="Muy Alta",'Riesgos de Gestión'!$AL$53="Menor"),CONCATENATE("R8C",'Riesgos de Gestión'!$W$53),"")</f>
        <v/>
      </c>
      <c r="R13" s="36" t="str">
        <f>IF(AND('Riesgos de Gestión'!$AJ$54="Muy Alta",'Riesgos de Gestión'!$AL$54="Menor"),CONCATENATE("R8C",'Riesgos de Gestión'!$W$54),"")</f>
        <v/>
      </c>
      <c r="S13" s="36" t="str">
        <f>IF(AND('Riesgos de Gestión'!$AJ$55="Muy Alta",'Riesgos de Gestión'!$AL$55="Menor"),CONCATENATE("R8C",'Riesgos de Gestión'!$W$55),"")</f>
        <v/>
      </c>
      <c r="T13" s="36" t="str">
        <f>IF(AND('Riesgos de Gestión'!$AJ$56="Muy Alta",'Riesgos de Gestión'!$AL$56="Menor"),CONCATENATE("R8C",'Riesgos de Gestión'!$W$56),"")</f>
        <v/>
      </c>
      <c r="U13" s="37" t="str">
        <f>IF(AND('Riesgos de Gestión'!$AJ$57="Muy Alta",'Riesgos de Gestión'!$AL$57="Menor"),CONCATENATE("R8C",'Riesgos de Gestión'!$W$57),"")</f>
        <v/>
      </c>
      <c r="V13" s="35" t="str">
        <f>IF(AND('Riesgos de Gestión'!$AJ$52="Muy Alta",'Riesgos de Gestión'!$AL$52="Moderado"),CONCATENATE("R8C",'Riesgos de Gestión'!$W$52),"")</f>
        <v/>
      </c>
      <c r="W13" s="36" t="str">
        <f>IF(AND('Riesgos de Gestión'!$AJ$53="Muy Alta",'Riesgos de Gestión'!$AL$53="Moderado"),CONCATENATE("R8C",'Riesgos de Gestión'!$W$53),"")</f>
        <v/>
      </c>
      <c r="X13" s="36" t="str">
        <f>IF(AND('Riesgos de Gestión'!$AJ$54="Muy Alta",'Riesgos de Gestión'!$AL$54="Moderado"),CONCATENATE("R8C",'Riesgos de Gestión'!$W$54),"")</f>
        <v/>
      </c>
      <c r="Y13" s="36" t="str">
        <f>IF(AND('Riesgos de Gestión'!$AJ$55="Muy Alta",'Riesgos de Gestión'!$AL$55="Moderado"),CONCATENATE("R8C",'Riesgos de Gestión'!$W$55),"")</f>
        <v/>
      </c>
      <c r="Z13" s="36" t="str">
        <f>IF(AND('Riesgos de Gestión'!$AJ$56="Muy Alta",'Riesgos de Gestión'!$AL$56="Moderado"),CONCATENATE("R8C",'Riesgos de Gestión'!$W$56),"")</f>
        <v/>
      </c>
      <c r="AA13" s="37" t="str">
        <f>IF(AND('Riesgos de Gestión'!$AJ$57="Muy Alta",'Riesgos de Gestión'!$AL$57="Moderado"),CONCATENATE("R8C",'Riesgos de Gestión'!$W$57),"")</f>
        <v/>
      </c>
      <c r="AB13" s="35" t="str">
        <f>IF(AND('Riesgos de Gestión'!$AJ$52="Muy Alta",'Riesgos de Gestión'!$AL$52="Mayor"),CONCATENATE("R8C",'Riesgos de Gestión'!$W$52),"")</f>
        <v/>
      </c>
      <c r="AC13" s="36" t="str">
        <f>IF(AND('Riesgos de Gestión'!$AJ$53="Muy Alta",'Riesgos de Gestión'!$AL$53="Mayor"),CONCATENATE("R8C",'Riesgos de Gestión'!$W$53),"")</f>
        <v/>
      </c>
      <c r="AD13" s="36" t="str">
        <f>IF(AND('Riesgos de Gestión'!$AJ$54="Muy Alta",'Riesgos de Gestión'!$AL$54="Mayor"),CONCATENATE("R8C",'Riesgos de Gestión'!$W$54),"")</f>
        <v/>
      </c>
      <c r="AE13" s="36" t="str">
        <f>IF(AND('Riesgos de Gestión'!$AJ$55="Muy Alta",'Riesgos de Gestión'!$AL$55="Mayor"),CONCATENATE("R8C",'Riesgos de Gestión'!$W$55),"")</f>
        <v/>
      </c>
      <c r="AF13" s="36" t="str">
        <f>IF(AND('Riesgos de Gestión'!$AJ$56="Muy Alta",'Riesgos de Gestión'!$AL$56="Mayor"),CONCATENATE("R8C",'Riesgos de Gestión'!$W$56),"")</f>
        <v/>
      </c>
      <c r="AG13" s="37" t="str">
        <f>IF(AND('Riesgos de Gestión'!$AJ$57="Muy Alta",'Riesgos de Gestión'!$AL$57="Mayor"),CONCATENATE("R8C",'Riesgos de Gestión'!$W$57),"")</f>
        <v/>
      </c>
      <c r="AH13" s="38" t="str">
        <f>IF(AND('Riesgos de Gestión'!$AJ$52="Muy Alta",'Riesgos de Gestión'!$AL$52="Catastrófico"),CONCATENATE("R8C",'Riesgos de Gestión'!$W$52),"")</f>
        <v/>
      </c>
      <c r="AI13" s="39" t="str">
        <f>IF(AND('Riesgos de Gestión'!$AJ$53="Muy Alta",'Riesgos de Gestión'!$AL$53="Catastrófico"),CONCATENATE("R8C",'Riesgos de Gestión'!$W$53),"")</f>
        <v/>
      </c>
      <c r="AJ13" s="39" t="str">
        <f>IF(AND('Riesgos de Gestión'!$AJ$54="Muy Alta",'Riesgos de Gestión'!$AL$54="Catastrófico"),CONCATENATE("R8C",'Riesgos de Gestión'!$W$54),"")</f>
        <v/>
      </c>
      <c r="AK13" s="39" t="str">
        <f>IF(AND('Riesgos de Gestión'!$AJ$55="Muy Alta",'Riesgos de Gestión'!$AL$55="Catastrófico"),CONCATENATE("R8C",'Riesgos de Gestión'!$W$55),"")</f>
        <v/>
      </c>
      <c r="AL13" s="39" t="str">
        <f>IF(AND('Riesgos de Gestión'!$AJ$56="Muy Alta",'Riesgos de Gestión'!$AL$56="Catastrófico"),CONCATENATE("R8C",'Riesgos de Gestión'!$W$56),"")</f>
        <v/>
      </c>
      <c r="AM13" s="40" t="str">
        <f>IF(AND('Riesgos de Gestión'!$AJ$57="Muy Alta",'Riesgos de Gestión'!$AL$57="Catastrófico"),CONCATENATE("R8C",'Riesgos de Gestión'!$W$57),"")</f>
        <v/>
      </c>
      <c r="AN13" s="66"/>
      <c r="AO13" s="601"/>
      <c r="AP13" s="602"/>
      <c r="AQ13" s="602"/>
      <c r="AR13" s="602"/>
      <c r="AS13" s="602"/>
      <c r="AT13" s="603"/>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row>
    <row r="14" spans="1:91" ht="15" customHeight="1" x14ac:dyDescent="0.25">
      <c r="A14" s="66"/>
      <c r="B14" s="496"/>
      <c r="C14" s="496"/>
      <c r="D14" s="497"/>
      <c r="E14" s="595"/>
      <c r="F14" s="594"/>
      <c r="G14" s="594"/>
      <c r="H14" s="594"/>
      <c r="I14" s="610"/>
      <c r="J14" s="35" t="str">
        <f>IF(AND('Riesgos de Gestión'!$AJ$58="Muy Alta",'Riesgos de Gestión'!$AL$58="Leve"),CONCATENATE("R9C",'Riesgos de Gestión'!$W$58),"")</f>
        <v/>
      </c>
      <c r="K14" s="36" t="str">
        <f>IF(AND('Riesgos de Gestión'!$AJ$59="Muy Alta",'Riesgos de Gestión'!$AL$59="Leve"),CONCATENATE("R9C",'Riesgos de Gestión'!$W$59),"")</f>
        <v/>
      </c>
      <c r="L14" s="36" t="str">
        <f>IF(AND('Riesgos de Gestión'!$AJ$60="Muy Alta",'Riesgos de Gestión'!$AL$60="Leve"),CONCATENATE("R9C",'Riesgos de Gestión'!$W$60),"")</f>
        <v/>
      </c>
      <c r="M14" s="36" t="str">
        <f>IF(AND('Riesgos de Gestión'!$AJ$61="Muy Alta",'Riesgos de Gestión'!$AL$61="Leve"),CONCATENATE("R9C",'Riesgos de Gestión'!$W$61),"")</f>
        <v/>
      </c>
      <c r="N14" s="36" t="str">
        <f>IF(AND('Riesgos de Gestión'!$AJ$62="Muy Alta",'Riesgos de Gestión'!$AL$62="Leve"),CONCATENATE("R9C",'Riesgos de Gestión'!$W$62),"")</f>
        <v/>
      </c>
      <c r="O14" s="37" t="str">
        <f>IF(AND('Riesgos de Gestión'!$AJ$65="Muy Alta",'Riesgos de Gestión'!$AL$65="Leve"),CONCATENATE("R9C",'Riesgos de Gestión'!$W$65),"")</f>
        <v/>
      </c>
      <c r="P14" s="35" t="str">
        <f>IF(AND('Riesgos de Gestión'!$AJ$58="Muy Alta",'Riesgos de Gestión'!$AL$58="Menor"),CONCATENATE("R9C",'Riesgos de Gestión'!$W$58),"")</f>
        <v/>
      </c>
      <c r="Q14" s="36" t="str">
        <f>IF(AND('Riesgos de Gestión'!$AJ$59="Muy Alta",'Riesgos de Gestión'!$AL$59="Menor"),CONCATENATE("R9C",'Riesgos de Gestión'!$W$59),"")</f>
        <v/>
      </c>
      <c r="R14" s="36" t="str">
        <f>IF(AND('Riesgos de Gestión'!$AJ$60="Muy Alta",'Riesgos de Gestión'!$AL$60="Menor"),CONCATENATE("R9C",'Riesgos de Gestión'!$W$60),"")</f>
        <v/>
      </c>
      <c r="S14" s="36" t="str">
        <f>IF(AND('Riesgos de Gestión'!$AJ$61="Muy Alta",'Riesgos de Gestión'!$AL$61="Menor"),CONCATENATE("R9C",'Riesgos de Gestión'!$W$61),"")</f>
        <v/>
      </c>
      <c r="T14" s="36" t="str">
        <f>IF(AND('Riesgos de Gestión'!$AJ$62="Muy Alta",'Riesgos de Gestión'!$AL$62="Menor"),CONCATENATE("R9C",'Riesgos de Gestión'!$W$62),"")</f>
        <v/>
      </c>
      <c r="U14" s="37" t="str">
        <f>IF(AND('Riesgos de Gestión'!$AJ$65="Muy Alta",'Riesgos de Gestión'!$AL$65="Menor"),CONCATENATE("R9C",'Riesgos de Gestión'!$W$65),"")</f>
        <v/>
      </c>
      <c r="V14" s="35" t="str">
        <f>IF(AND('Riesgos de Gestión'!$AJ$58="Muy Alta",'Riesgos de Gestión'!$AL$58="Moderado"),CONCATENATE("R9C",'Riesgos de Gestión'!$W$58),"")</f>
        <v/>
      </c>
      <c r="W14" s="36" t="str">
        <f>IF(AND('Riesgos de Gestión'!$AJ$59="Muy Alta",'Riesgos de Gestión'!$AL$59="Moderado"),CONCATENATE("R9C",'Riesgos de Gestión'!$W$59),"")</f>
        <v/>
      </c>
      <c r="X14" s="36" t="str">
        <f>IF(AND('Riesgos de Gestión'!$AJ$60="Muy Alta",'Riesgos de Gestión'!$AL$60="Moderado"),CONCATENATE("R9C",'Riesgos de Gestión'!$W$60),"")</f>
        <v/>
      </c>
      <c r="Y14" s="36" t="str">
        <f>IF(AND('Riesgos de Gestión'!$AJ$61="Muy Alta",'Riesgos de Gestión'!$AL$61="Moderado"),CONCATENATE("R9C",'Riesgos de Gestión'!$W$61),"")</f>
        <v/>
      </c>
      <c r="Z14" s="36" t="str">
        <f>IF(AND('Riesgos de Gestión'!$AJ$62="Muy Alta",'Riesgos de Gestión'!$AL$62="Moderado"),CONCATENATE("R9C",'Riesgos de Gestión'!$W$62),"")</f>
        <v/>
      </c>
      <c r="AA14" s="37" t="str">
        <f>IF(AND('Riesgos de Gestión'!$AJ$65="Muy Alta",'Riesgos de Gestión'!$AL$65="Moderado"),CONCATENATE("R9C",'Riesgos de Gestión'!$W$65),"")</f>
        <v/>
      </c>
      <c r="AB14" s="35" t="str">
        <f>IF(AND('Riesgos de Gestión'!$AJ$58="Muy Alta",'Riesgos de Gestión'!$AL$58="Mayor"),CONCATENATE("R9C",'Riesgos de Gestión'!$W$58),"")</f>
        <v/>
      </c>
      <c r="AC14" s="36" t="str">
        <f>IF(AND('Riesgos de Gestión'!$AJ$59="Muy Alta",'Riesgos de Gestión'!$AL$59="Mayor"),CONCATENATE("R9C",'Riesgos de Gestión'!$W$59),"")</f>
        <v/>
      </c>
      <c r="AD14" s="36" t="str">
        <f>IF(AND('Riesgos de Gestión'!$AJ$60="Muy Alta",'Riesgos de Gestión'!$AL$60="Mayor"),CONCATENATE("R9C",'Riesgos de Gestión'!$W$60),"")</f>
        <v/>
      </c>
      <c r="AE14" s="36" t="str">
        <f>IF(AND('Riesgos de Gestión'!$AJ$61="Muy Alta",'Riesgos de Gestión'!$AL$61="Mayor"),CONCATENATE("R9C",'Riesgos de Gestión'!$W$61),"")</f>
        <v/>
      </c>
      <c r="AF14" s="36" t="str">
        <f>IF(AND('Riesgos de Gestión'!$AJ$62="Muy Alta",'Riesgos de Gestión'!$AL$62="Mayor"),CONCATENATE("R9C",'Riesgos de Gestión'!$W$62),"")</f>
        <v/>
      </c>
      <c r="AG14" s="37" t="str">
        <f>IF(AND('Riesgos de Gestión'!$AJ$65="Muy Alta",'Riesgos de Gestión'!$AL$65="Mayor"),CONCATENATE("R9C",'Riesgos de Gestión'!$W$65),"")</f>
        <v/>
      </c>
      <c r="AH14" s="38" t="str">
        <f>IF(AND('Riesgos de Gestión'!$AJ$58="Muy Alta",'Riesgos de Gestión'!$AL$58="Catastrófico"),CONCATENATE("R9C",'Riesgos de Gestión'!$W$58),"")</f>
        <v/>
      </c>
      <c r="AI14" s="39" t="str">
        <f>IF(AND('Riesgos de Gestión'!$AJ$59="Muy Alta",'Riesgos de Gestión'!$AL$59="Catastrófico"),CONCATENATE("R9C",'Riesgos de Gestión'!$W$59),"")</f>
        <v/>
      </c>
      <c r="AJ14" s="39" t="str">
        <f>IF(AND('Riesgos de Gestión'!$AJ$60="Muy Alta",'Riesgos de Gestión'!$AL$60="Catastrófico"),CONCATENATE("R9C",'Riesgos de Gestión'!$W$60),"")</f>
        <v/>
      </c>
      <c r="AK14" s="39" t="str">
        <f>IF(AND('Riesgos de Gestión'!$AJ$61="Muy Alta",'Riesgos de Gestión'!$AL$61="Catastrófico"),CONCATENATE("R9C",'Riesgos de Gestión'!$W$61),"")</f>
        <v/>
      </c>
      <c r="AL14" s="39" t="str">
        <f>IF(AND('Riesgos de Gestión'!$AJ$62="Muy Alta",'Riesgos de Gestión'!$AL$62="Catastrófico"),CONCATENATE("R9C",'Riesgos de Gestión'!$W$62),"")</f>
        <v/>
      </c>
      <c r="AM14" s="40" t="str">
        <f>IF(AND('Riesgos de Gestión'!$AJ$65="Muy Alta",'Riesgos de Gestión'!$AL$65="Catastrófico"),CONCATENATE("R9C",'Riesgos de Gestión'!$W$65),"")</f>
        <v/>
      </c>
      <c r="AN14" s="66"/>
      <c r="AO14" s="601"/>
      <c r="AP14" s="602"/>
      <c r="AQ14" s="602"/>
      <c r="AR14" s="602"/>
      <c r="AS14" s="602"/>
      <c r="AT14" s="603"/>
      <c r="AU14" s="66"/>
      <c r="AV14" s="66"/>
      <c r="AW14" s="66"/>
      <c r="AX14" s="66"/>
      <c r="AY14" s="66"/>
      <c r="AZ14" s="66"/>
      <c r="BA14" s="66"/>
      <c r="BB14" s="66"/>
      <c r="BC14" s="66"/>
      <c r="BD14" s="66"/>
      <c r="BE14" s="66"/>
      <c r="BF14" s="66"/>
      <c r="BG14" s="66"/>
      <c r="BH14" s="66"/>
      <c r="BI14" s="66"/>
      <c r="BJ14" s="66"/>
      <c r="BK14" s="66"/>
      <c r="BL14" s="66"/>
      <c r="BM14" s="66"/>
      <c r="BN14" s="66"/>
      <c r="BO14" s="66"/>
      <c r="BP14" s="66"/>
      <c r="BQ14" s="66"/>
      <c r="BR14" s="66"/>
      <c r="BS14" s="66"/>
      <c r="BT14" s="66"/>
      <c r="BU14" s="66"/>
      <c r="BV14" s="66"/>
      <c r="BW14" s="66"/>
      <c r="BX14" s="66"/>
    </row>
    <row r="15" spans="1:91" ht="15.75" customHeight="1" thickBot="1" x14ac:dyDescent="0.3">
      <c r="A15" s="66"/>
      <c r="B15" s="496"/>
      <c r="C15" s="496"/>
      <c r="D15" s="497"/>
      <c r="E15" s="596"/>
      <c r="F15" s="597"/>
      <c r="G15" s="597"/>
      <c r="H15" s="597"/>
      <c r="I15" s="611"/>
      <c r="J15" s="41" t="str">
        <f>IF(AND('Riesgos de Gestión'!$AJ$66="Muy Alta",'Riesgos de Gestión'!$AL$66="Leve"),CONCATENATE("R10C",'Riesgos de Gestión'!$W$66),"")</f>
        <v/>
      </c>
      <c r="K15" s="42" t="str">
        <f>IF(AND('Riesgos de Gestión'!$AJ$67="Muy Alta",'Riesgos de Gestión'!$AL$67="Leve"),CONCATENATE("R10C",'Riesgos de Gestión'!$W$67),"")</f>
        <v/>
      </c>
      <c r="L15" s="42" t="str">
        <f>IF(AND('Riesgos de Gestión'!$AJ$68="Muy Alta",'Riesgos de Gestión'!$AL$68="Leve"),CONCATENATE("R10C",'Riesgos de Gestión'!$W$68),"")</f>
        <v/>
      </c>
      <c r="M15" s="42" t="str">
        <f>IF(AND('Riesgos de Gestión'!$AJ$69="Muy Alta",'Riesgos de Gestión'!$AL$69="Leve"),CONCATENATE("R10C",'Riesgos de Gestión'!$W$69),"")</f>
        <v/>
      </c>
      <c r="N15" s="42" t="str">
        <f>IF(AND('Riesgos de Gestión'!$AJ$70="Muy Alta",'Riesgos de Gestión'!$AL$70="Leve"),CONCATENATE("R10C",'Riesgos de Gestión'!$W$70),"")</f>
        <v/>
      </c>
      <c r="O15" s="43" t="str">
        <f>IF(AND('Riesgos de Gestión'!$AJ$71="Muy Alta",'Riesgos de Gestión'!$AL$71="Leve"),CONCATENATE("R10C",'Riesgos de Gestión'!$W$71),"")</f>
        <v/>
      </c>
      <c r="P15" s="35" t="str">
        <f>IF(AND('Riesgos de Gestión'!$AJ$66="Muy Alta",'Riesgos de Gestión'!$AL$66="Menor"),CONCATENATE("R10C",'Riesgos de Gestión'!$W$66),"")</f>
        <v/>
      </c>
      <c r="Q15" s="36" t="str">
        <f>IF(AND('Riesgos de Gestión'!$AJ$67="Muy Alta",'Riesgos de Gestión'!$AL$67="Menor"),CONCATENATE("R10C",'Riesgos de Gestión'!$W$67),"")</f>
        <v/>
      </c>
      <c r="R15" s="36" t="str">
        <f>IF(AND('Riesgos de Gestión'!$AJ$68="Muy Alta",'Riesgos de Gestión'!$AL$68="Menor"),CONCATENATE("R10C",'Riesgos de Gestión'!$W$68),"")</f>
        <v/>
      </c>
      <c r="S15" s="36" t="str">
        <f>IF(AND('Riesgos de Gestión'!$AJ$69="Muy Alta",'Riesgos de Gestión'!$AL$69="Menor"),CONCATENATE("R10C",'Riesgos de Gestión'!$W$69),"")</f>
        <v/>
      </c>
      <c r="T15" s="36" t="str">
        <f>IF(AND('Riesgos de Gestión'!$AJ$70="Muy Alta",'Riesgos de Gestión'!$AL$70="Menor"),CONCATENATE("R10C",'Riesgos de Gestión'!$W$70),"")</f>
        <v/>
      </c>
      <c r="U15" s="37" t="str">
        <f>IF(AND('Riesgos de Gestión'!$AJ$71="Muy Alta",'Riesgos de Gestión'!$AL$71="Menor"),CONCATENATE("R10C",'Riesgos de Gestión'!$W$71),"")</f>
        <v/>
      </c>
      <c r="V15" s="41" t="str">
        <f>IF(AND('Riesgos de Gestión'!$AJ$66="Muy Alta",'Riesgos de Gestión'!$AL$66="Moderado"),CONCATENATE("R10C",'Riesgos de Gestión'!$W$66),"")</f>
        <v/>
      </c>
      <c r="W15" s="42" t="str">
        <f>IF(AND('Riesgos de Gestión'!$AJ$67="Muy Alta",'Riesgos de Gestión'!$AL$67="Moderado"),CONCATENATE("R10C",'Riesgos de Gestión'!$W$67),"")</f>
        <v/>
      </c>
      <c r="X15" s="42" t="str">
        <f>IF(AND('Riesgos de Gestión'!$AJ$68="Muy Alta",'Riesgos de Gestión'!$AL$68="Moderado"),CONCATENATE("R10C",'Riesgos de Gestión'!$W$68),"")</f>
        <v/>
      </c>
      <c r="Y15" s="42" t="str">
        <f>IF(AND('Riesgos de Gestión'!$AJ$69="Muy Alta",'Riesgos de Gestión'!$AL$69="Moderado"),CONCATENATE("R10C",'Riesgos de Gestión'!$W$69),"")</f>
        <v/>
      </c>
      <c r="Z15" s="42" t="str">
        <f>IF(AND('Riesgos de Gestión'!$AJ$70="Muy Alta",'Riesgos de Gestión'!$AL$70="Moderado"),CONCATENATE("R10C",'Riesgos de Gestión'!$W$70),"")</f>
        <v/>
      </c>
      <c r="AA15" s="43" t="str">
        <f>IF(AND('Riesgos de Gestión'!$AJ$71="Muy Alta",'Riesgos de Gestión'!$AL$71="Moderado"),CONCATENATE("R10C",'Riesgos de Gestión'!$W$71),"")</f>
        <v/>
      </c>
      <c r="AB15" s="35" t="str">
        <f>IF(AND('Riesgos de Gestión'!$AJ$66="Muy Alta",'Riesgos de Gestión'!$AL$66="Mayor"),CONCATENATE("R10C",'Riesgos de Gestión'!$W$66),"")</f>
        <v/>
      </c>
      <c r="AC15" s="36" t="str">
        <f>IF(AND('Riesgos de Gestión'!$AJ$67="Muy Alta",'Riesgos de Gestión'!$AL$67="Mayor"),CONCATENATE("R10C",'Riesgos de Gestión'!$W$67),"")</f>
        <v/>
      </c>
      <c r="AD15" s="36" t="str">
        <f>IF(AND('Riesgos de Gestión'!$AJ$68="Muy Alta",'Riesgos de Gestión'!$AL$68="Mayor"),CONCATENATE("R10C",'Riesgos de Gestión'!$W$68),"")</f>
        <v/>
      </c>
      <c r="AE15" s="36" t="str">
        <f>IF(AND('Riesgos de Gestión'!$AJ$69="Muy Alta",'Riesgos de Gestión'!$AL$69="Mayor"),CONCATENATE("R10C",'Riesgos de Gestión'!$W$69),"")</f>
        <v/>
      </c>
      <c r="AF15" s="36" t="str">
        <f>IF(AND('Riesgos de Gestión'!$AJ$70="Muy Alta",'Riesgos de Gestión'!$AL$70="Mayor"),CONCATENATE("R10C",'Riesgos de Gestión'!$W$70),"")</f>
        <v/>
      </c>
      <c r="AG15" s="37" t="str">
        <f>IF(AND('Riesgos de Gestión'!$AJ$71="Muy Alta",'Riesgos de Gestión'!$AL$71="Mayor"),CONCATENATE("R10C",'Riesgos de Gestión'!$W$71),"")</f>
        <v/>
      </c>
      <c r="AH15" s="44" t="str">
        <f>IF(AND('Riesgos de Gestión'!$AJ$66="Muy Alta",'Riesgos de Gestión'!$AL$66="Catastrófico"),CONCATENATE("R10C",'Riesgos de Gestión'!$W$66),"")</f>
        <v/>
      </c>
      <c r="AI15" s="45" t="str">
        <f>IF(AND('Riesgos de Gestión'!$AJ$67="Muy Alta",'Riesgos de Gestión'!$AL$67="Catastrófico"),CONCATENATE("R10C",'Riesgos de Gestión'!$W$67),"")</f>
        <v/>
      </c>
      <c r="AJ15" s="45" t="str">
        <f>IF(AND('Riesgos de Gestión'!$AJ$68="Muy Alta",'Riesgos de Gestión'!$AL$68="Catastrófico"),CONCATENATE("R10C",'Riesgos de Gestión'!$W$68),"")</f>
        <v/>
      </c>
      <c r="AK15" s="45" t="str">
        <f>IF(AND('Riesgos de Gestión'!$AJ$69="Muy Alta",'Riesgos de Gestión'!$AL$69="Catastrófico"),CONCATENATE("R10C",'Riesgos de Gestión'!$W$69),"")</f>
        <v/>
      </c>
      <c r="AL15" s="45" t="str">
        <f>IF(AND('Riesgos de Gestión'!$AJ$70="Muy Alta",'Riesgos de Gestión'!$AL$70="Catastrófico"),CONCATENATE("R10C",'Riesgos de Gestión'!$W$70),"")</f>
        <v/>
      </c>
      <c r="AM15" s="46" t="str">
        <f>IF(AND('Riesgos de Gestión'!$AJ$71="Muy Alta",'Riesgos de Gestión'!$AL$71="Catastrófico"),CONCATENATE("R10C",'Riesgos de Gestión'!$W$71),"")</f>
        <v/>
      </c>
      <c r="AN15" s="66"/>
      <c r="AO15" s="604"/>
      <c r="AP15" s="605"/>
      <c r="AQ15" s="605"/>
      <c r="AR15" s="605"/>
      <c r="AS15" s="605"/>
      <c r="AT15" s="606"/>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row>
    <row r="16" spans="1:91" ht="15" customHeight="1" x14ac:dyDescent="0.25">
      <c r="A16" s="66"/>
      <c r="B16" s="496"/>
      <c r="C16" s="496"/>
      <c r="D16" s="497"/>
      <c r="E16" s="591" t="s">
        <v>403</v>
      </c>
      <c r="F16" s="592"/>
      <c r="G16" s="592"/>
      <c r="H16" s="592"/>
      <c r="I16" s="592"/>
      <c r="J16" s="47" t="str">
        <f>IF(AND('Riesgos de Gestión'!$AJ$10="Alta",'Riesgos de Gestión'!$AL$10="Leve"),CONCATENATE("R1C",'Riesgos de Gestión'!$W$10),"")</f>
        <v/>
      </c>
      <c r="K16" s="48" t="str">
        <f>IF(AND('Riesgos de Gestión'!$AJ$11="Alta",'Riesgos de Gestión'!$AL$11="Leve"),CONCATENATE("R1C",'Riesgos de Gestión'!$W$11),"")</f>
        <v/>
      </c>
      <c r="L16" s="48" t="str">
        <f>IF(AND('Riesgos de Gestión'!$AJ$12="Alta",'Riesgos de Gestión'!$AL$12="Leve"),CONCATENATE("R1C",'Riesgos de Gestión'!$W$12),"")</f>
        <v/>
      </c>
      <c r="M16" s="48" t="str">
        <f>IF(AND('Riesgos de Gestión'!$AJ$13="Alta",'Riesgos de Gestión'!$AL$13="Leve"),CONCATENATE("R1C",'Riesgos de Gestión'!$W$13),"")</f>
        <v/>
      </c>
      <c r="N16" s="48" t="str">
        <f>IF(AND('Riesgos de Gestión'!$AJ$14="Alta",'Riesgos de Gestión'!$AL$14="Leve"),CONCATENATE("R1C",'Riesgos de Gestión'!$W$14),"")</f>
        <v/>
      </c>
      <c r="O16" s="49" t="str">
        <f>IF(AND('Riesgos de Gestión'!$AJ$15="Alta",'Riesgos de Gestión'!$AL$15="Leve"),CONCATENATE("R1C",'Riesgos de Gestión'!$W$15),"")</f>
        <v/>
      </c>
      <c r="P16" s="47" t="str">
        <f>IF(AND('Riesgos de Gestión'!$AJ$10="Alta",'Riesgos de Gestión'!$AL$10="Menor"),CONCATENATE("R1C",'Riesgos de Gestión'!$W$10),"")</f>
        <v/>
      </c>
      <c r="Q16" s="48" t="str">
        <f>IF(AND('Riesgos de Gestión'!$AJ$11="Alta",'Riesgos de Gestión'!$AL$11="Menor"),CONCATENATE("R1C",'Riesgos de Gestión'!$W$11),"")</f>
        <v/>
      </c>
      <c r="R16" s="48" t="str">
        <f>IF(AND('Riesgos de Gestión'!$AJ$12="Alta",'Riesgos de Gestión'!$AL$12="Menor"),CONCATENATE("R1C",'Riesgos de Gestión'!$W$12),"")</f>
        <v/>
      </c>
      <c r="S16" s="48" t="str">
        <f>IF(AND('Riesgos de Gestión'!$AJ$13="Alta",'Riesgos de Gestión'!$AL$13="Menor"),CONCATENATE("R1C",'Riesgos de Gestión'!$W$13),"")</f>
        <v/>
      </c>
      <c r="T16" s="48" t="str">
        <f>IF(AND('Riesgos de Gestión'!$AJ$14="Alta",'Riesgos de Gestión'!$AL$14="Menor"),CONCATENATE("R1C",'Riesgos de Gestión'!$W$14),"")</f>
        <v/>
      </c>
      <c r="U16" s="49" t="str">
        <f>IF(AND('Riesgos de Gestión'!$AJ$15="Alta",'Riesgos de Gestión'!$AL$15="Menor"),CONCATENATE("R1C",'Riesgos de Gestión'!$W$15),"")</f>
        <v/>
      </c>
      <c r="V16" s="29" t="str">
        <f>IF(AND('Riesgos de Gestión'!$AJ$10="Alta",'Riesgos de Gestión'!$AL$10="Moderado"),CONCATENATE("R1C",'Riesgos de Gestión'!$W$10),"")</f>
        <v/>
      </c>
      <c r="W16" s="30" t="str">
        <f>IF(AND('Riesgos de Gestión'!$AJ$11="Alta",'Riesgos de Gestión'!$AL$11="Moderado"),CONCATENATE("R1C",'Riesgos de Gestión'!$W$11),"")</f>
        <v/>
      </c>
      <c r="X16" s="30" t="str">
        <f>IF(AND('Riesgos de Gestión'!$AJ$12="Alta",'Riesgos de Gestión'!$AL$12="Moderado"),CONCATENATE("R1C",'Riesgos de Gestión'!$W$12),"")</f>
        <v/>
      </c>
      <c r="Y16" s="30" t="str">
        <f>IF(AND('Riesgos de Gestión'!$AJ$13="Alta",'Riesgos de Gestión'!$AL$13="Moderado"),CONCATENATE("R1C",'Riesgos de Gestión'!$W$13),"")</f>
        <v/>
      </c>
      <c r="Z16" s="30" t="str">
        <f>IF(AND('Riesgos de Gestión'!$AJ$14="Alta",'Riesgos de Gestión'!$AL$14="Moderado"),CONCATENATE("R1C",'Riesgos de Gestión'!$W$14),"")</f>
        <v/>
      </c>
      <c r="AA16" s="31" t="str">
        <f>IF(AND('Riesgos de Gestión'!$AJ$15="Alta",'Riesgos de Gestión'!$AL$15="Moderado"),CONCATENATE("R1C",'Riesgos de Gestión'!$W$15),"")</f>
        <v/>
      </c>
      <c r="AB16" s="29" t="str">
        <f>IF(AND('Riesgos de Gestión'!$AJ$10="Alta",'Riesgos de Gestión'!$AL$10="Mayor"),CONCATENATE("R1C",'Riesgos de Gestión'!$W$10),"")</f>
        <v/>
      </c>
      <c r="AC16" s="30" t="str">
        <f>IF(AND('Riesgos de Gestión'!$AJ$11="Alta",'Riesgos de Gestión'!$AL$11="Mayor"),CONCATENATE("R1C",'Riesgos de Gestión'!$W$11),"")</f>
        <v/>
      </c>
      <c r="AD16" s="30" t="str">
        <f>IF(AND('Riesgos de Gestión'!$AJ$12="Alta",'Riesgos de Gestión'!$AL$12="Mayor"),CONCATENATE("R1C",'Riesgos de Gestión'!$W$12),"")</f>
        <v/>
      </c>
      <c r="AE16" s="30" t="str">
        <f>IF(AND('Riesgos de Gestión'!$AJ$13="Alta",'Riesgos de Gestión'!$AL$13="Mayor"),CONCATENATE("R1C",'Riesgos de Gestión'!$W$13),"")</f>
        <v/>
      </c>
      <c r="AF16" s="30" t="str">
        <f>IF(AND('Riesgos de Gestión'!$AJ$14="Alta",'Riesgos de Gestión'!$AL$14="Mayor"),CONCATENATE("R1C",'Riesgos de Gestión'!$W$14),"")</f>
        <v/>
      </c>
      <c r="AG16" s="31" t="str">
        <f>IF(AND('Riesgos de Gestión'!$AJ$15="Alta",'Riesgos de Gestión'!$AL$15="Mayor"),CONCATENATE("R1C",'Riesgos de Gestión'!$W$15),"")</f>
        <v/>
      </c>
      <c r="AH16" s="32" t="str">
        <f>IF(AND('Riesgos de Gestión'!$AJ$10="Alta",'Riesgos de Gestión'!$AL$10="Catastrófico"),CONCATENATE("R1C",'Riesgos de Gestión'!$W$10),"")</f>
        <v/>
      </c>
      <c r="AI16" s="33" t="str">
        <f>IF(AND('Riesgos de Gestión'!$AJ$11="Alta",'Riesgos de Gestión'!$AL$11="Catastrófico"),CONCATENATE("R1C",'Riesgos de Gestión'!$W$11),"")</f>
        <v/>
      </c>
      <c r="AJ16" s="33" t="str">
        <f>IF(AND('Riesgos de Gestión'!$AJ$12="Alta",'Riesgos de Gestión'!$AL$12="Catastrófico"),CONCATENATE("R1C",'Riesgos de Gestión'!$W$12),"")</f>
        <v/>
      </c>
      <c r="AK16" s="33" t="str">
        <f>IF(AND('Riesgos de Gestión'!$AJ$13="Alta",'Riesgos de Gestión'!$AL$13="Catastrófico"),CONCATENATE("R1C",'Riesgos de Gestión'!$W$13),"")</f>
        <v/>
      </c>
      <c r="AL16" s="33" t="str">
        <f>IF(AND('Riesgos de Gestión'!$AJ$14="Alta",'Riesgos de Gestión'!$AL$14="Catastrófico"),CONCATENATE("R1C",'Riesgos de Gestión'!$W$14),"")</f>
        <v/>
      </c>
      <c r="AM16" s="34" t="str">
        <f>IF(AND('Riesgos de Gestión'!$AJ$15="Alta",'Riesgos de Gestión'!$AL$15="Catastrófico"),CONCATENATE("R1C",'Riesgos de Gestión'!$W$15),"")</f>
        <v/>
      </c>
      <c r="AN16" s="66"/>
      <c r="AO16" s="582" t="s">
        <v>404</v>
      </c>
      <c r="AP16" s="583"/>
      <c r="AQ16" s="583"/>
      <c r="AR16" s="583"/>
      <c r="AS16" s="583"/>
      <c r="AT16" s="584"/>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row>
    <row r="17" spans="1:76" ht="15" customHeight="1" x14ac:dyDescent="0.25">
      <c r="A17" s="66"/>
      <c r="B17" s="496"/>
      <c r="C17" s="496"/>
      <c r="D17" s="497"/>
      <c r="E17" s="593"/>
      <c r="F17" s="594"/>
      <c r="G17" s="594"/>
      <c r="H17" s="594"/>
      <c r="I17" s="594"/>
      <c r="J17" s="50" t="str">
        <f>IF(AND('Riesgos de Gestión'!$AJ$16="Alta",'Riesgos de Gestión'!$AL$16="Leve"),CONCATENATE("R2C",'Riesgos de Gestión'!$W$16),"")</f>
        <v/>
      </c>
      <c r="K17" s="51" t="str">
        <f>IF(AND('Riesgos de Gestión'!$AJ$17="Alta",'Riesgos de Gestión'!$AL$17="Leve"),CONCATENATE("R2C",'Riesgos de Gestión'!$W$17),"")</f>
        <v/>
      </c>
      <c r="L17" s="51" t="str">
        <f>IF(AND('Riesgos de Gestión'!$AJ$18="Alta",'Riesgos de Gestión'!$AL$18="Leve"),CONCATENATE("R2C",'Riesgos de Gestión'!$W$18),"")</f>
        <v/>
      </c>
      <c r="M17" s="51" t="str">
        <f>IF(AND('Riesgos de Gestión'!$AJ$19="Alta",'Riesgos de Gestión'!$AL$19="Leve"),CONCATENATE("R2C",'Riesgos de Gestión'!$W$19),"")</f>
        <v/>
      </c>
      <c r="N17" s="51" t="str">
        <f>IF(AND('Riesgos de Gestión'!$AJ$20="Alta",'Riesgos de Gestión'!$AL$20="Leve"),CONCATENATE("R2C",'Riesgos de Gestión'!$W$20),"")</f>
        <v/>
      </c>
      <c r="O17" s="52" t="str">
        <f>IF(AND('Riesgos de Gestión'!$AJ$21="Alta",'Riesgos de Gestión'!$AL$21="Leve"),CONCATENATE("R2C",'Riesgos de Gestión'!$W$21),"")</f>
        <v/>
      </c>
      <c r="P17" s="50" t="str">
        <f>IF(AND('Riesgos de Gestión'!$AJ$16="Alta",'Riesgos de Gestión'!$AL$16="Menor"),CONCATENATE("R2C",'Riesgos de Gestión'!$W$16),"")</f>
        <v/>
      </c>
      <c r="Q17" s="51" t="str">
        <f>IF(AND('Riesgos de Gestión'!$AJ$17="Alta",'Riesgos de Gestión'!$AL$17="Menor"),CONCATENATE("R2C",'Riesgos de Gestión'!$W$17),"")</f>
        <v/>
      </c>
      <c r="R17" s="51" t="str">
        <f>IF(AND('Riesgos de Gestión'!$AJ$18="Alta",'Riesgos de Gestión'!$AL$18="Menor"),CONCATENATE("R2C",'Riesgos de Gestión'!$W$18),"")</f>
        <v/>
      </c>
      <c r="S17" s="51" t="str">
        <f>IF(AND('Riesgos de Gestión'!$AJ$19="Alta",'Riesgos de Gestión'!$AL$19="Menor"),CONCATENATE("R2C",'Riesgos de Gestión'!$W$19),"")</f>
        <v/>
      </c>
      <c r="T17" s="51" t="str">
        <f>IF(AND('Riesgos de Gestión'!$AJ$20="Alta",'Riesgos de Gestión'!$AL$20="Menor"),CONCATENATE("R2C",'Riesgos de Gestión'!$W$20),"")</f>
        <v/>
      </c>
      <c r="U17" s="52" t="str">
        <f>IF(AND('Riesgos de Gestión'!$AJ$21="Alta",'Riesgos de Gestión'!$AL$21="Menor"),CONCATENATE("R2C",'Riesgos de Gestión'!$W$21),"")</f>
        <v/>
      </c>
      <c r="V17" s="35" t="str">
        <f>IF(AND('Riesgos de Gestión'!$AJ$16="Alta",'Riesgos de Gestión'!$AL$16="Moderado"),CONCATENATE("R2C",'Riesgos de Gestión'!$W$16),"")</f>
        <v/>
      </c>
      <c r="W17" s="36" t="str">
        <f>IF(AND('Riesgos de Gestión'!$AJ$17="Alta",'Riesgos de Gestión'!$AL$17="Moderado"),CONCATENATE("R2C",'Riesgos de Gestión'!$W$17),"")</f>
        <v/>
      </c>
      <c r="X17" s="36" t="str">
        <f>IF(AND('Riesgos de Gestión'!$AJ$18="Alta",'Riesgos de Gestión'!$AL$18="Moderado"),CONCATENATE("R2C",'Riesgos de Gestión'!$W$18),"")</f>
        <v/>
      </c>
      <c r="Y17" s="36" t="str">
        <f>IF(AND('Riesgos de Gestión'!$AJ$19="Alta",'Riesgos de Gestión'!$AL$19="Moderado"),CONCATENATE("R2C",'Riesgos de Gestión'!$W$19),"")</f>
        <v/>
      </c>
      <c r="Z17" s="36" t="str">
        <f>IF(AND('Riesgos de Gestión'!$AJ$20="Alta",'Riesgos de Gestión'!$AL$20="Moderado"),CONCATENATE("R2C",'Riesgos de Gestión'!$W$20),"")</f>
        <v/>
      </c>
      <c r="AA17" s="37" t="str">
        <f>IF(AND('Riesgos de Gestión'!$AJ$21="Alta",'Riesgos de Gestión'!$AL$21="Moderado"),CONCATENATE("R2C",'Riesgos de Gestión'!$W$21),"")</f>
        <v/>
      </c>
      <c r="AB17" s="35" t="str">
        <f>IF(AND('Riesgos de Gestión'!$AJ$16="Alta",'Riesgos de Gestión'!$AL$16="Mayor"),CONCATENATE("R2C",'Riesgos de Gestión'!$W$16),"")</f>
        <v/>
      </c>
      <c r="AC17" s="36" t="str">
        <f>IF(AND('Riesgos de Gestión'!$AJ$17="Alta",'Riesgos de Gestión'!$AL$17="Mayor"),CONCATENATE("R2C",'Riesgos de Gestión'!$W$17),"")</f>
        <v/>
      </c>
      <c r="AD17" s="36" t="str">
        <f>IF(AND('Riesgos de Gestión'!$AJ$18="Alta",'Riesgos de Gestión'!$AL$18="Mayor"),CONCATENATE("R2C",'Riesgos de Gestión'!$W$18),"")</f>
        <v/>
      </c>
      <c r="AE17" s="36" t="str">
        <f>IF(AND('Riesgos de Gestión'!$AJ$19="Alta",'Riesgos de Gestión'!$AL$19="Mayor"),CONCATENATE("R2C",'Riesgos de Gestión'!$W$19),"")</f>
        <v/>
      </c>
      <c r="AF17" s="36" t="str">
        <f>IF(AND('Riesgos de Gestión'!$AJ$20="Alta",'Riesgos de Gestión'!$AL$20="Mayor"),CONCATENATE("R2C",'Riesgos de Gestión'!$W$20),"")</f>
        <v/>
      </c>
      <c r="AG17" s="37" t="str">
        <f>IF(AND('Riesgos de Gestión'!$AJ$21="Alta",'Riesgos de Gestión'!$AL$21="Mayor"),CONCATENATE("R2C",'Riesgos de Gestión'!$W$21),"")</f>
        <v/>
      </c>
      <c r="AH17" s="38" t="str">
        <f>IF(AND('Riesgos de Gestión'!$AJ$16="Alta",'Riesgos de Gestión'!$AL$16="Catastrófico"),CONCATENATE("R2C",'Riesgos de Gestión'!$W$16),"")</f>
        <v/>
      </c>
      <c r="AI17" s="39" t="str">
        <f>IF(AND('Riesgos de Gestión'!$AJ$17="Alta",'Riesgos de Gestión'!$AL$17="Catastrófico"),CONCATENATE("R2C",'Riesgos de Gestión'!$W$17),"")</f>
        <v/>
      </c>
      <c r="AJ17" s="39" t="str">
        <f>IF(AND('Riesgos de Gestión'!$AJ$18="Alta",'Riesgos de Gestión'!$AL$18="Catastrófico"),CONCATENATE("R2C",'Riesgos de Gestión'!$W$18),"")</f>
        <v/>
      </c>
      <c r="AK17" s="39" t="str">
        <f>IF(AND('Riesgos de Gestión'!$AJ$19="Alta",'Riesgos de Gestión'!$AL$19="Catastrófico"),CONCATENATE("R2C",'Riesgos de Gestión'!$W$19),"")</f>
        <v/>
      </c>
      <c r="AL17" s="39" t="str">
        <f>IF(AND('Riesgos de Gestión'!$AJ$20="Alta",'Riesgos de Gestión'!$AL$20="Catastrófico"),CONCATENATE("R2C",'Riesgos de Gestión'!$W$20),"")</f>
        <v/>
      </c>
      <c r="AM17" s="40" t="str">
        <f>IF(AND('Riesgos de Gestión'!$AJ$21="Alta",'Riesgos de Gestión'!$AL$21="Catastrófico"),CONCATENATE("R2C",'Riesgos de Gestión'!$W$21),"")</f>
        <v/>
      </c>
      <c r="AN17" s="66"/>
      <c r="AO17" s="585"/>
      <c r="AP17" s="586"/>
      <c r="AQ17" s="586"/>
      <c r="AR17" s="586"/>
      <c r="AS17" s="586"/>
      <c r="AT17" s="587"/>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row>
    <row r="18" spans="1:76" ht="15" customHeight="1" x14ac:dyDescent="0.25">
      <c r="A18" s="66"/>
      <c r="B18" s="496"/>
      <c r="C18" s="496"/>
      <c r="D18" s="497"/>
      <c r="E18" s="595"/>
      <c r="F18" s="594"/>
      <c r="G18" s="594"/>
      <c r="H18" s="594"/>
      <c r="I18" s="594"/>
      <c r="J18" s="50" t="str">
        <f>IF(AND('Riesgos de Gestión'!$AJ$22="Alta",'Riesgos de Gestión'!$AL$22="Leve"),CONCATENATE("R3C",'Riesgos de Gestión'!$W$22),"")</f>
        <v/>
      </c>
      <c r="K18" s="51" t="str">
        <f>IF(AND('Riesgos de Gestión'!$AJ$23="Alta",'Riesgos de Gestión'!$AL$23="Leve"),CONCATENATE("R3C",'Riesgos de Gestión'!$W$23),"")</f>
        <v/>
      </c>
      <c r="L18" s="51" t="str">
        <f>IF(AND('Riesgos de Gestión'!$AJ$24="Alta",'Riesgos de Gestión'!$AL$24="Leve"),CONCATENATE("R3C",'Riesgos de Gestión'!$W$24),"")</f>
        <v/>
      </c>
      <c r="M18" s="51" t="str">
        <f>IF(AND('Riesgos de Gestión'!$AJ$25="Alta",'Riesgos de Gestión'!$AL$25="Leve"),CONCATENATE("R3C",'Riesgos de Gestión'!$W$25),"")</f>
        <v/>
      </c>
      <c r="N18" s="51" t="str">
        <f>IF(AND('Riesgos de Gestión'!$AJ$26="Alta",'Riesgos de Gestión'!$AL$26="Leve"),CONCATENATE("R3C",'Riesgos de Gestión'!$W$26),"")</f>
        <v/>
      </c>
      <c r="O18" s="52" t="str">
        <f>IF(AND('Riesgos de Gestión'!$AJ$27="Alta",'Riesgos de Gestión'!$AL$27="Leve"),CONCATENATE("R3C",'Riesgos de Gestión'!$W$27),"")</f>
        <v/>
      </c>
      <c r="P18" s="50" t="str">
        <f>IF(AND('Riesgos de Gestión'!$AJ$22="Alta",'Riesgos de Gestión'!$AL$22="Menor"),CONCATENATE("R3C",'Riesgos de Gestión'!$W$22),"")</f>
        <v/>
      </c>
      <c r="Q18" s="51" t="str">
        <f>IF(AND('Riesgos de Gestión'!$AJ$23="Alta",'Riesgos de Gestión'!$AL$23="Menor"),CONCATENATE("R3C",'Riesgos de Gestión'!$W$23),"")</f>
        <v/>
      </c>
      <c r="R18" s="51" t="str">
        <f>IF(AND('Riesgos de Gestión'!$AJ$24="Alta",'Riesgos de Gestión'!$AL$24="Menor"),CONCATENATE("R3C",'Riesgos de Gestión'!$W$24),"")</f>
        <v/>
      </c>
      <c r="S18" s="51" t="str">
        <f>IF(AND('Riesgos de Gestión'!$AJ$25="Alta",'Riesgos de Gestión'!$AL$25="Menor"),CONCATENATE("R3C",'Riesgos de Gestión'!$W$25),"")</f>
        <v/>
      </c>
      <c r="T18" s="51" t="str">
        <f>IF(AND('Riesgos de Gestión'!$AJ$26="Alta",'Riesgos de Gestión'!$AL$26="Menor"),CONCATENATE("R3C",'Riesgos de Gestión'!$W$26),"")</f>
        <v/>
      </c>
      <c r="U18" s="52" t="str">
        <f>IF(AND('Riesgos de Gestión'!$AJ$27="Alta",'Riesgos de Gestión'!$AL$27="Menor"),CONCATENATE("R3C",'Riesgos de Gestión'!$W$27),"")</f>
        <v/>
      </c>
      <c r="V18" s="35" t="str">
        <f>IF(AND('Riesgos de Gestión'!$AJ$22="Alta",'Riesgos de Gestión'!$AL$22="Moderado"),CONCATENATE("R3C",'Riesgos de Gestión'!$W$22),"")</f>
        <v/>
      </c>
      <c r="W18" s="36" t="str">
        <f>IF(AND('Riesgos de Gestión'!$AJ$23="Alta",'Riesgos de Gestión'!$AL$23="Moderado"),CONCATENATE("R3C",'Riesgos de Gestión'!$W$23),"")</f>
        <v/>
      </c>
      <c r="X18" s="36" t="str">
        <f>IF(AND('Riesgos de Gestión'!$AJ$24="Alta",'Riesgos de Gestión'!$AL$24="Moderado"),CONCATENATE("R3C",'Riesgos de Gestión'!$W$24),"")</f>
        <v/>
      </c>
      <c r="Y18" s="36" t="str">
        <f>IF(AND('Riesgos de Gestión'!$AJ$25="Alta",'Riesgos de Gestión'!$AL$25="Moderado"),CONCATENATE("R3C",'Riesgos de Gestión'!$W$25),"")</f>
        <v/>
      </c>
      <c r="Z18" s="36" t="str">
        <f>IF(AND('Riesgos de Gestión'!$AJ$26="Alta",'Riesgos de Gestión'!$AL$26="Moderado"),CONCATENATE("R3C",'Riesgos de Gestión'!$W$26),"")</f>
        <v/>
      </c>
      <c r="AA18" s="37" t="str">
        <f>IF(AND('Riesgos de Gestión'!$AJ$27="Alta",'Riesgos de Gestión'!$AL$27="Moderado"),CONCATENATE("R3C",'Riesgos de Gestión'!$W$27),"")</f>
        <v/>
      </c>
      <c r="AB18" s="35" t="str">
        <f>IF(AND('Riesgos de Gestión'!$AJ$22="Alta",'Riesgos de Gestión'!$AL$22="Mayor"),CONCATENATE("R3C",'Riesgos de Gestión'!$W$22),"")</f>
        <v/>
      </c>
      <c r="AC18" s="36" t="str">
        <f>IF(AND('Riesgos de Gestión'!$AJ$23="Alta",'Riesgos de Gestión'!$AL$23="Mayor"),CONCATENATE("R3C",'Riesgos de Gestión'!$W$23),"")</f>
        <v/>
      </c>
      <c r="AD18" s="36" t="str">
        <f>IF(AND('Riesgos de Gestión'!$AJ$24="Alta",'Riesgos de Gestión'!$AL$24="Mayor"),CONCATENATE("R3C",'Riesgos de Gestión'!$W$24),"")</f>
        <v/>
      </c>
      <c r="AE18" s="36" t="str">
        <f>IF(AND('Riesgos de Gestión'!$AJ$25="Alta",'Riesgos de Gestión'!$AL$25="Mayor"),CONCATENATE("R3C",'Riesgos de Gestión'!$W$25),"")</f>
        <v/>
      </c>
      <c r="AF18" s="36" t="str">
        <f>IF(AND('Riesgos de Gestión'!$AJ$26="Alta",'Riesgos de Gestión'!$AL$26="Mayor"),CONCATENATE("R3C",'Riesgos de Gestión'!$W$26),"")</f>
        <v/>
      </c>
      <c r="AG18" s="37" t="str">
        <f>IF(AND('Riesgos de Gestión'!$AJ$27="Alta",'Riesgos de Gestión'!$AL$27="Mayor"),CONCATENATE("R3C",'Riesgos de Gestión'!$W$27),"")</f>
        <v/>
      </c>
      <c r="AH18" s="38" t="str">
        <f>IF(AND('Riesgos de Gestión'!$AJ$22="Alta",'Riesgos de Gestión'!$AL$22="Catastrófico"),CONCATENATE("R3C",'Riesgos de Gestión'!$W$22),"")</f>
        <v/>
      </c>
      <c r="AI18" s="39" t="str">
        <f>IF(AND('Riesgos de Gestión'!$AJ$23="Alta",'Riesgos de Gestión'!$AL$23="Catastrófico"),CONCATENATE("R3C",'Riesgos de Gestión'!$W$23),"")</f>
        <v/>
      </c>
      <c r="AJ18" s="39" t="str">
        <f>IF(AND('Riesgos de Gestión'!$AJ$24="Alta",'Riesgos de Gestión'!$AL$24="Catastrófico"),CONCATENATE("R3C",'Riesgos de Gestión'!$W$24),"")</f>
        <v/>
      </c>
      <c r="AK18" s="39" t="str">
        <f>IF(AND('Riesgos de Gestión'!$AJ$25="Alta",'Riesgos de Gestión'!$AL$25="Catastrófico"),CONCATENATE("R3C",'Riesgos de Gestión'!$W$25),"")</f>
        <v/>
      </c>
      <c r="AL18" s="39" t="str">
        <f>IF(AND('Riesgos de Gestión'!$AJ$26="Alta",'Riesgos de Gestión'!$AL$26="Catastrófico"),CONCATENATE("R3C",'Riesgos de Gestión'!$W$26),"")</f>
        <v/>
      </c>
      <c r="AM18" s="40" t="str">
        <f>IF(AND('Riesgos de Gestión'!$AJ$27="Alta",'Riesgos de Gestión'!$AL$27="Catastrófico"),CONCATENATE("R3C",'Riesgos de Gestión'!$W$27),"")</f>
        <v/>
      </c>
      <c r="AN18" s="66"/>
      <c r="AO18" s="585"/>
      <c r="AP18" s="586"/>
      <c r="AQ18" s="586"/>
      <c r="AR18" s="586"/>
      <c r="AS18" s="586"/>
      <c r="AT18" s="587"/>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row>
    <row r="19" spans="1:76" ht="15" customHeight="1" x14ac:dyDescent="0.25">
      <c r="A19" s="66"/>
      <c r="B19" s="496"/>
      <c r="C19" s="496"/>
      <c r="D19" s="497"/>
      <c r="E19" s="595"/>
      <c r="F19" s="594"/>
      <c r="G19" s="594"/>
      <c r="H19" s="594"/>
      <c r="I19" s="594"/>
      <c r="J19" s="50" t="str">
        <f>IF(AND('Riesgos de Gestión'!$AJ$28="Alta",'Riesgos de Gestión'!$AL$28="Leve"),CONCATENATE("R4C",'Riesgos de Gestión'!$W$28),"")</f>
        <v/>
      </c>
      <c r="K19" s="51" t="str">
        <f>IF(AND('Riesgos de Gestión'!$AJ$29="Alta",'Riesgos de Gestión'!$AL$29="Leve"),CONCATENATE("R4C",'Riesgos de Gestión'!$W$29),"")</f>
        <v/>
      </c>
      <c r="L19" s="51" t="str">
        <f>IF(AND('Riesgos de Gestión'!$AJ$30="Alta",'Riesgos de Gestión'!$AL$30="Leve"),CONCATENATE("R4C",'Riesgos de Gestión'!$W$30),"")</f>
        <v/>
      </c>
      <c r="M19" s="51" t="str">
        <f>IF(AND('Riesgos de Gestión'!$AJ$31="Alta",'Riesgos de Gestión'!$AL$31="Leve"),CONCATENATE("R4C",'Riesgos de Gestión'!$W$31),"")</f>
        <v/>
      </c>
      <c r="N19" s="51" t="str">
        <f>IF(AND('Riesgos de Gestión'!$AJ$32="Alta",'Riesgos de Gestión'!$AL$32="Leve"),CONCATENATE("R4C",'Riesgos de Gestión'!$W$32),"")</f>
        <v/>
      </c>
      <c r="O19" s="52" t="str">
        <f>IF(AND('Riesgos de Gestión'!$AJ$33="Alta",'Riesgos de Gestión'!$AL$33="Leve"),CONCATENATE("R4C",'Riesgos de Gestión'!$W$33),"")</f>
        <v/>
      </c>
      <c r="P19" s="50" t="str">
        <f>IF(AND('Riesgos de Gestión'!$AJ$28="Alta",'Riesgos de Gestión'!$AL$28="Menor"),CONCATENATE("R4C",'Riesgos de Gestión'!$W$28),"")</f>
        <v/>
      </c>
      <c r="Q19" s="51" t="str">
        <f>IF(AND('Riesgos de Gestión'!$AJ$29="Alta",'Riesgos de Gestión'!$AL$29="Menor"),CONCATENATE("R4C",'Riesgos de Gestión'!$W$29),"")</f>
        <v/>
      </c>
      <c r="R19" s="51" t="str">
        <f>IF(AND('Riesgos de Gestión'!$AJ$30="Alta",'Riesgos de Gestión'!$AL$30="Menor"),CONCATENATE("R4C",'Riesgos de Gestión'!$W$30),"")</f>
        <v/>
      </c>
      <c r="S19" s="51" t="str">
        <f>IF(AND('Riesgos de Gestión'!$AJ$31="Alta",'Riesgos de Gestión'!$AL$31="Menor"),CONCATENATE("R4C",'Riesgos de Gestión'!$W$31),"")</f>
        <v/>
      </c>
      <c r="T19" s="51" t="str">
        <f>IF(AND('Riesgos de Gestión'!$AJ$32="Alta",'Riesgos de Gestión'!$AL$32="Menor"),CONCATENATE("R4C",'Riesgos de Gestión'!$W$32),"")</f>
        <v/>
      </c>
      <c r="U19" s="52" t="str">
        <f>IF(AND('Riesgos de Gestión'!$AJ$33="Alta",'Riesgos de Gestión'!$AL$33="Menor"),CONCATENATE("R4C",'Riesgos de Gestión'!$W$33),"")</f>
        <v/>
      </c>
      <c r="V19" s="35" t="str">
        <f>IF(AND('Riesgos de Gestión'!$AJ$28="Alta",'Riesgos de Gestión'!$AL$28="Moderado"),CONCATENATE("R4C",'Riesgos de Gestión'!$W$28),"")</f>
        <v/>
      </c>
      <c r="W19" s="36" t="str">
        <f>IF(AND('Riesgos de Gestión'!$AJ$29="Alta",'Riesgos de Gestión'!$AL$29="Moderado"),CONCATENATE("R4C",'Riesgos de Gestión'!$W$29),"")</f>
        <v/>
      </c>
      <c r="X19" s="36" t="str">
        <f>IF(AND('Riesgos de Gestión'!$AJ$30="Alta",'Riesgos de Gestión'!$AL$30="Moderado"),CONCATENATE("R4C",'Riesgos de Gestión'!$W$30),"")</f>
        <v/>
      </c>
      <c r="Y19" s="36" t="str">
        <f>IF(AND('Riesgos de Gestión'!$AJ$31="Alta",'Riesgos de Gestión'!$AL$31="Moderado"),CONCATENATE("R4C",'Riesgos de Gestión'!$W$31),"")</f>
        <v/>
      </c>
      <c r="Z19" s="36" t="str">
        <f>IF(AND('Riesgos de Gestión'!$AJ$32="Alta",'Riesgos de Gestión'!$AL$32="Moderado"),CONCATENATE("R4C",'Riesgos de Gestión'!$W$32),"")</f>
        <v/>
      </c>
      <c r="AA19" s="37" t="str">
        <f>IF(AND('Riesgos de Gestión'!$AJ$33="Alta",'Riesgos de Gestión'!$AL$33="Moderado"),CONCATENATE("R4C",'Riesgos de Gestión'!$W$33),"")</f>
        <v/>
      </c>
      <c r="AB19" s="35" t="str">
        <f>IF(AND('Riesgos de Gestión'!$AJ$28="Alta",'Riesgos de Gestión'!$AL$28="Mayor"),CONCATENATE("R4C",'Riesgos de Gestión'!$W$28),"")</f>
        <v/>
      </c>
      <c r="AC19" s="36" t="str">
        <f>IF(AND('Riesgos de Gestión'!$AJ$29="Alta",'Riesgos de Gestión'!$AL$29="Mayor"),CONCATENATE("R4C",'Riesgos de Gestión'!$W$29),"")</f>
        <v/>
      </c>
      <c r="AD19" s="36" t="str">
        <f>IF(AND('Riesgos de Gestión'!$AJ$30="Alta",'Riesgos de Gestión'!$AL$30="Mayor"),CONCATENATE("R4C",'Riesgos de Gestión'!$W$30),"")</f>
        <v/>
      </c>
      <c r="AE19" s="36" t="str">
        <f>IF(AND('Riesgos de Gestión'!$AJ$31="Alta",'Riesgos de Gestión'!$AL$31="Mayor"),CONCATENATE("R4C",'Riesgos de Gestión'!$W$31),"")</f>
        <v/>
      </c>
      <c r="AF19" s="36" t="str">
        <f>IF(AND('Riesgos de Gestión'!$AJ$32="Alta",'Riesgos de Gestión'!$AL$32="Mayor"),CONCATENATE("R4C",'Riesgos de Gestión'!$W$32),"")</f>
        <v/>
      </c>
      <c r="AG19" s="37" t="str">
        <f>IF(AND('Riesgos de Gestión'!$AJ$33="Alta",'Riesgos de Gestión'!$AL$33="Mayor"),CONCATENATE("R4C",'Riesgos de Gestión'!$W$33),"")</f>
        <v/>
      </c>
      <c r="AH19" s="38" t="str">
        <f>IF(AND('Riesgos de Gestión'!$AJ$28="Alta",'Riesgos de Gestión'!$AL$28="Catastrófico"),CONCATENATE("R4C",'Riesgos de Gestión'!$W$28),"")</f>
        <v/>
      </c>
      <c r="AI19" s="39" t="str">
        <f>IF(AND('Riesgos de Gestión'!$AJ$29="Alta",'Riesgos de Gestión'!$AL$29="Catastrófico"),CONCATENATE("R4C",'Riesgos de Gestión'!$W$29),"")</f>
        <v/>
      </c>
      <c r="AJ19" s="39" t="str">
        <f>IF(AND('Riesgos de Gestión'!$AJ$30="Alta",'Riesgos de Gestión'!$AL$30="Catastrófico"),CONCATENATE("R4C",'Riesgos de Gestión'!$W$30),"")</f>
        <v/>
      </c>
      <c r="AK19" s="39" t="str">
        <f>IF(AND('Riesgos de Gestión'!$AJ$31="Alta",'Riesgos de Gestión'!$AL$31="Catastrófico"),CONCATENATE("R4C",'Riesgos de Gestión'!$W$31),"")</f>
        <v/>
      </c>
      <c r="AL19" s="39" t="str">
        <f>IF(AND('Riesgos de Gestión'!$AJ$32="Alta",'Riesgos de Gestión'!$AL$32="Catastrófico"),CONCATENATE("R4C",'Riesgos de Gestión'!$W$32),"")</f>
        <v/>
      </c>
      <c r="AM19" s="40" t="str">
        <f>IF(AND('Riesgos de Gestión'!$AJ$33="Alta",'Riesgos de Gestión'!$AL$33="Catastrófico"),CONCATENATE("R4C",'Riesgos de Gestión'!$W$33),"")</f>
        <v/>
      </c>
      <c r="AN19" s="66"/>
      <c r="AO19" s="585"/>
      <c r="AP19" s="586"/>
      <c r="AQ19" s="586"/>
      <c r="AR19" s="586"/>
      <c r="AS19" s="586"/>
      <c r="AT19" s="587"/>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row>
    <row r="20" spans="1:76" ht="15" customHeight="1" x14ac:dyDescent="0.25">
      <c r="A20" s="66"/>
      <c r="B20" s="496"/>
      <c r="C20" s="496"/>
      <c r="D20" s="497"/>
      <c r="E20" s="595"/>
      <c r="F20" s="594"/>
      <c r="G20" s="594"/>
      <c r="H20" s="594"/>
      <c r="I20" s="594"/>
      <c r="J20" s="50" t="str">
        <f>IF(AND('Riesgos de Gestión'!$AJ$34="Alta",'Riesgos de Gestión'!$AL$34="Leve"),CONCATENATE("R5C",'Riesgos de Gestión'!$W$34),"")</f>
        <v/>
      </c>
      <c r="K20" s="51" t="str">
        <f>IF(AND('Riesgos de Gestión'!$AJ$35="Alta",'Riesgos de Gestión'!$AL$35="Leve"),CONCATENATE("R5C",'Riesgos de Gestión'!$W$35),"")</f>
        <v/>
      </c>
      <c r="L20" s="51" t="str">
        <f>IF(AND('Riesgos de Gestión'!$AJ$36="Alta",'Riesgos de Gestión'!$AL$36="Leve"),CONCATENATE("R5C",'Riesgos de Gestión'!$W$36),"")</f>
        <v/>
      </c>
      <c r="M20" s="51" t="str">
        <f>IF(AND('Riesgos de Gestión'!$AJ$37="Alta",'Riesgos de Gestión'!$AL$37="Leve"),CONCATENATE("R5C",'Riesgos de Gestión'!$W$37),"")</f>
        <v/>
      </c>
      <c r="N20" s="51" t="str">
        <f>IF(AND('Riesgos de Gestión'!$AJ$38="Alta",'Riesgos de Gestión'!$AL$38="Leve"),CONCATENATE("R5C",'Riesgos de Gestión'!$W$38),"")</f>
        <v/>
      </c>
      <c r="O20" s="52" t="str">
        <f>IF(AND('Riesgos de Gestión'!$AJ$39="Alta",'Riesgos de Gestión'!$AL$39="Leve"),CONCATENATE("R5C",'Riesgos de Gestión'!$W$39),"")</f>
        <v/>
      </c>
      <c r="P20" s="50" t="str">
        <f>IF(AND('Riesgos de Gestión'!$AJ$34="Alta",'Riesgos de Gestión'!$AL$34="Menor"),CONCATENATE("R5C",'Riesgos de Gestión'!$W$34),"")</f>
        <v/>
      </c>
      <c r="Q20" s="51" t="str">
        <f>IF(AND('Riesgos de Gestión'!$AJ$35="Alta",'Riesgos de Gestión'!$AL$35="Menor"),CONCATENATE("R5C",'Riesgos de Gestión'!$W$35),"")</f>
        <v/>
      </c>
      <c r="R20" s="51" t="str">
        <f>IF(AND('Riesgos de Gestión'!$AJ$36="Alta",'Riesgos de Gestión'!$AL$36="Menor"),CONCATENATE("R5C",'Riesgos de Gestión'!$W$36),"")</f>
        <v/>
      </c>
      <c r="S20" s="51" t="str">
        <f>IF(AND('Riesgos de Gestión'!$AJ$37="Alta",'Riesgos de Gestión'!$AL$37="Menor"),CONCATENATE("R5C",'Riesgos de Gestión'!$W$37),"")</f>
        <v/>
      </c>
      <c r="T20" s="51" t="str">
        <f>IF(AND('Riesgos de Gestión'!$AJ$38="Alta",'Riesgos de Gestión'!$AL$38="Menor"),CONCATENATE("R5C",'Riesgos de Gestión'!$W$38),"")</f>
        <v/>
      </c>
      <c r="U20" s="52" t="str">
        <f>IF(AND('Riesgos de Gestión'!$AJ$39="Alta",'Riesgos de Gestión'!$AL$39="Menor"),CONCATENATE("R5C",'Riesgos de Gestión'!$W$39),"")</f>
        <v/>
      </c>
      <c r="V20" s="35" t="str">
        <f>IF(AND('Riesgos de Gestión'!$AJ$34="Alta",'Riesgos de Gestión'!$AL$34="Moderado"),CONCATENATE("R5C",'Riesgos de Gestión'!$W$34),"")</f>
        <v/>
      </c>
      <c r="W20" s="36" t="str">
        <f>IF(AND('Riesgos de Gestión'!$AJ$35="Alta",'Riesgos de Gestión'!$AL$35="Moderado"),CONCATENATE("R5C",'Riesgos de Gestión'!$W$35),"")</f>
        <v/>
      </c>
      <c r="X20" s="36" t="str">
        <f>IF(AND('Riesgos de Gestión'!$AJ$36="Alta",'Riesgos de Gestión'!$AL$36="Moderado"),CONCATENATE("R5C",'Riesgos de Gestión'!$W$36),"")</f>
        <v/>
      </c>
      <c r="Y20" s="36" t="str">
        <f>IF(AND('Riesgos de Gestión'!$AJ$37="Alta",'Riesgos de Gestión'!$AL$37="Moderado"),CONCATENATE("R5C",'Riesgos de Gestión'!$W$37),"")</f>
        <v/>
      </c>
      <c r="Z20" s="36" t="str">
        <f>IF(AND('Riesgos de Gestión'!$AJ$38="Alta",'Riesgos de Gestión'!$AL$38="Moderado"),CONCATENATE("R5C",'Riesgos de Gestión'!$W$38),"")</f>
        <v/>
      </c>
      <c r="AA20" s="37" t="str">
        <f>IF(AND('Riesgos de Gestión'!$AJ$39="Alta",'Riesgos de Gestión'!$AL$39="Moderado"),CONCATENATE("R5C",'Riesgos de Gestión'!$W$39),"")</f>
        <v/>
      </c>
      <c r="AB20" s="35" t="str">
        <f>IF(AND('Riesgos de Gestión'!$AJ$34="Alta",'Riesgos de Gestión'!$AL$34="Mayor"),CONCATENATE("R5C",'Riesgos de Gestión'!$W$34),"")</f>
        <v/>
      </c>
      <c r="AC20" s="36" t="str">
        <f>IF(AND('Riesgos de Gestión'!$AJ$35="Alta",'Riesgos de Gestión'!$AL$35="Mayor"),CONCATENATE("R5C",'Riesgos de Gestión'!$W$35),"")</f>
        <v/>
      </c>
      <c r="AD20" s="36" t="str">
        <f>IF(AND('Riesgos de Gestión'!$AJ$36="Alta",'Riesgos de Gestión'!$AL$36="Mayor"),CONCATENATE("R5C",'Riesgos de Gestión'!$W$36),"")</f>
        <v/>
      </c>
      <c r="AE20" s="36" t="str">
        <f>IF(AND('Riesgos de Gestión'!$AJ$37="Alta",'Riesgos de Gestión'!$AL$37="Mayor"),CONCATENATE("R5C",'Riesgos de Gestión'!$W$37),"")</f>
        <v/>
      </c>
      <c r="AF20" s="36" t="str">
        <f>IF(AND('Riesgos de Gestión'!$AJ$38="Alta",'Riesgos de Gestión'!$AL$38="Mayor"),CONCATENATE("R5C",'Riesgos de Gestión'!$W$38),"")</f>
        <v/>
      </c>
      <c r="AG20" s="37" t="str">
        <f>IF(AND('Riesgos de Gestión'!$AJ$39="Alta",'Riesgos de Gestión'!$AL$39="Mayor"),CONCATENATE("R5C",'Riesgos de Gestión'!$W$39),"")</f>
        <v/>
      </c>
      <c r="AH20" s="38" t="str">
        <f>IF(AND('Riesgos de Gestión'!$AJ$34="Alta",'Riesgos de Gestión'!$AL$34="Catastrófico"),CONCATENATE("R5C",'Riesgos de Gestión'!$W$34),"")</f>
        <v/>
      </c>
      <c r="AI20" s="39" t="str">
        <f>IF(AND('Riesgos de Gestión'!$AJ$35="Alta",'Riesgos de Gestión'!$AL$35="Catastrófico"),CONCATENATE("R5C",'Riesgos de Gestión'!$W$35),"")</f>
        <v/>
      </c>
      <c r="AJ20" s="39" t="str">
        <f>IF(AND('Riesgos de Gestión'!$AJ$36="Alta",'Riesgos de Gestión'!$AL$36="Catastrófico"),CONCATENATE("R5C",'Riesgos de Gestión'!$W$36),"")</f>
        <v/>
      </c>
      <c r="AK20" s="39" t="str">
        <f>IF(AND('Riesgos de Gestión'!$AJ$37="Alta",'Riesgos de Gestión'!$AL$37="Catastrófico"),CONCATENATE("R5C",'Riesgos de Gestión'!$W$37),"")</f>
        <v/>
      </c>
      <c r="AL20" s="39" t="str">
        <f>IF(AND('Riesgos de Gestión'!$AJ$38="Alta",'Riesgos de Gestión'!$AL$38="Catastrófico"),CONCATENATE("R5C",'Riesgos de Gestión'!$W$38),"")</f>
        <v/>
      </c>
      <c r="AM20" s="40" t="str">
        <f>IF(AND('Riesgos de Gestión'!$AJ$39="Alta",'Riesgos de Gestión'!$AL$39="Catastrófico"),CONCATENATE("R5C",'Riesgos de Gestión'!$W$39),"")</f>
        <v/>
      </c>
      <c r="AN20" s="66"/>
      <c r="AO20" s="585"/>
      <c r="AP20" s="586"/>
      <c r="AQ20" s="586"/>
      <c r="AR20" s="586"/>
      <c r="AS20" s="586"/>
      <c r="AT20" s="587"/>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row>
    <row r="21" spans="1:76" ht="15" customHeight="1" x14ac:dyDescent="0.25">
      <c r="A21" s="66"/>
      <c r="B21" s="496"/>
      <c r="C21" s="496"/>
      <c r="D21" s="497"/>
      <c r="E21" s="595"/>
      <c r="F21" s="594"/>
      <c r="G21" s="594"/>
      <c r="H21" s="594"/>
      <c r="I21" s="594"/>
      <c r="J21" s="50" t="str">
        <f>IF(AND('Riesgos de Gestión'!$AJ$40="Alta",'Riesgos de Gestión'!$AL$40="Leve"),CONCATENATE("R6C",'Riesgos de Gestión'!$W$40),"")</f>
        <v/>
      </c>
      <c r="K21" s="51" t="str">
        <f>IF(AND('Riesgos de Gestión'!$AJ$41="Alta",'Riesgos de Gestión'!$AL$41="Leve"),CONCATENATE("R6C",'Riesgos de Gestión'!$W$41),"")</f>
        <v/>
      </c>
      <c r="L21" s="51" t="str">
        <f>IF(AND('Riesgos de Gestión'!$AJ$42="Alta",'Riesgos de Gestión'!$AL$42="Leve"),CONCATENATE("R6C",'Riesgos de Gestión'!$W$42),"")</f>
        <v/>
      </c>
      <c r="M21" s="51" t="str">
        <f>IF(AND('Riesgos de Gestión'!$AJ$43="Alta",'Riesgos de Gestión'!$AL$43="Leve"),CONCATENATE("R6C",'Riesgos de Gestión'!$W$43),"")</f>
        <v/>
      </c>
      <c r="N21" s="51" t="str">
        <f>IF(AND('Riesgos de Gestión'!$AJ$44="Alta",'Riesgos de Gestión'!$AL$44="Leve"),CONCATENATE("R6C",'Riesgos de Gestión'!$W$44),"")</f>
        <v/>
      </c>
      <c r="O21" s="52" t="str">
        <f>IF(AND('Riesgos de Gestión'!$AJ$45="Alta",'Riesgos de Gestión'!$AL$45="Leve"),CONCATENATE("R6C",'Riesgos de Gestión'!$W$45),"")</f>
        <v/>
      </c>
      <c r="P21" s="50" t="str">
        <f>IF(AND('Riesgos de Gestión'!$AJ$40="Alta",'Riesgos de Gestión'!$AL$40="Menor"),CONCATENATE("R6C",'Riesgos de Gestión'!$W$40),"")</f>
        <v/>
      </c>
      <c r="Q21" s="51" t="str">
        <f>IF(AND('Riesgos de Gestión'!$AJ$41="Alta",'Riesgos de Gestión'!$AL$41="Menor"),CONCATENATE("R6C",'Riesgos de Gestión'!$W$41),"")</f>
        <v/>
      </c>
      <c r="R21" s="51" t="str">
        <f>IF(AND('Riesgos de Gestión'!$AJ$42="Alta",'Riesgos de Gestión'!$AL$42="Menor"),CONCATENATE("R6C",'Riesgos de Gestión'!$W$42),"")</f>
        <v/>
      </c>
      <c r="S21" s="51" t="str">
        <f>IF(AND('Riesgos de Gestión'!$AJ$43="Alta",'Riesgos de Gestión'!$AL$43="Menor"),CONCATENATE("R6C",'Riesgos de Gestión'!$W$43),"")</f>
        <v/>
      </c>
      <c r="T21" s="51" t="str">
        <f>IF(AND('Riesgos de Gestión'!$AJ$44="Alta",'Riesgos de Gestión'!$AL$44="Menor"),CONCATENATE("R6C",'Riesgos de Gestión'!$W$44),"")</f>
        <v/>
      </c>
      <c r="U21" s="52" t="str">
        <f>IF(AND('Riesgos de Gestión'!$AJ$45="Alta",'Riesgos de Gestión'!$AL$45="Menor"),CONCATENATE("R6C",'Riesgos de Gestión'!$W$45),"")</f>
        <v/>
      </c>
      <c r="V21" s="35" t="str">
        <f>IF(AND('Riesgos de Gestión'!$AJ$40="Alta",'Riesgos de Gestión'!$AL$40="Moderado"),CONCATENATE("R6C",'Riesgos de Gestión'!$W$40),"")</f>
        <v/>
      </c>
      <c r="W21" s="36" t="str">
        <f>IF(AND('Riesgos de Gestión'!$AJ$41="Alta",'Riesgos de Gestión'!$AL$41="Moderado"),CONCATENATE("R6C",'Riesgos de Gestión'!$W$41),"")</f>
        <v/>
      </c>
      <c r="X21" s="36" t="str">
        <f>IF(AND('Riesgos de Gestión'!$AJ$42="Alta",'Riesgos de Gestión'!$AL$42="Moderado"),CONCATENATE("R6C",'Riesgos de Gestión'!$W$42),"")</f>
        <v/>
      </c>
      <c r="Y21" s="36" t="str">
        <f>IF(AND('Riesgos de Gestión'!$AJ$43="Alta",'Riesgos de Gestión'!$AL$43="Moderado"),CONCATENATE("R6C",'Riesgos de Gestión'!$W$43),"")</f>
        <v/>
      </c>
      <c r="Z21" s="36" t="str">
        <f>IF(AND('Riesgos de Gestión'!$AJ$44="Alta",'Riesgos de Gestión'!$AL$44="Moderado"),CONCATENATE("R6C",'Riesgos de Gestión'!$W$44),"")</f>
        <v/>
      </c>
      <c r="AA21" s="37" t="str">
        <f>IF(AND('Riesgos de Gestión'!$AJ$45="Alta",'Riesgos de Gestión'!$AL$45="Moderado"),CONCATENATE("R6C",'Riesgos de Gestión'!$W$45),"")</f>
        <v/>
      </c>
      <c r="AB21" s="35" t="str">
        <f>IF(AND('Riesgos de Gestión'!$AJ$40="Alta",'Riesgos de Gestión'!$AL$40="Mayor"),CONCATENATE("R6C",'Riesgos de Gestión'!$W$40),"")</f>
        <v/>
      </c>
      <c r="AC21" s="36" t="str">
        <f>IF(AND('Riesgos de Gestión'!$AJ$41="Alta",'Riesgos de Gestión'!$AL$41="Mayor"),CONCATENATE("R6C",'Riesgos de Gestión'!$W$41),"")</f>
        <v/>
      </c>
      <c r="AD21" s="36" t="str">
        <f>IF(AND('Riesgos de Gestión'!$AJ$42="Alta",'Riesgos de Gestión'!$AL$42="Mayor"),CONCATENATE("R6C",'Riesgos de Gestión'!$W$42),"")</f>
        <v/>
      </c>
      <c r="AE21" s="36" t="str">
        <f>IF(AND('Riesgos de Gestión'!$AJ$43="Alta",'Riesgos de Gestión'!$AL$43="Mayor"),CONCATENATE("R6C",'Riesgos de Gestión'!$W$43),"")</f>
        <v/>
      </c>
      <c r="AF21" s="36" t="str">
        <f>IF(AND('Riesgos de Gestión'!$AJ$44="Alta",'Riesgos de Gestión'!$AL$44="Mayor"),CONCATENATE("R6C",'Riesgos de Gestión'!$W$44),"")</f>
        <v/>
      </c>
      <c r="AG21" s="37" t="str">
        <f>IF(AND('Riesgos de Gestión'!$AJ$45="Alta",'Riesgos de Gestión'!$AL$45="Mayor"),CONCATENATE("R6C",'Riesgos de Gestión'!$W$45),"")</f>
        <v/>
      </c>
      <c r="AH21" s="38" t="str">
        <f>IF(AND('Riesgos de Gestión'!$AJ$40="Alta",'Riesgos de Gestión'!$AL$40="Catastrófico"),CONCATENATE("R6C",'Riesgos de Gestión'!$W$40),"")</f>
        <v/>
      </c>
      <c r="AI21" s="39" t="str">
        <f>IF(AND('Riesgos de Gestión'!$AJ$41="Alta",'Riesgos de Gestión'!$AL$41="Catastrófico"),CONCATENATE("R6C",'Riesgos de Gestión'!$W$41),"")</f>
        <v/>
      </c>
      <c r="AJ21" s="39" t="str">
        <f>IF(AND('Riesgos de Gestión'!$AJ$42="Alta",'Riesgos de Gestión'!$AL$42="Catastrófico"),CONCATENATE("R6C",'Riesgos de Gestión'!$W$42),"")</f>
        <v/>
      </c>
      <c r="AK21" s="39" t="str">
        <f>IF(AND('Riesgos de Gestión'!$AJ$43="Alta",'Riesgos de Gestión'!$AL$43="Catastrófico"),CONCATENATE("R6C",'Riesgos de Gestión'!$W$43),"")</f>
        <v/>
      </c>
      <c r="AL21" s="39" t="str">
        <f>IF(AND('Riesgos de Gestión'!$AJ$44="Alta",'Riesgos de Gestión'!$AL$44="Catastrófico"),CONCATENATE("R6C",'Riesgos de Gestión'!$W$44),"")</f>
        <v/>
      </c>
      <c r="AM21" s="40" t="str">
        <f>IF(AND('Riesgos de Gestión'!$AJ$45="Alta",'Riesgos de Gestión'!$AL$45="Catastrófico"),CONCATENATE("R6C",'Riesgos de Gestión'!$W$45),"")</f>
        <v/>
      </c>
      <c r="AN21" s="66"/>
      <c r="AO21" s="585"/>
      <c r="AP21" s="586"/>
      <c r="AQ21" s="586"/>
      <c r="AR21" s="586"/>
      <c r="AS21" s="586"/>
      <c r="AT21" s="587"/>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row>
    <row r="22" spans="1:76" ht="15" customHeight="1" x14ac:dyDescent="0.25">
      <c r="A22" s="66"/>
      <c r="B22" s="496"/>
      <c r="C22" s="496"/>
      <c r="D22" s="497"/>
      <c r="E22" s="595"/>
      <c r="F22" s="594"/>
      <c r="G22" s="594"/>
      <c r="H22" s="594"/>
      <c r="I22" s="594"/>
      <c r="J22" s="50" t="str">
        <f>IF(AND('Riesgos de Gestión'!$AJ$46="Alta",'Riesgos de Gestión'!$AL$46="Leve"),CONCATENATE("R7C",'Riesgos de Gestión'!$W$46),"")</f>
        <v/>
      </c>
      <c r="K22" s="51" t="str">
        <f>IF(AND('Riesgos de Gestión'!$AJ$47="Alta",'Riesgos de Gestión'!$AL$47="Leve"),CONCATENATE("R7C",'Riesgos de Gestión'!$W$47),"")</f>
        <v/>
      </c>
      <c r="L22" s="51" t="str">
        <f>IF(AND('Riesgos de Gestión'!$AJ$48="Alta",'Riesgos de Gestión'!$AL$48="Leve"),CONCATENATE("R7C",'Riesgos de Gestión'!$W$48),"")</f>
        <v/>
      </c>
      <c r="M22" s="51" t="str">
        <f>IF(AND('Riesgos de Gestión'!$AJ$49="Alta",'Riesgos de Gestión'!$AL$49="Leve"),CONCATENATE("R7C",'Riesgos de Gestión'!$W$49),"")</f>
        <v/>
      </c>
      <c r="N22" s="51" t="str">
        <f>IF(AND('Riesgos de Gestión'!$AJ$50="Alta",'Riesgos de Gestión'!$AL$50="Leve"),CONCATENATE("R7C",'Riesgos de Gestión'!$W$50),"")</f>
        <v/>
      </c>
      <c r="O22" s="52" t="str">
        <f>IF(AND('Riesgos de Gestión'!$AJ$51="Alta",'Riesgos de Gestión'!$AL$51="Leve"),CONCATENATE("R7C",'Riesgos de Gestión'!$W$51),"")</f>
        <v/>
      </c>
      <c r="P22" s="50" t="str">
        <f>IF(AND('Riesgos de Gestión'!$AJ$46="Alta",'Riesgos de Gestión'!$AL$46="Menor"),CONCATENATE("R7C",'Riesgos de Gestión'!$W$46),"")</f>
        <v/>
      </c>
      <c r="Q22" s="51" t="str">
        <f>IF(AND('Riesgos de Gestión'!$AJ$47="Alta",'Riesgos de Gestión'!$AL$47="Menor"),CONCATENATE("R7C",'Riesgos de Gestión'!$W$47),"")</f>
        <v/>
      </c>
      <c r="R22" s="51" t="str">
        <f>IF(AND('Riesgos de Gestión'!$AJ$48="Alta",'Riesgos de Gestión'!$AL$48="Menor"),CONCATENATE("R7C",'Riesgos de Gestión'!$W$48),"")</f>
        <v/>
      </c>
      <c r="S22" s="51" t="str">
        <f>IF(AND('Riesgos de Gestión'!$AJ$49="Alta",'Riesgos de Gestión'!$AL$49="Menor"),CONCATENATE("R7C",'Riesgos de Gestión'!$W$49),"")</f>
        <v/>
      </c>
      <c r="T22" s="51" t="str">
        <f>IF(AND('Riesgos de Gestión'!$AJ$50="Alta",'Riesgos de Gestión'!$AL$50="Menor"),CONCATENATE("R7C",'Riesgos de Gestión'!$W$50),"")</f>
        <v/>
      </c>
      <c r="U22" s="52" t="str">
        <f>IF(AND('Riesgos de Gestión'!$AJ$51="Alta",'Riesgos de Gestión'!$AL$51="Menor"),CONCATENATE("R7C",'Riesgos de Gestión'!$W$51),"")</f>
        <v/>
      </c>
      <c r="V22" s="35" t="str">
        <f>IF(AND('Riesgos de Gestión'!$AJ$46="Alta",'Riesgos de Gestión'!$AL$46="Moderado"),CONCATENATE("R7C",'Riesgos de Gestión'!$W$46),"")</f>
        <v/>
      </c>
      <c r="W22" s="36" t="str">
        <f>IF(AND('Riesgos de Gestión'!$AJ$47="Alta",'Riesgos de Gestión'!$AL$47="Moderado"),CONCATENATE("R7C",'Riesgos de Gestión'!$W$47),"")</f>
        <v/>
      </c>
      <c r="X22" s="36" t="str">
        <f>IF(AND('Riesgos de Gestión'!$AJ$48="Alta",'Riesgos de Gestión'!$AL$48="Moderado"),CONCATENATE("R7C",'Riesgos de Gestión'!$W$48),"")</f>
        <v/>
      </c>
      <c r="Y22" s="36" t="str">
        <f>IF(AND('Riesgos de Gestión'!$AJ$49="Alta",'Riesgos de Gestión'!$AL$49="Moderado"),CONCATENATE("R7C",'Riesgos de Gestión'!$W$49),"")</f>
        <v/>
      </c>
      <c r="Z22" s="36" t="str">
        <f>IF(AND('Riesgos de Gestión'!$AJ$50="Alta",'Riesgos de Gestión'!$AL$50="Moderado"),CONCATENATE("R7C",'Riesgos de Gestión'!$W$50),"")</f>
        <v/>
      </c>
      <c r="AA22" s="37" t="str">
        <f>IF(AND('Riesgos de Gestión'!$AJ$51="Alta",'Riesgos de Gestión'!$AL$51="Moderado"),CONCATENATE("R7C",'Riesgos de Gestión'!$W$51),"")</f>
        <v/>
      </c>
      <c r="AB22" s="35" t="str">
        <f>IF(AND('Riesgos de Gestión'!$AJ$46="Alta",'Riesgos de Gestión'!$AL$46="Mayor"),CONCATENATE("R7C",'Riesgos de Gestión'!$W$46),"")</f>
        <v/>
      </c>
      <c r="AC22" s="36" t="str">
        <f>IF(AND('Riesgos de Gestión'!$AJ$47="Alta",'Riesgos de Gestión'!$AL$47="Mayor"),CONCATENATE("R7C",'Riesgos de Gestión'!$W$47),"")</f>
        <v/>
      </c>
      <c r="AD22" s="36" t="str">
        <f>IF(AND('Riesgos de Gestión'!$AJ$48="Alta",'Riesgos de Gestión'!$AL$48="Mayor"),CONCATENATE("R7C",'Riesgos de Gestión'!$W$48),"")</f>
        <v/>
      </c>
      <c r="AE22" s="36" t="str">
        <f>IF(AND('Riesgos de Gestión'!$AJ$49="Alta",'Riesgos de Gestión'!$AL$49="Mayor"),CONCATENATE("R7C",'Riesgos de Gestión'!$W$49),"")</f>
        <v/>
      </c>
      <c r="AF22" s="36" t="str">
        <f>IF(AND('Riesgos de Gestión'!$AJ$50="Alta",'Riesgos de Gestión'!$AL$50="Mayor"),CONCATENATE("R7C",'Riesgos de Gestión'!$W$50),"")</f>
        <v/>
      </c>
      <c r="AG22" s="37" t="str">
        <f>IF(AND('Riesgos de Gestión'!$AJ$51="Alta",'Riesgos de Gestión'!$AL$51="Mayor"),CONCATENATE("R7C",'Riesgos de Gestión'!$W$51),"")</f>
        <v/>
      </c>
      <c r="AH22" s="38" t="str">
        <f>IF(AND('Riesgos de Gestión'!$AJ$46="Alta",'Riesgos de Gestión'!$AL$46="Catastrófico"),CONCATENATE("R7C",'Riesgos de Gestión'!$W$46),"")</f>
        <v/>
      </c>
      <c r="AI22" s="39" t="str">
        <f>IF(AND('Riesgos de Gestión'!$AJ$47="Alta",'Riesgos de Gestión'!$AL$47="Catastrófico"),CONCATENATE("R7C",'Riesgos de Gestión'!$W$47),"")</f>
        <v/>
      </c>
      <c r="AJ22" s="39" t="str">
        <f>IF(AND('Riesgos de Gestión'!$AJ$48="Alta",'Riesgos de Gestión'!$AL$48="Catastrófico"),CONCATENATE("R7C",'Riesgos de Gestión'!$W$48),"")</f>
        <v/>
      </c>
      <c r="AK22" s="39" t="str">
        <f>IF(AND('Riesgos de Gestión'!$AJ$49="Alta",'Riesgos de Gestión'!$AL$49="Catastrófico"),CONCATENATE("R7C",'Riesgos de Gestión'!$W$49),"")</f>
        <v/>
      </c>
      <c r="AL22" s="39" t="str">
        <f>IF(AND('Riesgos de Gestión'!$AJ$50="Alta",'Riesgos de Gestión'!$AL$50="Catastrófico"),CONCATENATE("R7C",'Riesgos de Gestión'!$W$50),"")</f>
        <v/>
      </c>
      <c r="AM22" s="40" t="str">
        <f>IF(AND('Riesgos de Gestión'!$AJ$51="Alta",'Riesgos de Gestión'!$AL$51="Catastrófico"),CONCATENATE("R7C",'Riesgos de Gestión'!$W$51),"")</f>
        <v/>
      </c>
      <c r="AN22" s="66"/>
      <c r="AO22" s="585"/>
      <c r="AP22" s="586"/>
      <c r="AQ22" s="586"/>
      <c r="AR22" s="586"/>
      <c r="AS22" s="586"/>
      <c r="AT22" s="587"/>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row>
    <row r="23" spans="1:76" ht="15" customHeight="1" x14ac:dyDescent="0.25">
      <c r="A23" s="66"/>
      <c r="B23" s="496"/>
      <c r="C23" s="496"/>
      <c r="D23" s="497"/>
      <c r="E23" s="595"/>
      <c r="F23" s="594"/>
      <c r="G23" s="594"/>
      <c r="H23" s="594"/>
      <c r="I23" s="594"/>
      <c r="J23" s="50" t="str">
        <f>IF(AND('Riesgos de Gestión'!$AJ$52="Alta",'Riesgos de Gestión'!$AL$52="Leve"),CONCATENATE("R8C",'Riesgos de Gestión'!$W$52),"")</f>
        <v/>
      </c>
      <c r="K23" s="51" t="str">
        <f>IF(AND('Riesgos de Gestión'!$AJ$53="Alta",'Riesgos de Gestión'!$AL$53="Leve"),CONCATENATE("R8C",'Riesgos de Gestión'!$W$53),"")</f>
        <v/>
      </c>
      <c r="L23" s="51" t="str">
        <f>IF(AND('Riesgos de Gestión'!$AJ$54="Alta",'Riesgos de Gestión'!$AL$54="Leve"),CONCATENATE("R8C",'Riesgos de Gestión'!$W$54),"")</f>
        <v/>
      </c>
      <c r="M23" s="51" t="str">
        <f>IF(AND('Riesgos de Gestión'!$AJ$55="Alta",'Riesgos de Gestión'!$AL$55="Leve"),CONCATENATE("R8C",'Riesgos de Gestión'!$W$55),"")</f>
        <v/>
      </c>
      <c r="N23" s="51" t="str">
        <f>IF(AND('Riesgos de Gestión'!$AJ$56="Alta",'Riesgos de Gestión'!$AL$56="Leve"),CONCATENATE("R8C",'Riesgos de Gestión'!$W$56),"")</f>
        <v/>
      </c>
      <c r="O23" s="52" t="str">
        <f>IF(AND('Riesgos de Gestión'!$AJ$57="Alta",'Riesgos de Gestión'!$AL$57="Leve"),CONCATENATE("R8C",'Riesgos de Gestión'!$W$57),"")</f>
        <v/>
      </c>
      <c r="P23" s="50" t="str">
        <f>IF(AND('Riesgos de Gestión'!$AJ$52="Alta",'Riesgos de Gestión'!$AL$52="Menor"),CONCATENATE("R8C",'Riesgos de Gestión'!$W$52),"")</f>
        <v/>
      </c>
      <c r="Q23" s="51" t="str">
        <f>IF(AND('Riesgos de Gestión'!$AJ$53="Alta",'Riesgos de Gestión'!$AL$53="Menor"),CONCATENATE("R8C",'Riesgos de Gestión'!$W$53),"")</f>
        <v/>
      </c>
      <c r="R23" s="51" t="str">
        <f>IF(AND('Riesgos de Gestión'!$AJ$54="Alta",'Riesgos de Gestión'!$AL$54="Menor"),CONCATENATE("R8C",'Riesgos de Gestión'!$W$54),"")</f>
        <v/>
      </c>
      <c r="S23" s="51" t="str">
        <f>IF(AND('Riesgos de Gestión'!$AJ$55="Alta",'Riesgos de Gestión'!$AL$55="Menor"),CONCATENATE("R8C",'Riesgos de Gestión'!$W$55),"")</f>
        <v/>
      </c>
      <c r="T23" s="51" t="str">
        <f>IF(AND('Riesgos de Gestión'!$AJ$56="Alta",'Riesgos de Gestión'!$AL$56="Menor"),CONCATENATE("R8C",'Riesgos de Gestión'!$W$56),"")</f>
        <v/>
      </c>
      <c r="U23" s="52" t="str">
        <f>IF(AND('Riesgos de Gestión'!$AJ$57="Alta",'Riesgos de Gestión'!$AL$57="Menor"),CONCATENATE("R8C",'Riesgos de Gestión'!$W$57),"")</f>
        <v/>
      </c>
      <c r="V23" s="35" t="str">
        <f>IF(AND('Riesgos de Gestión'!$AJ$52="Alta",'Riesgos de Gestión'!$AL$52="Moderado"),CONCATENATE("R8C",'Riesgos de Gestión'!$W$52),"")</f>
        <v/>
      </c>
      <c r="W23" s="36" t="str">
        <f>IF(AND('Riesgos de Gestión'!$AJ$53="Alta",'Riesgos de Gestión'!$AL$53="Moderado"),CONCATENATE("R8C",'Riesgos de Gestión'!$W$53),"")</f>
        <v/>
      </c>
      <c r="X23" s="36" t="str">
        <f>IF(AND('Riesgos de Gestión'!$AJ$54="Alta",'Riesgos de Gestión'!$AL$54="Moderado"),CONCATENATE("R8C",'Riesgos de Gestión'!$W$54),"")</f>
        <v/>
      </c>
      <c r="Y23" s="36" t="str">
        <f>IF(AND('Riesgos de Gestión'!$AJ$55="Alta",'Riesgos de Gestión'!$AL$55="Moderado"),CONCATENATE("R8C",'Riesgos de Gestión'!$W$55),"")</f>
        <v/>
      </c>
      <c r="Z23" s="36" t="str">
        <f>IF(AND('Riesgos de Gestión'!$AJ$56="Alta",'Riesgos de Gestión'!$AL$56="Moderado"),CONCATENATE("R8C",'Riesgos de Gestión'!$W$56),"")</f>
        <v/>
      </c>
      <c r="AA23" s="37" t="str">
        <f>IF(AND('Riesgos de Gestión'!$AJ$57="Alta",'Riesgos de Gestión'!$AL$57="Moderado"),CONCATENATE("R8C",'Riesgos de Gestión'!$W$57),"")</f>
        <v/>
      </c>
      <c r="AB23" s="35" t="str">
        <f>IF(AND('Riesgos de Gestión'!$AJ$52="Alta",'Riesgos de Gestión'!$AL$52="Mayor"),CONCATENATE("R8C",'Riesgos de Gestión'!$W$52),"")</f>
        <v/>
      </c>
      <c r="AC23" s="36" t="str">
        <f>IF(AND('Riesgos de Gestión'!$AJ$53="Alta",'Riesgos de Gestión'!$AL$53="Mayor"),CONCATENATE("R8C",'Riesgos de Gestión'!$W$53),"")</f>
        <v/>
      </c>
      <c r="AD23" s="36" t="str">
        <f>IF(AND('Riesgos de Gestión'!$AJ$54="Alta",'Riesgos de Gestión'!$AL$54="Mayor"),CONCATENATE("R8C",'Riesgos de Gestión'!$W$54),"")</f>
        <v/>
      </c>
      <c r="AE23" s="36" t="str">
        <f>IF(AND('Riesgos de Gestión'!$AJ$55="Alta",'Riesgos de Gestión'!$AL$55="Mayor"),CONCATENATE("R8C",'Riesgos de Gestión'!$W$55),"")</f>
        <v/>
      </c>
      <c r="AF23" s="36" t="str">
        <f>IF(AND('Riesgos de Gestión'!$AJ$56="Alta",'Riesgos de Gestión'!$AL$56="Mayor"),CONCATENATE("R8C",'Riesgos de Gestión'!$W$56),"")</f>
        <v/>
      </c>
      <c r="AG23" s="37" t="str">
        <f>IF(AND('Riesgos de Gestión'!$AJ$57="Alta",'Riesgos de Gestión'!$AL$57="Mayor"),CONCATENATE("R8C",'Riesgos de Gestión'!$W$57),"")</f>
        <v/>
      </c>
      <c r="AH23" s="38" t="str">
        <f>IF(AND('Riesgos de Gestión'!$AJ$52="Alta",'Riesgos de Gestión'!$AL$52="Catastrófico"),CONCATENATE("R8C",'Riesgos de Gestión'!$W$52),"")</f>
        <v/>
      </c>
      <c r="AI23" s="39" t="str">
        <f>IF(AND('Riesgos de Gestión'!$AJ$53="Alta",'Riesgos de Gestión'!$AL$53="Catastrófico"),CONCATENATE("R8C",'Riesgos de Gestión'!$W$53),"")</f>
        <v/>
      </c>
      <c r="AJ23" s="39" t="str">
        <f>IF(AND('Riesgos de Gestión'!$AJ$54="Alta",'Riesgos de Gestión'!$AL$54="Catastrófico"),CONCATENATE("R8C",'Riesgos de Gestión'!$W$54),"")</f>
        <v/>
      </c>
      <c r="AK23" s="39" t="str">
        <f>IF(AND('Riesgos de Gestión'!$AJ$55="Alta",'Riesgos de Gestión'!$AL$55="Catastrófico"),CONCATENATE("R8C",'Riesgos de Gestión'!$W$55),"")</f>
        <v/>
      </c>
      <c r="AL23" s="39" t="str">
        <f>IF(AND('Riesgos de Gestión'!$AJ$56="Alta",'Riesgos de Gestión'!$AL$56="Catastrófico"),CONCATENATE("R8C",'Riesgos de Gestión'!$W$56),"")</f>
        <v/>
      </c>
      <c r="AM23" s="40" t="str">
        <f>IF(AND('Riesgos de Gestión'!$AJ$57="Alta",'Riesgos de Gestión'!$AL$57="Catastrófico"),CONCATENATE("R8C",'Riesgos de Gestión'!$W$57),"")</f>
        <v/>
      </c>
      <c r="AN23" s="66"/>
      <c r="AO23" s="585"/>
      <c r="AP23" s="586"/>
      <c r="AQ23" s="586"/>
      <c r="AR23" s="586"/>
      <c r="AS23" s="586"/>
      <c r="AT23" s="587"/>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row>
    <row r="24" spans="1:76" ht="15" customHeight="1" x14ac:dyDescent="0.25">
      <c r="A24" s="66"/>
      <c r="B24" s="496"/>
      <c r="C24" s="496"/>
      <c r="D24" s="497"/>
      <c r="E24" s="595"/>
      <c r="F24" s="594"/>
      <c r="G24" s="594"/>
      <c r="H24" s="594"/>
      <c r="I24" s="594"/>
      <c r="J24" s="50" t="str">
        <f>IF(AND('Riesgos de Gestión'!$AJ$58="Alta",'Riesgos de Gestión'!$AL$58="Leve"),CONCATENATE("R9C",'Riesgos de Gestión'!$W$58),"")</f>
        <v/>
      </c>
      <c r="K24" s="51" t="str">
        <f>IF(AND('Riesgos de Gestión'!$AJ$59="Alta",'Riesgos de Gestión'!$AL$59="Leve"),CONCATENATE("R9C",'Riesgos de Gestión'!$W$59),"")</f>
        <v/>
      </c>
      <c r="L24" s="51" t="str">
        <f>IF(AND('Riesgos de Gestión'!$AJ$60="Alta",'Riesgos de Gestión'!$AL$60="Leve"),CONCATENATE("R9C",'Riesgos de Gestión'!$W$60),"")</f>
        <v/>
      </c>
      <c r="M24" s="51" t="str">
        <f>IF(AND('Riesgos de Gestión'!$AJ$61="Alta",'Riesgos de Gestión'!$AL$61="Leve"),CONCATENATE("R9C",'Riesgos de Gestión'!$W$61),"")</f>
        <v/>
      </c>
      <c r="N24" s="51" t="str">
        <f>IF(AND('Riesgos de Gestión'!$AJ$62="Alta",'Riesgos de Gestión'!$AL$62="Leve"),CONCATENATE("R9C",'Riesgos de Gestión'!$W$62),"")</f>
        <v/>
      </c>
      <c r="O24" s="52" t="str">
        <f>IF(AND('Riesgos de Gestión'!$AJ$65="Alta",'Riesgos de Gestión'!$AL$65="Leve"),CONCATENATE("R9C",'Riesgos de Gestión'!$W$65),"")</f>
        <v/>
      </c>
      <c r="P24" s="50" t="str">
        <f>IF(AND('Riesgos de Gestión'!$AJ$58="Alta",'Riesgos de Gestión'!$AL$58="Menor"),CONCATENATE("R9C",'Riesgos de Gestión'!$W$58),"")</f>
        <v/>
      </c>
      <c r="Q24" s="51" t="str">
        <f>IF(AND('Riesgos de Gestión'!$AJ$59="Alta",'Riesgos de Gestión'!$AL$59="Menor"),CONCATENATE("R9C",'Riesgos de Gestión'!$W$59),"")</f>
        <v/>
      </c>
      <c r="R24" s="51" t="str">
        <f>IF(AND('Riesgos de Gestión'!$AJ$60="Alta",'Riesgos de Gestión'!$AL$60="Menor"),CONCATENATE("R9C",'Riesgos de Gestión'!$W$60),"")</f>
        <v/>
      </c>
      <c r="S24" s="51" t="str">
        <f>IF(AND('Riesgos de Gestión'!$AJ$61="Alta",'Riesgos de Gestión'!$AL$61="Menor"),CONCATENATE("R9C",'Riesgos de Gestión'!$W$61),"")</f>
        <v/>
      </c>
      <c r="T24" s="51" t="str">
        <f>IF(AND('Riesgos de Gestión'!$AJ$62="Alta",'Riesgos de Gestión'!$AL$62="Menor"),CONCATENATE("R9C",'Riesgos de Gestión'!$W$62),"")</f>
        <v/>
      </c>
      <c r="U24" s="52" t="str">
        <f>IF(AND('Riesgos de Gestión'!$AJ$65="Alta",'Riesgos de Gestión'!$AL$65="Menor"),CONCATENATE("R9C",'Riesgos de Gestión'!$W$65),"")</f>
        <v/>
      </c>
      <c r="V24" s="35" t="str">
        <f>IF(AND('Riesgos de Gestión'!$AJ$58="Alta",'Riesgos de Gestión'!$AL$58="Moderado"),CONCATENATE("R9C",'Riesgos de Gestión'!$W$58),"")</f>
        <v/>
      </c>
      <c r="W24" s="36" t="str">
        <f>IF(AND('Riesgos de Gestión'!$AJ$59="Alta",'Riesgos de Gestión'!$AL$59="Moderado"),CONCATENATE("R9C",'Riesgos de Gestión'!$W$59),"")</f>
        <v/>
      </c>
      <c r="X24" s="36" t="str">
        <f>IF(AND('Riesgos de Gestión'!$AJ$60="Alta",'Riesgos de Gestión'!$AL$60="Moderado"),CONCATENATE("R9C",'Riesgos de Gestión'!$W$60),"")</f>
        <v/>
      </c>
      <c r="Y24" s="36" t="str">
        <f>IF(AND('Riesgos de Gestión'!$AJ$61="Alta",'Riesgos de Gestión'!$AL$61="Moderado"),CONCATENATE("R9C",'Riesgos de Gestión'!$W$61),"")</f>
        <v/>
      </c>
      <c r="Z24" s="36" t="str">
        <f>IF(AND('Riesgos de Gestión'!$AJ$62="Alta",'Riesgos de Gestión'!$AL$62="Moderado"),CONCATENATE("R9C",'Riesgos de Gestión'!$W$62),"")</f>
        <v/>
      </c>
      <c r="AA24" s="37" t="str">
        <f>IF(AND('Riesgos de Gestión'!$AJ$65="Alta",'Riesgos de Gestión'!$AL$65="Moderado"),CONCATENATE("R9C",'Riesgos de Gestión'!$W$65),"")</f>
        <v/>
      </c>
      <c r="AB24" s="35" t="str">
        <f>IF(AND('Riesgos de Gestión'!$AJ$58="Alta",'Riesgos de Gestión'!$AL$58="Mayor"),CONCATENATE("R9C",'Riesgos de Gestión'!$W$58),"")</f>
        <v/>
      </c>
      <c r="AC24" s="36" t="str">
        <f>IF(AND('Riesgos de Gestión'!$AJ$59="Alta",'Riesgos de Gestión'!$AL$59="Mayor"),CONCATENATE("R9C",'Riesgos de Gestión'!$W$59),"")</f>
        <v/>
      </c>
      <c r="AD24" s="36" t="str">
        <f>IF(AND('Riesgos de Gestión'!$AJ$60="Alta",'Riesgos de Gestión'!$AL$60="Mayor"),CONCATENATE("R9C",'Riesgos de Gestión'!$W$60),"")</f>
        <v/>
      </c>
      <c r="AE24" s="36" t="str">
        <f>IF(AND('Riesgos de Gestión'!$AJ$61="Alta",'Riesgos de Gestión'!$AL$61="Mayor"),CONCATENATE("R9C",'Riesgos de Gestión'!$W$61),"")</f>
        <v/>
      </c>
      <c r="AF24" s="36" t="str">
        <f>IF(AND('Riesgos de Gestión'!$AJ$62="Alta",'Riesgos de Gestión'!$AL$62="Mayor"),CONCATENATE("R9C",'Riesgos de Gestión'!$W$62),"")</f>
        <v/>
      </c>
      <c r="AG24" s="37" t="str">
        <f>IF(AND('Riesgos de Gestión'!$AJ$65="Alta",'Riesgos de Gestión'!$AL$65="Mayor"),CONCATENATE("R9C",'Riesgos de Gestión'!$W$65),"")</f>
        <v/>
      </c>
      <c r="AH24" s="38" t="str">
        <f>IF(AND('Riesgos de Gestión'!$AJ$58="Alta",'Riesgos de Gestión'!$AL$58="Catastrófico"),CONCATENATE("R9C",'Riesgos de Gestión'!$W$58),"")</f>
        <v/>
      </c>
      <c r="AI24" s="39" t="str">
        <f>IF(AND('Riesgos de Gestión'!$AJ$59="Alta",'Riesgos de Gestión'!$AL$59="Catastrófico"),CONCATENATE("R9C",'Riesgos de Gestión'!$W$59),"")</f>
        <v/>
      </c>
      <c r="AJ24" s="39" t="str">
        <f>IF(AND('Riesgos de Gestión'!$AJ$60="Alta",'Riesgos de Gestión'!$AL$60="Catastrófico"),CONCATENATE("R9C",'Riesgos de Gestión'!$W$60),"")</f>
        <v/>
      </c>
      <c r="AK24" s="39" t="str">
        <f>IF(AND('Riesgos de Gestión'!$AJ$61="Alta",'Riesgos de Gestión'!$AL$61="Catastrófico"),CONCATENATE("R9C",'Riesgos de Gestión'!$W$61),"")</f>
        <v/>
      </c>
      <c r="AL24" s="39" t="str">
        <f>IF(AND('Riesgos de Gestión'!$AJ$62="Alta",'Riesgos de Gestión'!$AL$62="Catastrófico"),CONCATENATE("R9C",'Riesgos de Gestión'!$W$62),"")</f>
        <v/>
      </c>
      <c r="AM24" s="40" t="str">
        <f>IF(AND('Riesgos de Gestión'!$AJ$65="Alta",'Riesgos de Gestión'!$AL$65="Catastrófico"),CONCATENATE("R9C",'Riesgos de Gestión'!$W$65),"")</f>
        <v/>
      </c>
      <c r="AN24" s="66"/>
      <c r="AO24" s="585"/>
      <c r="AP24" s="586"/>
      <c r="AQ24" s="586"/>
      <c r="AR24" s="586"/>
      <c r="AS24" s="586"/>
      <c r="AT24" s="587"/>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row>
    <row r="25" spans="1:76" ht="15.75" customHeight="1" thickBot="1" x14ac:dyDescent="0.3">
      <c r="A25" s="66"/>
      <c r="B25" s="496"/>
      <c r="C25" s="496"/>
      <c r="D25" s="497"/>
      <c r="E25" s="596"/>
      <c r="F25" s="597"/>
      <c r="G25" s="597"/>
      <c r="H25" s="597"/>
      <c r="I25" s="597"/>
      <c r="J25" s="53" t="str">
        <f>IF(AND('Riesgos de Gestión'!$AJ$66="Alta",'Riesgos de Gestión'!$AL$66="Leve"),CONCATENATE("R10C",'Riesgos de Gestión'!$W$66),"")</f>
        <v/>
      </c>
      <c r="K25" s="54" t="str">
        <f>IF(AND('Riesgos de Gestión'!$AJ$67="Alta",'Riesgos de Gestión'!$AL$67="Leve"),CONCATENATE("R10C",'Riesgos de Gestión'!$W$67),"")</f>
        <v/>
      </c>
      <c r="L25" s="54" t="str">
        <f>IF(AND('Riesgos de Gestión'!$AJ$68="Alta",'Riesgos de Gestión'!$AL$68="Leve"),CONCATENATE("R10C",'Riesgos de Gestión'!$W$68),"")</f>
        <v/>
      </c>
      <c r="M25" s="54" t="str">
        <f>IF(AND('Riesgos de Gestión'!$AJ$69="Alta",'Riesgos de Gestión'!$AL$69="Leve"),CONCATENATE("R10C",'Riesgos de Gestión'!$W$69),"")</f>
        <v/>
      </c>
      <c r="N25" s="54" t="str">
        <f>IF(AND('Riesgos de Gestión'!$AJ$70="Alta",'Riesgos de Gestión'!$AL$70="Leve"),CONCATENATE("R10C",'Riesgos de Gestión'!$W$70),"")</f>
        <v/>
      </c>
      <c r="O25" s="55" t="str">
        <f>IF(AND('Riesgos de Gestión'!$AJ$71="Alta",'Riesgos de Gestión'!$AL$71="Leve"),CONCATENATE("R10C",'Riesgos de Gestión'!$W$71),"")</f>
        <v/>
      </c>
      <c r="P25" s="53" t="str">
        <f>IF(AND('Riesgos de Gestión'!$AJ$66="Alta",'Riesgos de Gestión'!$AL$66="Menor"),CONCATENATE("R10C",'Riesgos de Gestión'!$W$66),"")</f>
        <v/>
      </c>
      <c r="Q25" s="54" t="str">
        <f>IF(AND('Riesgos de Gestión'!$AJ$67="Alta",'Riesgos de Gestión'!$AL$67="Menor"),CONCATENATE("R10C",'Riesgos de Gestión'!$W$67),"")</f>
        <v/>
      </c>
      <c r="R25" s="54" t="str">
        <f>IF(AND('Riesgos de Gestión'!$AJ$68="Alta",'Riesgos de Gestión'!$AL$68="Menor"),CONCATENATE("R10C",'Riesgos de Gestión'!$W$68),"")</f>
        <v/>
      </c>
      <c r="S25" s="54" t="str">
        <f>IF(AND('Riesgos de Gestión'!$AJ$69="Alta",'Riesgos de Gestión'!$AL$69="Menor"),CONCATENATE("R10C",'Riesgos de Gestión'!$W$69),"")</f>
        <v/>
      </c>
      <c r="T25" s="54" t="str">
        <f>IF(AND('Riesgos de Gestión'!$AJ$70="Alta",'Riesgos de Gestión'!$AL$70="Menor"),CONCATENATE("R10C",'Riesgos de Gestión'!$W$70),"")</f>
        <v/>
      </c>
      <c r="U25" s="55" t="str">
        <f>IF(AND('Riesgos de Gestión'!$AJ$71="Alta",'Riesgos de Gestión'!$AL$71="Menor"),CONCATENATE("R10C",'Riesgos de Gestión'!$W$71),"")</f>
        <v/>
      </c>
      <c r="V25" s="41" t="str">
        <f>IF(AND('Riesgos de Gestión'!$AJ$66="Alta",'Riesgos de Gestión'!$AL$66="Moderado"),CONCATENATE("R10C",'Riesgos de Gestión'!$W$66),"")</f>
        <v/>
      </c>
      <c r="W25" s="42" t="str">
        <f>IF(AND('Riesgos de Gestión'!$AJ$67="Alta",'Riesgos de Gestión'!$AL$67="Moderado"),CONCATENATE("R10C",'Riesgos de Gestión'!$W$67),"")</f>
        <v/>
      </c>
      <c r="X25" s="42" t="str">
        <f>IF(AND('Riesgos de Gestión'!$AJ$68="Alta",'Riesgos de Gestión'!$AL$68="Moderado"),CONCATENATE("R10C",'Riesgos de Gestión'!$W$68),"")</f>
        <v/>
      </c>
      <c r="Y25" s="42" t="str">
        <f>IF(AND('Riesgos de Gestión'!$AJ$69="Alta",'Riesgos de Gestión'!$AL$69="Moderado"),CONCATENATE("R10C",'Riesgos de Gestión'!$W$69),"")</f>
        <v/>
      </c>
      <c r="Z25" s="42" t="str">
        <f>IF(AND('Riesgos de Gestión'!$AJ$70="Alta",'Riesgos de Gestión'!$AL$70="Moderado"),CONCATENATE("R10C",'Riesgos de Gestión'!$W$70),"")</f>
        <v/>
      </c>
      <c r="AA25" s="43" t="str">
        <f>IF(AND('Riesgos de Gestión'!$AJ$71="Alta",'Riesgos de Gestión'!$AL$71="Moderado"),CONCATENATE("R10C",'Riesgos de Gestión'!$W$71),"")</f>
        <v/>
      </c>
      <c r="AB25" s="41" t="str">
        <f>IF(AND('Riesgos de Gestión'!$AJ$66="Alta",'Riesgos de Gestión'!$AL$66="Mayor"),CONCATENATE("R10C",'Riesgos de Gestión'!$W$66),"")</f>
        <v/>
      </c>
      <c r="AC25" s="42" t="str">
        <f>IF(AND('Riesgos de Gestión'!$AJ$67="Alta",'Riesgos de Gestión'!$AL$67="Mayor"),CONCATENATE("R10C",'Riesgos de Gestión'!$W$67),"")</f>
        <v/>
      </c>
      <c r="AD25" s="42" t="str">
        <f>IF(AND('Riesgos de Gestión'!$AJ$68="Alta",'Riesgos de Gestión'!$AL$68="Mayor"),CONCATENATE("R10C",'Riesgos de Gestión'!$W$68),"")</f>
        <v/>
      </c>
      <c r="AE25" s="42" t="str">
        <f>IF(AND('Riesgos de Gestión'!$AJ$69="Alta",'Riesgos de Gestión'!$AL$69="Mayor"),CONCATENATE("R10C",'Riesgos de Gestión'!$W$69),"")</f>
        <v/>
      </c>
      <c r="AF25" s="42" t="str">
        <f>IF(AND('Riesgos de Gestión'!$AJ$70="Alta",'Riesgos de Gestión'!$AL$70="Mayor"),CONCATENATE("R10C",'Riesgos de Gestión'!$W$70),"")</f>
        <v/>
      </c>
      <c r="AG25" s="43" t="str">
        <f>IF(AND('Riesgos de Gestión'!$AJ$71="Alta",'Riesgos de Gestión'!$AL$71="Mayor"),CONCATENATE("R10C",'Riesgos de Gestión'!$W$71),"")</f>
        <v/>
      </c>
      <c r="AH25" s="44" t="str">
        <f>IF(AND('Riesgos de Gestión'!$AJ$66="Alta",'Riesgos de Gestión'!$AL$66="Catastrófico"),CONCATENATE("R10C",'Riesgos de Gestión'!$W$66),"")</f>
        <v/>
      </c>
      <c r="AI25" s="45" t="str">
        <f>IF(AND('Riesgos de Gestión'!$AJ$67="Alta",'Riesgos de Gestión'!$AL$67="Catastrófico"),CONCATENATE("R10C",'Riesgos de Gestión'!$W$67),"")</f>
        <v/>
      </c>
      <c r="AJ25" s="45" t="str">
        <f>IF(AND('Riesgos de Gestión'!$AJ$68="Alta",'Riesgos de Gestión'!$AL$68="Catastrófico"),CONCATENATE("R10C",'Riesgos de Gestión'!$W$68),"")</f>
        <v/>
      </c>
      <c r="AK25" s="45" t="str">
        <f>IF(AND('Riesgos de Gestión'!$AJ$69="Alta",'Riesgos de Gestión'!$AL$69="Catastrófico"),CONCATENATE("R10C",'Riesgos de Gestión'!$W$69),"")</f>
        <v/>
      </c>
      <c r="AL25" s="45" t="str">
        <f>IF(AND('Riesgos de Gestión'!$AJ$70="Alta",'Riesgos de Gestión'!$AL$70="Catastrófico"),CONCATENATE("R10C",'Riesgos de Gestión'!$W$70),"")</f>
        <v/>
      </c>
      <c r="AM25" s="46" t="str">
        <f>IF(AND('Riesgos de Gestión'!$AJ$71="Alta",'Riesgos de Gestión'!$AL$71="Catastrófico"),CONCATENATE("R10C",'Riesgos de Gestión'!$W$71),"")</f>
        <v/>
      </c>
      <c r="AN25" s="66"/>
      <c r="AO25" s="588"/>
      <c r="AP25" s="589"/>
      <c r="AQ25" s="589"/>
      <c r="AR25" s="589"/>
      <c r="AS25" s="589"/>
      <c r="AT25" s="590"/>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row>
    <row r="26" spans="1:76" ht="15" customHeight="1" x14ac:dyDescent="0.25">
      <c r="A26" s="66"/>
      <c r="B26" s="496"/>
      <c r="C26" s="496"/>
      <c r="D26" s="497"/>
      <c r="E26" s="591" t="s">
        <v>405</v>
      </c>
      <c r="F26" s="592"/>
      <c r="G26" s="592"/>
      <c r="H26" s="592"/>
      <c r="I26" s="609"/>
      <c r="J26" s="47" t="str">
        <f>IF(AND('Riesgos de Gestión'!$AJ$10="Media",'Riesgos de Gestión'!$AL$10="Leve"),CONCATENATE("R1C",'Riesgos de Gestión'!$W$10),"")</f>
        <v/>
      </c>
      <c r="K26" s="48" t="str">
        <f>IF(AND('Riesgos de Gestión'!$AJ$11="Media",'Riesgos de Gestión'!$AL$11="Leve"),CONCATENATE("R1C",'Riesgos de Gestión'!$W$11),"")</f>
        <v/>
      </c>
      <c r="L26" s="48" t="str">
        <f>IF(AND('Riesgos de Gestión'!$AJ$12="Media",'Riesgos de Gestión'!$AL$12="Leve"),CONCATENATE("R1C",'Riesgos de Gestión'!$W$12),"")</f>
        <v/>
      </c>
      <c r="M26" s="48" t="str">
        <f>IF(AND('Riesgos de Gestión'!$AJ$13="Media",'Riesgos de Gestión'!$AL$13="Leve"),CONCATENATE("R1C",'Riesgos de Gestión'!$W$13),"")</f>
        <v/>
      </c>
      <c r="N26" s="48" t="str">
        <f>IF(AND('Riesgos de Gestión'!$AJ$14="Media",'Riesgos de Gestión'!$AL$14="Leve"),CONCATENATE("R1C",'Riesgos de Gestión'!$W$14),"")</f>
        <v/>
      </c>
      <c r="O26" s="49" t="str">
        <f>IF(AND('Riesgos de Gestión'!$AJ$15="Media",'Riesgos de Gestión'!$AL$15="Leve"),CONCATENATE("R1C",'Riesgos de Gestión'!$W$15),"")</f>
        <v/>
      </c>
      <c r="P26" s="47" t="str">
        <f>IF(AND('Riesgos de Gestión'!$AJ$10="Media",'Riesgos de Gestión'!$AL$10="Menor"),CONCATENATE("R1C",'Riesgos de Gestión'!$W$10),"")</f>
        <v/>
      </c>
      <c r="Q26" s="48" t="str">
        <f>IF(AND('Riesgos de Gestión'!$AJ$11="Media",'Riesgos de Gestión'!$AL$11="Menor"),CONCATENATE("R1C",'Riesgos de Gestión'!$W$11),"")</f>
        <v/>
      </c>
      <c r="R26" s="48" t="str">
        <f>IF(AND('Riesgos de Gestión'!$AJ$12="Media",'Riesgos de Gestión'!$AL$12="Menor"),CONCATENATE("R1C",'Riesgos de Gestión'!$W$12),"")</f>
        <v/>
      </c>
      <c r="S26" s="48" t="str">
        <f>IF(AND('Riesgos de Gestión'!$AJ$13="Media",'Riesgos de Gestión'!$AL$13="Menor"),CONCATENATE("R1C",'Riesgos de Gestión'!$W$13),"")</f>
        <v/>
      </c>
      <c r="T26" s="48" t="str">
        <f>IF(AND('Riesgos de Gestión'!$AJ$14="Media",'Riesgos de Gestión'!$AL$14="Menor"),CONCATENATE("R1C",'Riesgos de Gestión'!$W$14),"")</f>
        <v/>
      </c>
      <c r="U26" s="49" t="str">
        <f>IF(AND('Riesgos de Gestión'!$AJ$15="Media",'Riesgos de Gestión'!$AL$15="Menor"),CONCATENATE("R1C",'Riesgos de Gestión'!$W$15),"")</f>
        <v/>
      </c>
      <c r="V26" s="47" t="str">
        <f>IF(AND('Riesgos de Gestión'!$AJ$10="Media",'Riesgos de Gestión'!$AL$10="Moderado"),CONCATENATE("R1C",'Riesgos de Gestión'!$W$10),"")</f>
        <v/>
      </c>
      <c r="W26" s="48" t="str">
        <f>IF(AND('Riesgos de Gestión'!$AJ$11="Media",'Riesgos de Gestión'!$AL$11="Moderado"),CONCATENATE("R1C",'Riesgos de Gestión'!$W$11),"")</f>
        <v/>
      </c>
      <c r="X26" s="48" t="str">
        <f>IF(AND('Riesgos de Gestión'!$AJ$12="Media",'Riesgos de Gestión'!$AL$12="Moderado"),CONCATENATE("R1C",'Riesgos de Gestión'!$W$12),"")</f>
        <v/>
      </c>
      <c r="Y26" s="48" t="str">
        <f>IF(AND('Riesgos de Gestión'!$AJ$13="Media",'Riesgos de Gestión'!$AL$13="Moderado"),CONCATENATE("R1C",'Riesgos de Gestión'!$W$13),"")</f>
        <v/>
      </c>
      <c r="Z26" s="48" t="str">
        <f>IF(AND('Riesgos de Gestión'!$AJ$14="Media",'Riesgos de Gestión'!$AL$14="Moderado"),CONCATENATE("R1C",'Riesgos de Gestión'!$W$14),"")</f>
        <v/>
      </c>
      <c r="AA26" s="49" t="str">
        <f>IF(AND('Riesgos de Gestión'!$AJ$15="Media",'Riesgos de Gestión'!$AL$15="Moderado"),CONCATENATE("R1C",'Riesgos de Gestión'!$W$15),"")</f>
        <v/>
      </c>
      <c r="AB26" s="29" t="str">
        <f>IF(AND('Riesgos de Gestión'!$AJ$10="Media",'Riesgos de Gestión'!$AL$10="Mayor"),CONCATENATE("R1C",'Riesgos de Gestión'!$W$10),"")</f>
        <v/>
      </c>
      <c r="AC26" s="30" t="str">
        <f>IF(AND('Riesgos de Gestión'!$AJ$11="Media",'Riesgos de Gestión'!$AL$11="Mayor"),CONCATENATE("R1C",'Riesgos de Gestión'!$W$11),"")</f>
        <v/>
      </c>
      <c r="AD26" s="30" t="str">
        <f>IF(AND('Riesgos de Gestión'!$AJ$12="Media",'Riesgos de Gestión'!$AL$12="Mayor"),CONCATENATE("R1C",'Riesgos de Gestión'!$W$12),"")</f>
        <v/>
      </c>
      <c r="AE26" s="30" t="str">
        <f>IF(AND('Riesgos de Gestión'!$AJ$13="Media",'Riesgos de Gestión'!$AL$13="Mayor"),CONCATENATE("R1C",'Riesgos de Gestión'!$W$13),"")</f>
        <v/>
      </c>
      <c r="AF26" s="30" t="str">
        <f>IF(AND('Riesgos de Gestión'!$AJ$14="Media",'Riesgos de Gestión'!$AL$14="Mayor"),CONCATENATE("R1C",'Riesgos de Gestión'!$W$14),"")</f>
        <v/>
      </c>
      <c r="AG26" s="31" t="str">
        <f>IF(AND('Riesgos de Gestión'!$AJ$15="Media",'Riesgos de Gestión'!$AL$15="Mayor"),CONCATENATE("R1C",'Riesgos de Gestión'!$W$15),"")</f>
        <v/>
      </c>
      <c r="AH26" s="32" t="str">
        <f>IF(AND('Riesgos de Gestión'!$AJ$10="Media",'Riesgos de Gestión'!$AL$10="Catastrófico"),CONCATENATE("R1C",'Riesgos de Gestión'!$W$10),"")</f>
        <v/>
      </c>
      <c r="AI26" s="33" t="str">
        <f>IF(AND('Riesgos de Gestión'!$AJ$11="Media",'Riesgos de Gestión'!$AL$11="Catastrófico"),CONCATENATE("R1C",'Riesgos de Gestión'!$W$11),"")</f>
        <v/>
      </c>
      <c r="AJ26" s="33" t="str">
        <f>IF(AND('Riesgos de Gestión'!$AJ$12="Media",'Riesgos de Gestión'!$AL$12="Catastrófico"),CONCATENATE("R1C",'Riesgos de Gestión'!$W$12),"")</f>
        <v/>
      </c>
      <c r="AK26" s="33" t="str">
        <f>IF(AND('Riesgos de Gestión'!$AJ$13="Media",'Riesgos de Gestión'!$AL$13="Catastrófico"),CONCATENATE("R1C",'Riesgos de Gestión'!$W$13),"")</f>
        <v/>
      </c>
      <c r="AL26" s="33" t="str">
        <f>IF(AND('Riesgos de Gestión'!$AJ$14="Media",'Riesgos de Gestión'!$AL$14="Catastrófico"),CONCATENATE("R1C",'Riesgos de Gestión'!$W$14),"")</f>
        <v/>
      </c>
      <c r="AM26" s="34" t="str">
        <f>IF(AND('Riesgos de Gestión'!$AJ$15="Media",'Riesgos de Gestión'!$AL$15="Catastrófico"),CONCATENATE("R1C",'Riesgos de Gestión'!$W$15),"")</f>
        <v/>
      </c>
      <c r="AN26" s="66"/>
      <c r="AO26" s="621" t="s">
        <v>406</v>
      </c>
      <c r="AP26" s="622"/>
      <c r="AQ26" s="622"/>
      <c r="AR26" s="622"/>
      <c r="AS26" s="622"/>
      <c r="AT26" s="623"/>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row>
    <row r="27" spans="1:76" ht="15" customHeight="1" x14ac:dyDescent="0.25">
      <c r="A27" s="66"/>
      <c r="B27" s="496"/>
      <c r="C27" s="496"/>
      <c r="D27" s="497"/>
      <c r="E27" s="593"/>
      <c r="F27" s="594"/>
      <c r="G27" s="594"/>
      <c r="H27" s="594"/>
      <c r="I27" s="610"/>
      <c r="J27" s="50" t="str">
        <f>IF(AND('Riesgos de Gestión'!$AJ$16="Media",'Riesgos de Gestión'!$AL$16="Leve"),CONCATENATE("R2C",'Riesgos de Gestión'!$W$16),"")</f>
        <v/>
      </c>
      <c r="K27" s="51" t="str">
        <f>IF(AND('Riesgos de Gestión'!$AJ$17="Media",'Riesgos de Gestión'!$AL$17="Leve"),CONCATENATE("R2C",'Riesgos de Gestión'!$W$17),"")</f>
        <v/>
      </c>
      <c r="L27" s="51" t="str">
        <f>IF(AND('Riesgos de Gestión'!$AJ$18="Media",'Riesgos de Gestión'!$AL$18="Leve"),CONCATENATE("R2C",'Riesgos de Gestión'!$W$18),"")</f>
        <v/>
      </c>
      <c r="M27" s="51" t="str">
        <f>IF(AND('Riesgos de Gestión'!$AJ$19="Media",'Riesgos de Gestión'!$AL$19="Leve"),CONCATENATE("R2C",'Riesgos de Gestión'!$W$19),"")</f>
        <v/>
      </c>
      <c r="N27" s="51" t="str">
        <f>IF(AND('Riesgos de Gestión'!$AJ$20="Media",'Riesgos de Gestión'!$AL$20="Leve"),CONCATENATE("R2C",'Riesgos de Gestión'!$W$20),"")</f>
        <v/>
      </c>
      <c r="O27" s="52" t="str">
        <f>IF(AND('Riesgos de Gestión'!$AJ$21="Media",'Riesgos de Gestión'!$AL$21="Leve"),CONCATENATE("R2C",'Riesgos de Gestión'!$W$21),"")</f>
        <v/>
      </c>
      <c r="P27" s="50" t="str">
        <f>IF(AND('Riesgos de Gestión'!$AJ$16="Media",'Riesgos de Gestión'!$AL$16="Menor"),CONCATENATE("R2C",'Riesgos de Gestión'!$W$16),"")</f>
        <v/>
      </c>
      <c r="Q27" s="51" t="str">
        <f>IF(AND('Riesgos de Gestión'!$AJ$17="Media",'Riesgos de Gestión'!$AL$17="Menor"),CONCATENATE("R2C",'Riesgos de Gestión'!$W$17),"")</f>
        <v/>
      </c>
      <c r="R27" s="51" t="str">
        <f>IF(AND('Riesgos de Gestión'!$AJ$18="Media",'Riesgos de Gestión'!$AL$18="Menor"),CONCATENATE("R2C",'Riesgos de Gestión'!$W$18),"")</f>
        <v/>
      </c>
      <c r="S27" s="51" t="str">
        <f>IF(AND('Riesgos de Gestión'!$AJ$19="Media",'Riesgos de Gestión'!$AL$19="Menor"),CONCATENATE("R2C",'Riesgos de Gestión'!$W$19),"")</f>
        <v/>
      </c>
      <c r="T27" s="51" t="str">
        <f>IF(AND('Riesgos de Gestión'!$AJ$20="Media",'Riesgos de Gestión'!$AL$20="Menor"),CONCATENATE("R2C",'Riesgos de Gestión'!$W$20),"")</f>
        <v/>
      </c>
      <c r="U27" s="52" t="str">
        <f>IF(AND('Riesgos de Gestión'!$AJ$21="Media",'Riesgos de Gestión'!$AL$21="Menor"),CONCATENATE("R2C",'Riesgos de Gestión'!$W$21),"")</f>
        <v/>
      </c>
      <c r="V27" s="50" t="str">
        <f>IF(AND('Riesgos de Gestión'!$AJ$16="Media",'Riesgos de Gestión'!$AL$16="Moderado"),CONCATENATE("R2C",'Riesgos de Gestión'!$W$16),"")</f>
        <v/>
      </c>
      <c r="W27" s="51" t="str">
        <f>IF(AND('Riesgos de Gestión'!$AJ$17="Media",'Riesgos de Gestión'!$AL$17="Moderado"),CONCATENATE("R2C",'Riesgos de Gestión'!$W$17),"")</f>
        <v/>
      </c>
      <c r="X27" s="51" t="str">
        <f>IF(AND('Riesgos de Gestión'!$AJ$18="Media",'Riesgos de Gestión'!$AL$18="Moderado"),CONCATENATE("R2C",'Riesgos de Gestión'!$W$18),"")</f>
        <v/>
      </c>
      <c r="Y27" s="51" t="str">
        <f>IF(AND('Riesgos de Gestión'!$AJ$19="Media",'Riesgos de Gestión'!$AL$19="Moderado"),CONCATENATE("R2C",'Riesgos de Gestión'!$W$19),"")</f>
        <v/>
      </c>
      <c r="Z27" s="51" t="str">
        <f>IF(AND('Riesgos de Gestión'!$AJ$20="Media",'Riesgos de Gestión'!$AL$20="Moderado"),CONCATENATE("R2C",'Riesgos de Gestión'!$W$20),"")</f>
        <v/>
      </c>
      <c r="AA27" s="52" t="str">
        <f>IF(AND('Riesgos de Gestión'!$AJ$21="Media",'Riesgos de Gestión'!$AL$21="Moderado"),CONCATENATE("R2C",'Riesgos de Gestión'!$W$21),"")</f>
        <v/>
      </c>
      <c r="AB27" s="35" t="str">
        <f>IF(AND('Riesgos de Gestión'!$AJ$16="Media",'Riesgos de Gestión'!$AL$16="Mayor"),CONCATENATE("R2C",'Riesgos de Gestión'!$W$16),"")</f>
        <v/>
      </c>
      <c r="AC27" s="36" t="str">
        <f>IF(AND('Riesgos de Gestión'!$AJ$17="Media",'Riesgos de Gestión'!$AL$17="Mayor"),CONCATENATE("R2C",'Riesgos de Gestión'!$W$17),"")</f>
        <v/>
      </c>
      <c r="AD27" s="36" t="str">
        <f>IF(AND('Riesgos de Gestión'!$AJ$18="Media",'Riesgos de Gestión'!$AL$18="Mayor"),CONCATENATE("R2C",'Riesgos de Gestión'!$W$18),"")</f>
        <v/>
      </c>
      <c r="AE27" s="36" t="str">
        <f>IF(AND('Riesgos de Gestión'!$AJ$19="Media",'Riesgos de Gestión'!$AL$19="Mayor"),CONCATENATE("R2C",'Riesgos de Gestión'!$W$19),"")</f>
        <v/>
      </c>
      <c r="AF27" s="36" t="str">
        <f>IF(AND('Riesgos de Gestión'!$AJ$20="Media",'Riesgos de Gestión'!$AL$20="Mayor"),CONCATENATE("R2C",'Riesgos de Gestión'!$W$20),"")</f>
        <v/>
      </c>
      <c r="AG27" s="37" t="str">
        <f>IF(AND('Riesgos de Gestión'!$AJ$21="Media",'Riesgos de Gestión'!$AL$21="Mayor"),CONCATENATE("R2C",'Riesgos de Gestión'!$W$21),"")</f>
        <v/>
      </c>
      <c r="AH27" s="38" t="str">
        <f>IF(AND('Riesgos de Gestión'!$AJ$16="Media",'Riesgos de Gestión'!$AL$16="Catastrófico"),CONCATENATE("R2C",'Riesgos de Gestión'!$W$16),"")</f>
        <v/>
      </c>
      <c r="AI27" s="39" t="str">
        <f>IF(AND('Riesgos de Gestión'!$AJ$17="Media",'Riesgos de Gestión'!$AL$17="Catastrófico"),CONCATENATE("R2C",'Riesgos de Gestión'!$W$17),"")</f>
        <v/>
      </c>
      <c r="AJ27" s="39" t="str">
        <f>IF(AND('Riesgos de Gestión'!$AJ$18="Media",'Riesgos de Gestión'!$AL$18="Catastrófico"),CONCATENATE("R2C",'Riesgos de Gestión'!$W$18),"")</f>
        <v/>
      </c>
      <c r="AK27" s="39" t="str">
        <f>IF(AND('Riesgos de Gestión'!$AJ$19="Media",'Riesgos de Gestión'!$AL$19="Catastrófico"),CONCATENATE("R2C",'Riesgos de Gestión'!$W$19),"")</f>
        <v/>
      </c>
      <c r="AL27" s="39" t="str">
        <f>IF(AND('Riesgos de Gestión'!$AJ$20="Media",'Riesgos de Gestión'!$AL$20="Catastrófico"),CONCATENATE("R2C",'Riesgos de Gestión'!$W$20),"")</f>
        <v/>
      </c>
      <c r="AM27" s="40" t="str">
        <f>IF(AND('Riesgos de Gestión'!$AJ$21="Media",'Riesgos de Gestión'!$AL$21="Catastrófico"),CONCATENATE("R2C",'Riesgos de Gestión'!$W$21),"")</f>
        <v/>
      </c>
      <c r="AN27" s="66"/>
      <c r="AO27" s="624"/>
      <c r="AP27" s="625"/>
      <c r="AQ27" s="625"/>
      <c r="AR27" s="625"/>
      <c r="AS27" s="625"/>
      <c r="AT27" s="62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row>
    <row r="28" spans="1:76" ht="15" customHeight="1" x14ac:dyDescent="0.25">
      <c r="A28" s="66"/>
      <c r="B28" s="496"/>
      <c r="C28" s="496"/>
      <c r="D28" s="497"/>
      <c r="E28" s="595"/>
      <c r="F28" s="594"/>
      <c r="G28" s="594"/>
      <c r="H28" s="594"/>
      <c r="I28" s="610"/>
      <c r="J28" s="50" t="str">
        <f>IF(AND('Riesgos de Gestión'!$AJ$22="Media",'Riesgos de Gestión'!$AL$22="Leve"),CONCATENATE("R3C",'Riesgos de Gestión'!$W$22),"")</f>
        <v/>
      </c>
      <c r="K28" s="51" t="str">
        <f>IF(AND('Riesgos de Gestión'!$AJ$23="Media",'Riesgos de Gestión'!$AL$23="Leve"),CONCATENATE("R3C",'Riesgos de Gestión'!$W$23),"")</f>
        <v/>
      </c>
      <c r="L28" s="51" t="str">
        <f>IF(AND('Riesgos de Gestión'!$AJ$24="Media",'Riesgos de Gestión'!$AL$24="Leve"),CONCATENATE("R3C",'Riesgos de Gestión'!$W$24),"")</f>
        <v/>
      </c>
      <c r="M28" s="51" t="str">
        <f>IF(AND('Riesgos de Gestión'!$AJ$25="Media",'Riesgos de Gestión'!$AL$25="Leve"),CONCATENATE("R3C",'Riesgos de Gestión'!$W$25),"")</f>
        <v/>
      </c>
      <c r="N28" s="51" t="str">
        <f>IF(AND('Riesgos de Gestión'!$AJ$26="Media",'Riesgos de Gestión'!$AL$26="Leve"),CONCATENATE("R3C",'Riesgos de Gestión'!$W$26),"")</f>
        <v/>
      </c>
      <c r="O28" s="52" t="str">
        <f>IF(AND('Riesgos de Gestión'!$AJ$27="Media",'Riesgos de Gestión'!$AL$27="Leve"),CONCATENATE("R3C",'Riesgos de Gestión'!$W$27),"")</f>
        <v/>
      </c>
      <c r="P28" s="50" t="str">
        <f>IF(AND('Riesgos de Gestión'!$AJ$22="Media",'Riesgos de Gestión'!$AL$22="Menor"),CONCATENATE("R3C",'Riesgos de Gestión'!$W$22),"")</f>
        <v/>
      </c>
      <c r="Q28" s="51" t="str">
        <f>IF(AND('Riesgos de Gestión'!$AJ$23="Media",'Riesgos de Gestión'!$AL$23="Menor"),CONCATENATE("R3C",'Riesgos de Gestión'!$W$23),"")</f>
        <v/>
      </c>
      <c r="R28" s="51" t="str">
        <f>IF(AND('Riesgos de Gestión'!$AJ$24="Media",'Riesgos de Gestión'!$AL$24="Menor"),CONCATENATE("R3C",'Riesgos de Gestión'!$W$24),"")</f>
        <v/>
      </c>
      <c r="S28" s="51" t="str">
        <f>IF(AND('Riesgos de Gestión'!$AJ$25="Media",'Riesgos de Gestión'!$AL$25="Menor"),CONCATENATE("R3C",'Riesgos de Gestión'!$W$25),"")</f>
        <v/>
      </c>
      <c r="T28" s="51" t="str">
        <f>IF(AND('Riesgos de Gestión'!$AJ$26="Media",'Riesgos de Gestión'!$AL$26="Menor"),CONCATENATE("R3C",'Riesgos de Gestión'!$W$26),"")</f>
        <v/>
      </c>
      <c r="U28" s="52" t="str">
        <f>IF(AND('Riesgos de Gestión'!$AJ$27="Media",'Riesgos de Gestión'!$AL$27="Menor"),CONCATENATE("R3C",'Riesgos de Gestión'!$W$27),"")</f>
        <v/>
      </c>
      <c r="V28" s="50" t="str">
        <f>IF(AND('Riesgos de Gestión'!$AJ$22="Media",'Riesgos de Gestión'!$AL$22="Moderado"),CONCATENATE("R3C",'Riesgos de Gestión'!$W$22),"")</f>
        <v/>
      </c>
      <c r="W28" s="51" t="str">
        <f>IF(AND('Riesgos de Gestión'!$AJ$23="Media",'Riesgos de Gestión'!$AL$23="Moderado"),CONCATENATE("R3C",'Riesgos de Gestión'!$W$23),"")</f>
        <v/>
      </c>
      <c r="X28" s="51" t="str">
        <f>IF(AND('Riesgos de Gestión'!$AJ$24="Media",'Riesgos de Gestión'!$AL$24="Moderado"),CONCATENATE("R3C",'Riesgos de Gestión'!$W$24),"")</f>
        <v/>
      </c>
      <c r="Y28" s="51" t="str">
        <f>IF(AND('Riesgos de Gestión'!$AJ$25="Media",'Riesgos de Gestión'!$AL$25="Moderado"),CONCATENATE("R3C",'Riesgos de Gestión'!$W$25),"")</f>
        <v/>
      </c>
      <c r="Z28" s="51" t="str">
        <f>IF(AND('Riesgos de Gestión'!$AJ$26="Media",'Riesgos de Gestión'!$AL$26="Moderado"),CONCATENATE("R3C",'Riesgos de Gestión'!$W$26),"")</f>
        <v/>
      </c>
      <c r="AA28" s="52" t="str">
        <f>IF(AND('Riesgos de Gestión'!$AJ$27="Media",'Riesgos de Gestión'!$AL$27="Moderado"),CONCATENATE("R3C",'Riesgos de Gestión'!$W$27),"")</f>
        <v/>
      </c>
      <c r="AB28" s="35" t="str">
        <f>IF(AND('Riesgos de Gestión'!$AJ$22="Media",'Riesgos de Gestión'!$AL$22="Mayor"),CONCATENATE("R3C",'Riesgos de Gestión'!$W$22),"")</f>
        <v/>
      </c>
      <c r="AC28" s="36" t="str">
        <f>IF(AND('Riesgos de Gestión'!$AJ$23="Media",'Riesgos de Gestión'!$AL$23="Mayor"),CONCATENATE("R3C",'Riesgos de Gestión'!$W$23),"")</f>
        <v/>
      </c>
      <c r="AD28" s="36" t="str">
        <f>IF(AND('Riesgos de Gestión'!$AJ$24="Media",'Riesgos de Gestión'!$AL$24="Mayor"),CONCATENATE("R3C",'Riesgos de Gestión'!$W$24),"")</f>
        <v/>
      </c>
      <c r="AE28" s="36" t="str">
        <f>IF(AND('Riesgos de Gestión'!$AJ$25="Media",'Riesgos de Gestión'!$AL$25="Mayor"),CONCATENATE("R3C",'Riesgos de Gestión'!$W$25),"")</f>
        <v/>
      </c>
      <c r="AF28" s="36" t="str">
        <f>IF(AND('Riesgos de Gestión'!$AJ$26="Media",'Riesgos de Gestión'!$AL$26="Mayor"),CONCATENATE("R3C",'Riesgos de Gestión'!$W$26),"")</f>
        <v/>
      </c>
      <c r="AG28" s="37" t="str">
        <f>IF(AND('Riesgos de Gestión'!$AJ$27="Media",'Riesgos de Gestión'!$AL$27="Mayor"),CONCATENATE("R3C",'Riesgos de Gestión'!$W$27),"")</f>
        <v/>
      </c>
      <c r="AH28" s="38" t="str">
        <f>IF(AND('Riesgos de Gestión'!$AJ$22="Media",'Riesgos de Gestión'!$AL$22="Catastrófico"),CONCATENATE("R3C",'Riesgos de Gestión'!$W$22),"")</f>
        <v/>
      </c>
      <c r="AI28" s="39" t="str">
        <f>IF(AND('Riesgos de Gestión'!$AJ$23="Media",'Riesgos de Gestión'!$AL$23="Catastrófico"),CONCATENATE("R3C",'Riesgos de Gestión'!$W$23),"")</f>
        <v/>
      </c>
      <c r="AJ28" s="39" t="str">
        <f>IF(AND('Riesgos de Gestión'!$AJ$24="Media",'Riesgos de Gestión'!$AL$24="Catastrófico"),CONCATENATE("R3C",'Riesgos de Gestión'!$W$24),"")</f>
        <v/>
      </c>
      <c r="AK28" s="39" t="str">
        <f>IF(AND('Riesgos de Gestión'!$AJ$25="Media",'Riesgos de Gestión'!$AL$25="Catastrófico"),CONCATENATE("R3C",'Riesgos de Gestión'!$W$25),"")</f>
        <v/>
      </c>
      <c r="AL28" s="39" t="str">
        <f>IF(AND('Riesgos de Gestión'!$AJ$26="Media",'Riesgos de Gestión'!$AL$26="Catastrófico"),CONCATENATE("R3C",'Riesgos de Gestión'!$W$26),"")</f>
        <v/>
      </c>
      <c r="AM28" s="40" t="str">
        <f>IF(AND('Riesgos de Gestión'!$AJ$27="Media",'Riesgos de Gestión'!$AL$27="Catastrófico"),CONCATENATE("R3C",'Riesgos de Gestión'!$W$27),"")</f>
        <v/>
      </c>
      <c r="AN28" s="66"/>
      <c r="AO28" s="624"/>
      <c r="AP28" s="625"/>
      <c r="AQ28" s="625"/>
      <c r="AR28" s="625"/>
      <c r="AS28" s="625"/>
      <c r="AT28" s="62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row>
    <row r="29" spans="1:76" ht="15" customHeight="1" x14ac:dyDescent="0.25">
      <c r="A29" s="66"/>
      <c r="B29" s="496"/>
      <c r="C29" s="496"/>
      <c r="D29" s="497"/>
      <c r="E29" s="595"/>
      <c r="F29" s="594"/>
      <c r="G29" s="594"/>
      <c r="H29" s="594"/>
      <c r="I29" s="610"/>
      <c r="J29" s="50" t="str">
        <f>IF(AND('Riesgos de Gestión'!$AJ$28="Media",'Riesgos de Gestión'!$AL$28="Leve"),CONCATENATE("R4C",'Riesgos de Gestión'!$W$28),"")</f>
        <v/>
      </c>
      <c r="K29" s="51" t="str">
        <f>IF(AND('Riesgos de Gestión'!$AJ$29="Media",'Riesgos de Gestión'!$AL$29="Leve"),CONCATENATE("R4C",'Riesgos de Gestión'!$W$29),"")</f>
        <v/>
      </c>
      <c r="L29" s="51" t="str">
        <f>IF(AND('Riesgos de Gestión'!$AJ$30="Media",'Riesgos de Gestión'!$AL$30="Leve"),CONCATENATE("R4C",'Riesgos de Gestión'!$W$30),"")</f>
        <v/>
      </c>
      <c r="M29" s="51" t="str">
        <f>IF(AND('Riesgos de Gestión'!$AJ$31="Media",'Riesgos de Gestión'!$AL$31="Leve"),CONCATENATE("R4C",'Riesgos de Gestión'!$W$31),"")</f>
        <v/>
      </c>
      <c r="N29" s="51" t="str">
        <f>IF(AND('Riesgos de Gestión'!$AJ$32="Media",'Riesgos de Gestión'!$AL$32="Leve"),CONCATENATE("R4C",'Riesgos de Gestión'!$W$32),"")</f>
        <v/>
      </c>
      <c r="O29" s="52" t="str">
        <f>IF(AND('Riesgos de Gestión'!$AJ$33="Media",'Riesgos de Gestión'!$AL$33="Leve"),CONCATENATE("R4C",'Riesgos de Gestión'!$W$33),"")</f>
        <v/>
      </c>
      <c r="P29" s="50" t="str">
        <f>IF(AND('Riesgos de Gestión'!$AJ$28="Media",'Riesgos de Gestión'!$AL$28="Menor"),CONCATENATE("R4C",'Riesgos de Gestión'!$W$28),"")</f>
        <v/>
      </c>
      <c r="Q29" s="51" t="str">
        <f>IF(AND('Riesgos de Gestión'!$AJ$29="Media",'Riesgos de Gestión'!$AL$29="Menor"),CONCATENATE("R4C",'Riesgos de Gestión'!$W$29),"")</f>
        <v/>
      </c>
      <c r="R29" s="51" t="str">
        <f>IF(AND('Riesgos de Gestión'!$AJ$30="Media",'Riesgos de Gestión'!$AL$30="Menor"),CONCATENATE("R4C",'Riesgos de Gestión'!$W$30),"")</f>
        <v/>
      </c>
      <c r="S29" s="51" t="str">
        <f>IF(AND('Riesgos de Gestión'!$AJ$31="Media",'Riesgos de Gestión'!$AL$31="Menor"),CONCATENATE("R4C",'Riesgos de Gestión'!$W$31),"")</f>
        <v/>
      </c>
      <c r="T29" s="51" t="str">
        <f>IF(AND('Riesgos de Gestión'!$AJ$32="Media",'Riesgos de Gestión'!$AL$32="Menor"),CONCATENATE("R4C",'Riesgos de Gestión'!$W$32),"")</f>
        <v/>
      </c>
      <c r="U29" s="52" t="str">
        <f>IF(AND('Riesgos de Gestión'!$AJ$33="Media",'Riesgos de Gestión'!$AL$33="Menor"),CONCATENATE("R4C",'Riesgos de Gestión'!$W$33),"")</f>
        <v/>
      </c>
      <c r="V29" s="50" t="str">
        <f>IF(AND('Riesgos de Gestión'!$AJ$28="Media",'Riesgos de Gestión'!$AL$28="Moderado"),CONCATENATE("R4C",'Riesgos de Gestión'!$W$28),"")</f>
        <v/>
      </c>
      <c r="W29" s="51" t="str">
        <f>IF(AND('Riesgos de Gestión'!$AJ$29="Media",'Riesgos de Gestión'!$AL$29="Moderado"),CONCATENATE("R4C",'Riesgos de Gestión'!$W$29),"")</f>
        <v/>
      </c>
      <c r="X29" s="51" t="str">
        <f>IF(AND('Riesgos de Gestión'!$AJ$30="Media",'Riesgos de Gestión'!$AL$30="Moderado"),CONCATENATE("R4C",'Riesgos de Gestión'!$W$30),"")</f>
        <v/>
      </c>
      <c r="Y29" s="51" t="str">
        <f>IF(AND('Riesgos de Gestión'!$AJ$31="Media",'Riesgos de Gestión'!$AL$31="Moderado"),CONCATENATE("R4C",'Riesgos de Gestión'!$W$31),"")</f>
        <v/>
      </c>
      <c r="Z29" s="51" t="str">
        <f>IF(AND('Riesgos de Gestión'!$AJ$32="Media",'Riesgos de Gestión'!$AL$32="Moderado"),CONCATENATE("R4C",'Riesgos de Gestión'!$W$32),"")</f>
        <v/>
      </c>
      <c r="AA29" s="52" t="str">
        <f>IF(AND('Riesgos de Gestión'!$AJ$33="Media",'Riesgos de Gestión'!$AL$33="Moderado"),CONCATENATE("R4C",'Riesgos de Gestión'!$W$33),"")</f>
        <v/>
      </c>
      <c r="AB29" s="35" t="str">
        <f>IF(AND('Riesgos de Gestión'!$AJ$28="Media",'Riesgos de Gestión'!$AL$28="Mayor"),CONCATENATE("R4C",'Riesgos de Gestión'!$W$28),"")</f>
        <v/>
      </c>
      <c r="AC29" s="36" t="str">
        <f>IF(AND('Riesgos de Gestión'!$AJ$29="Media",'Riesgos de Gestión'!$AL$29="Mayor"),CONCATENATE("R4C",'Riesgos de Gestión'!$W$29),"")</f>
        <v/>
      </c>
      <c r="AD29" s="36" t="str">
        <f>IF(AND('Riesgos de Gestión'!$AJ$30="Media",'Riesgos de Gestión'!$AL$30="Mayor"),CONCATENATE("R4C",'Riesgos de Gestión'!$W$30),"")</f>
        <v/>
      </c>
      <c r="AE29" s="36" t="str">
        <f>IF(AND('Riesgos de Gestión'!$AJ$31="Media",'Riesgos de Gestión'!$AL$31="Mayor"),CONCATENATE("R4C",'Riesgos de Gestión'!$W$31),"")</f>
        <v/>
      </c>
      <c r="AF29" s="36" t="str">
        <f>IF(AND('Riesgos de Gestión'!$AJ$32="Media",'Riesgos de Gestión'!$AL$32="Mayor"),CONCATENATE("R4C",'Riesgos de Gestión'!$W$32),"")</f>
        <v/>
      </c>
      <c r="AG29" s="37" t="str">
        <f>IF(AND('Riesgos de Gestión'!$AJ$33="Media",'Riesgos de Gestión'!$AL$33="Mayor"),CONCATENATE("R4C",'Riesgos de Gestión'!$W$33),"")</f>
        <v/>
      </c>
      <c r="AH29" s="38" t="str">
        <f>IF(AND('Riesgos de Gestión'!$AJ$28="Media",'Riesgos de Gestión'!$AL$28="Catastrófico"),CONCATENATE("R4C",'Riesgos de Gestión'!$W$28),"")</f>
        <v/>
      </c>
      <c r="AI29" s="39" t="str">
        <f>IF(AND('Riesgos de Gestión'!$AJ$29="Media",'Riesgos de Gestión'!$AL$29="Catastrófico"),CONCATENATE("R4C",'Riesgos de Gestión'!$W$29),"")</f>
        <v/>
      </c>
      <c r="AJ29" s="39" t="str">
        <f>IF(AND('Riesgos de Gestión'!$AJ$30="Media",'Riesgos de Gestión'!$AL$30="Catastrófico"),CONCATENATE("R4C",'Riesgos de Gestión'!$W$30),"")</f>
        <v/>
      </c>
      <c r="AK29" s="39" t="str">
        <f>IF(AND('Riesgos de Gestión'!$AJ$31="Media",'Riesgos de Gestión'!$AL$31="Catastrófico"),CONCATENATE("R4C",'Riesgos de Gestión'!$W$31),"")</f>
        <v/>
      </c>
      <c r="AL29" s="39" t="str">
        <f>IF(AND('Riesgos de Gestión'!$AJ$32="Media",'Riesgos de Gestión'!$AL$32="Catastrófico"),CONCATENATE("R4C",'Riesgos de Gestión'!$W$32),"")</f>
        <v/>
      </c>
      <c r="AM29" s="40" t="str">
        <f>IF(AND('Riesgos de Gestión'!$AJ$33="Media",'Riesgos de Gestión'!$AL$33="Catastrófico"),CONCATENATE("R4C",'Riesgos de Gestión'!$W$33),"")</f>
        <v/>
      </c>
      <c r="AN29" s="66"/>
      <c r="AO29" s="624"/>
      <c r="AP29" s="625"/>
      <c r="AQ29" s="625"/>
      <c r="AR29" s="625"/>
      <c r="AS29" s="625"/>
      <c r="AT29" s="62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row>
    <row r="30" spans="1:76" ht="15" customHeight="1" x14ac:dyDescent="0.25">
      <c r="A30" s="66"/>
      <c r="B30" s="496"/>
      <c r="C30" s="496"/>
      <c r="D30" s="497"/>
      <c r="E30" s="595"/>
      <c r="F30" s="594"/>
      <c r="G30" s="594"/>
      <c r="H30" s="594"/>
      <c r="I30" s="610"/>
      <c r="J30" s="50" t="str">
        <f>IF(AND('Riesgos de Gestión'!$AJ$34="Media",'Riesgos de Gestión'!$AL$34="Leve"),CONCATENATE("R5C",'Riesgos de Gestión'!$W$34),"")</f>
        <v/>
      </c>
      <c r="K30" s="51" t="str">
        <f>IF(AND('Riesgos de Gestión'!$AJ$35="Media",'Riesgos de Gestión'!$AL$35="Leve"),CONCATENATE("R5C",'Riesgos de Gestión'!$W$35),"")</f>
        <v/>
      </c>
      <c r="L30" s="51" t="str">
        <f>IF(AND('Riesgos de Gestión'!$AJ$36="Media",'Riesgos de Gestión'!$AL$36="Leve"),CONCATENATE("R5C",'Riesgos de Gestión'!$W$36),"")</f>
        <v/>
      </c>
      <c r="M30" s="51" t="str">
        <f>IF(AND('Riesgos de Gestión'!$AJ$37="Media",'Riesgos de Gestión'!$AL$37="Leve"),CONCATENATE("R5C",'Riesgos de Gestión'!$W$37),"")</f>
        <v/>
      </c>
      <c r="N30" s="51" t="str">
        <f>IF(AND('Riesgos de Gestión'!$AJ$38="Media",'Riesgos de Gestión'!$AL$38="Leve"),CONCATENATE("R5C",'Riesgos de Gestión'!$W$38),"")</f>
        <v/>
      </c>
      <c r="O30" s="52" t="str">
        <f>IF(AND('Riesgos de Gestión'!$AJ$39="Media",'Riesgos de Gestión'!$AL$39="Leve"),CONCATENATE("R5C",'Riesgos de Gestión'!$W$39),"")</f>
        <v/>
      </c>
      <c r="P30" s="50" t="str">
        <f>IF(AND('Riesgos de Gestión'!$AJ$34="Media",'Riesgos de Gestión'!$AL$34="Menor"),CONCATENATE("R5C",'Riesgos de Gestión'!$W$34),"")</f>
        <v/>
      </c>
      <c r="Q30" s="51" t="str">
        <f>IF(AND('Riesgos de Gestión'!$AJ$35="Media",'Riesgos de Gestión'!$AL$35="Menor"),CONCATENATE("R5C",'Riesgos de Gestión'!$W$35),"")</f>
        <v/>
      </c>
      <c r="R30" s="51" t="str">
        <f>IF(AND('Riesgos de Gestión'!$AJ$36="Media",'Riesgos de Gestión'!$AL$36="Menor"),CONCATENATE("R5C",'Riesgos de Gestión'!$W$36),"")</f>
        <v/>
      </c>
      <c r="S30" s="51" t="str">
        <f>IF(AND('Riesgos de Gestión'!$AJ$37="Media",'Riesgos de Gestión'!$AL$37="Menor"),CONCATENATE("R5C",'Riesgos de Gestión'!$W$37),"")</f>
        <v/>
      </c>
      <c r="T30" s="51" t="str">
        <f>IF(AND('Riesgos de Gestión'!$AJ$38="Media",'Riesgos de Gestión'!$AL$38="Menor"),CONCATENATE("R5C",'Riesgos de Gestión'!$W$38),"")</f>
        <v/>
      </c>
      <c r="U30" s="52" t="str">
        <f>IF(AND('Riesgos de Gestión'!$AJ$39="Media",'Riesgos de Gestión'!$AL$39="Menor"),CONCATENATE("R5C",'Riesgos de Gestión'!$W$39),"")</f>
        <v/>
      </c>
      <c r="V30" s="50" t="str">
        <f>IF(AND('Riesgos de Gestión'!$AJ$34="Media",'Riesgos de Gestión'!$AL$34="Moderado"),CONCATENATE("R5C",'Riesgos de Gestión'!$W$34),"")</f>
        <v>R5C1</v>
      </c>
      <c r="W30" s="51" t="str">
        <f>IF(AND('Riesgos de Gestión'!$AJ$35="Media",'Riesgos de Gestión'!$AL$35="Moderado"),CONCATENATE("R5C",'Riesgos de Gestión'!$W$35),"")</f>
        <v/>
      </c>
      <c r="X30" s="51" t="str">
        <f>IF(AND('Riesgos de Gestión'!$AJ$36="Media",'Riesgos de Gestión'!$AL$36="Moderado"),CONCATENATE("R5C",'Riesgos de Gestión'!$W$36),"")</f>
        <v/>
      </c>
      <c r="Y30" s="51" t="str">
        <f>IF(AND('Riesgos de Gestión'!$AJ$37="Media",'Riesgos de Gestión'!$AL$37="Moderado"),CONCATENATE("R5C",'Riesgos de Gestión'!$W$37),"")</f>
        <v/>
      </c>
      <c r="Z30" s="51" t="str">
        <f>IF(AND('Riesgos de Gestión'!$AJ$38="Media",'Riesgos de Gestión'!$AL$38="Moderado"),CONCATENATE("R5C",'Riesgos de Gestión'!$W$38),"")</f>
        <v/>
      </c>
      <c r="AA30" s="52" t="str">
        <f>IF(AND('Riesgos de Gestión'!$AJ$39="Media",'Riesgos de Gestión'!$AL$39="Moderado"),CONCATENATE("R5C",'Riesgos de Gestión'!$W$39),"")</f>
        <v/>
      </c>
      <c r="AB30" s="35" t="str">
        <f>IF(AND('Riesgos de Gestión'!$AJ$34="Media",'Riesgos de Gestión'!$AL$34="Mayor"),CONCATENATE("R5C",'Riesgos de Gestión'!$W$34),"")</f>
        <v/>
      </c>
      <c r="AC30" s="36" t="str">
        <f>IF(AND('Riesgos de Gestión'!$AJ$35="Media",'Riesgos de Gestión'!$AL$35="Mayor"),CONCATENATE("R5C",'Riesgos de Gestión'!$W$35),"")</f>
        <v/>
      </c>
      <c r="AD30" s="36" t="str">
        <f>IF(AND('Riesgos de Gestión'!$AJ$36="Media",'Riesgos de Gestión'!$AL$36="Mayor"),CONCATENATE("R5C",'Riesgos de Gestión'!$W$36),"")</f>
        <v/>
      </c>
      <c r="AE30" s="36" t="str">
        <f>IF(AND('Riesgos de Gestión'!$AJ$37="Media",'Riesgos de Gestión'!$AL$37="Mayor"),CONCATENATE("R5C",'Riesgos de Gestión'!$W$37),"")</f>
        <v/>
      </c>
      <c r="AF30" s="36" t="str">
        <f>IF(AND('Riesgos de Gestión'!$AJ$38="Media",'Riesgos de Gestión'!$AL$38="Mayor"),CONCATENATE("R5C",'Riesgos de Gestión'!$W$38),"")</f>
        <v/>
      </c>
      <c r="AG30" s="37" t="str">
        <f>IF(AND('Riesgos de Gestión'!$AJ$39="Media",'Riesgos de Gestión'!$AL$39="Mayor"),CONCATENATE("R5C",'Riesgos de Gestión'!$W$39),"")</f>
        <v/>
      </c>
      <c r="AH30" s="38" t="str">
        <f>IF(AND('Riesgos de Gestión'!$AJ$34="Media",'Riesgos de Gestión'!$AL$34="Catastrófico"),CONCATENATE("R5C",'Riesgos de Gestión'!$W$34),"")</f>
        <v/>
      </c>
      <c r="AI30" s="39" t="str">
        <f>IF(AND('Riesgos de Gestión'!$AJ$35="Media",'Riesgos de Gestión'!$AL$35="Catastrófico"),CONCATENATE("R5C",'Riesgos de Gestión'!$W$35),"")</f>
        <v/>
      </c>
      <c r="AJ30" s="39" t="str">
        <f>IF(AND('Riesgos de Gestión'!$AJ$36="Media",'Riesgos de Gestión'!$AL$36="Catastrófico"),CONCATENATE("R5C",'Riesgos de Gestión'!$W$36),"")</f>
        <v/>
      </c>
      <c r="AK30" s="39" t="str">
        <f>IF(AND('Riesgos de Gestión'!$AJ$37="Media",'Riesgos de Gestión'!$AL$37="Catastrófico"),CONCATENATE("R5C",'Riesgos de Gestión'!$W$37),"")</f>
        <v/>
      </c>
      <c r="AL30" s="39" t="str">
        <f>IF(AND('Riesgos de Gestión'!$AJ$38="Media",'Riesgos de Gestión'!$AL$38="Catastrófico"),CONCATENATE("R5C",'Riesgos de Gestión'!$W$38),"")</f>
        <v/>
      </c>
      <c r="AM30" s="40" t="str">
        <f>IF(AND('Riesgos de Gestión'!$AJ$39="Media",'Riesgos de Gestión'!$AL$39="Catastrófico"),CONCATENATE("R5C",'Riesgos de Gestión'!$W$39),"")</f>
        <v/>
      </c>
      <c r="AN30" s="66"/>
      <c r="AO30" s="624"/>
      <c r="AP30" s="625"/>
      <c r="AQ30" s="625"/>
      <c r="AR30" s="625"/>
      <c r="AS30" s="625"/>
      <c r="AT30" s="62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row>
    <row r="31" spans="1:76" ht="15" customHeight="1" x14ac:dyDescent="0.25">
      <c r="A31" s="66"/>
      <c r="B31" s="496"/>
      <c r="C31" s="496"/>
      <c r="D31" s="497"/>
      <c r="E31" s="595"/>
      <c r="F31" s="594"/>
      <c r="G31" s="594"/>
      <c r="H31" s="594"/>
      <c r="I31" s="610"/>
      <c r="J31" s="50" t="str">
        <f>IF(AND('Riesgos de Gestión'!$AJ$40="Media",'Riesgos de Gestión'!$AL$40="Leve"),CONCATENATE("R6C",'Riesgos de Gestión'!$W$40),"")</f>
        <v/>
      </c>
      <c r="K31" s="51" t="str">
        <f>IF(AND('Riesgos de Gestión'!$AJ$41="Media",'Riesgos de Gestión'!$AL$41="Leve"),CONCATENATE("R6C",'Riesgos de Gestión'!$W$41),"")</f>
        <v/>
      </c>
      <c r="L31" s="51" t="str">
        <f>IF(AND('Riesgos de Gestión'!$AJ$42="Media",'Riesgos de Gestión'!$AL$42="Leve"),CONCATENATE("R6C",'Riesgos de Gestión'!$W$42),"")</f>
        <v/>
      </c>
      <c r="M31" s="51" t="str">
        <f>IF(AND('Riesgos de Gestión'!$AJ$43="Media",'Riesgos de Gestión'!$AL$43="Leve"),CONCATENATE("R6C",'Riesgos de Gestión'!$W$43),"")</f>
        <v/>
      </c>
      <c r="N31" s="51" t="str">
        <f>IF(AND('Riesgos de Gestión'!$AJ$44="Media",'Riesgos de Gestión'!$AL$44="Leve"),CONCATENATE("R6C",'Riesgos de Gestión'!$W$44),"")</f>
        <v/>
      </c>
      <c r="O31" s="52" t="str">
        <f>IF(AND('Riesgos de Gestión'!$AJ$45="Media",'Riesgos de Gestión'!$AL$45="Leve"),CONCATENATE("R6C",'Riesgos de Gestión'!$W$45),"")</f>
        <v/>
      </c>
      <c r="P31" s="50" t="str">
        <f>IF(AND('Riesgos de Gestión'!$AJ$40="Media",'Riesgos de Gestión'!$AL$40="Menor"),CONCATENATE("R6C",'Riesgos de Gestión'!$W$40),"")</f>
        <v/>
      </c>
      <c r="Q31" s="51" t="str">
        <f>IF(AND('Riesgos de Gestión'!$AJ$41="Media",'Riesgos de Gestión'!$AL$41="Menor"),CONCATENATE("R6C",'Riesgos de Gestión'!$W$41),"")</f>
        <v/>
      </c>
      <c r="R31" s="51" t="str">
        <f>IF(AND('Riesgos de Gestión'!$AJ$42="Media",'Riesgos de Gestión'!$AL$42="Menor"),CONCATENATE("R6C",'Riesgos de Gestión'!$W$42),"")</f>
        <v/>
      </c>
      <c r="S31" s="51" t="str">
        <f>IF(AND('Riesgos de Gestión'!$AJ$43="Media",'Riesgos de Gestión'!$AL$43="Menor"),CONCATENATE("R6C",'Riesgos de Gestión'!$W$43),"")</f>
        <v/>
      </c>
      <c r="T31" s="51" t="str">
        <f>IF(AND('Riesgos de Gestión'!$AJ$44="Media",'Riesgos de Gestión'!$AL$44="Menor"),CONCATENATE("R6C",'Riesgos de Gestión'!$W$44),"")</f>
        <v/>
      </c>
      <c r="U31" s="52" t="str">
        <f>IF(AND('Riesgos de Gestión'!$AJ$45="Media",'Riesgos de Gestión'!$AL$45="Menor"),CONCATENATE("R6C",'Riesgos de Gestión'!$W$45),"")</f>
        <v/>
      </c>
      <c r="V31" s="50" t="str">
        <f>IF(AND('Riesgos de Gestión'!$AJ$40="Media",'Riesgos de Gestión'!$AL$40="Moderado"),CONCATENATE("R6C",'Riesgos de Gestión'!$W$40),"")</f>
        <v/>
      </c>
      <c r="W31" s="51" t="str">
        <f>IF(AND('Riesgos de Gestión'!$AJ$41="Media",'Riesgos de Gestión'!$AL$41="Moderado"),CONCATENATE("R6C",'Riesgos de Gestión'!$W$41),"")</f>
        <v/>
      </c>
      <c r="X31" s="51" t="str">
        <f>IF(AND('Riesgos de Gestión'!$AJ$42="Media",'Riesgos de Gestión'!$AL$42="Moderado"),CONCATENATE("R6C",'Riesgos de Gestión'!$W$42),"")</f>
        <v/>
      </c>
      <c r="Y31" s="51" t="str">
        <f>IF(AND('Riesgos de Gestión'!$AJ$43="Media",'Riesgos de Gestión'!$AL$43="Moderado"),CONCATENATE("R6C",'Riesgos de Gestión'!$W$43),"")</f>
        <v/>
      </c>
      <c r="Z31" s="51" t="str">
        <f>IF(AND('Riesgos de Gestión'!$AJ$44="Media",'Riesgos de Gestión'!$AL$44="Moderado"),CONCATENATE("R6C",'Riesgos de Gestión'!$W$44),"")</f>
        <v/>
      </c>
      <c r="AA31" s="52" t="str">
        <f>IF(AND('Riesgos de Gestión'!$AJ$45="Media",'Riesgos de Gestión'!$AL$45="Moderado"),CONCATENATE("R6C",'Riesgos de Gestión'!$W$45),"")</f>
        <v/>
      </c>
      <c r="AB31" s="35" t="str">
        <f>IF(AND('Riesgos de Gestión'!$AJ$40="Media",'Riesgos de Gestión'!$AL$40="Mayor"),CONCATENATE("R6C",'Riesgos de Gestión'!$W$40),"")</f>
        <v/>
      </c>
      <c r="AC31" s="36" t="str">
        <f>IF(AND('Riesgos de Gestión'!$AJ$41="Media",'Riesgos de Gestión'!$AL$41="Mayor"),CONCATENATE("R6C",'Riesgos de Gestión'!$W$41),"")</f>
        <v/>
      </c>
      <c r="AD31" s="36" t="str">
        <f>IF(AND('Riesgos de Gestión'!$AJ$42="Media",'Riesgos de Gestión'!$AL$42="Mayor"),CONCATENATE("R6C",'Riesgos de Gestión'!$W$42),"")</f>
        <v/>
      </c>
      <c r="AE31" s="36" t="str">
        <f>IF(AND('Riesgos de Gestión'!$AJ$43="Media",'Riesgos de Gestión'!$AL$43="Mayor"),CONCATENATE("R6C",'Riesgos de Gestión'!$W$43),"")</f>
        <v/>
      </c>
      <c r="AF31" s="36" t="str">
        <f>IF(AND('Riesgos de Gestión'!$AJ$44="Media",'Riesgos de Gestión'!$AL$44="Mayor"),CONCATENATE("R6C",'Riesgos de Gestión'!$W$44),"")</f>
        <v/>
      </c>
      <c r="AG31" s="37" t="str">
        <f>IF(AND('Riesgos de Gestión'!$AJ$45="Media",'Riesgos de Gestión'!$AL$45="Mayor"),CONCATENATE("R6C",'Riesgos de Gestión'!$W$45),"")</f>
        <v/>
      </c>
      <c r="AH31" s="38" t="str">
        <f>IF(AND('Riesgos de Gestión'!$AJ$40="Media",'Riesgos de Gestión'!$AL$40="Catastrófico"),CONCATENATE("R6C",'Riesgos de Gestión'!$W$40),"")</f>
        <v/>
      </c>
      <c r="AI31" s="39" t="str">
        <f>IF(AND('Riesgos de Gestión'!$AJ$41="Media",'Riesgos de Gestión'!$AL$41="Catastrófico"),CONCATENATE("R6C",'Riesgos de Gestión'!$W$41),"")</f>
        <v/>
      </c>
      <c r="AJ31" s="39" t="str">
        <f>IF(AND('Riesgos de Gestión'!$AJ$42="Media",'Riesgos de Gestión'!$AL$42="Catastrófico"),CONCATENATE("R6C",'Riesgos de Gestión'!$W$42),"")</f>
        <v/>
      </c>
      <c r="AK31" s="39" t="str">
        <f>IF(AND('Riesgos de Gestión'!$AJ$43="Media",'Riesgos de Gestión'!$AL$43="Catastrófico"),CONCATENATE("R6C",'Riesgos de Gestión'!$W$43),"")</f>
        <v/>
      </c>
      <c r="AL31" s="39" t="str">
        <f>IF(AND('Riesgos de Gestión'!$AJ$44="Media",'Riesgos de Gestión'!$AL$44="Catastrófico"),CONCATENATE("R6C",'Riesgos de Gestión'!$W$44),"")</f>
        <v/>
      </c>
      <c r="AM31" s="40" t="str">
        <f>IF(AND('Riesgos de Gestión'!$AJ$45="Media",'Riesgos de Gestión'!$AL$45="Catastrófico"),CONCATENATE("R6C",'Riesgos de Gestión'!$W$45),"")</f>
        <v/>
      </c>
      <c r="AN31" s="66"/>
      <c r="AO31" s="624"/>
      <c r="AP31" s="625"/>
      <c r="AQ31" s="625"/>
      <c r="AR31" s="625"/>
      <c r="AS31" s="625"/>
      <c r="AT31" s="62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row>
    <row r="32" spans="1:76" ht="15" customHeight="1" x14ac:dyDescent="0.25">
      <c r="A32" s="66"/>
      <c r="B32" s="496"/>
      <c r="C32" s="496"/>
      <c r="D32" s="497"/>
      <c r="E32" s="595"/>
      <c r="F32" s="594"/>
      <c r="G32" s="594"/>
      <c r="H32" s="594"/>
      <c r="I32" s="610"/>
      <c r="J32" s="50" t="str">
        <f>IF(AND('Riesgos de Gestión'!$AJ$46="Media",'Riesgos de Gestión'!$AL$46="Leve"),CONCATENATE("R7C",'Riesgos de Gestión'!$W$46),"")</f>
        <v/>
      </c>
      <c r="K32" s="51" t="str">
        <f>IF(AND('Riesgos de Gestión'!$AJ$47="Media",'Riesgos de Gestión'!$AL$47="Leve"),CONCATENATE("R7C",'Riesgos de Gestión'!$W$47),"")</f>
        <v/>
      </c>
      <c r="L32" s="51" t="str">
        <f>IF(AND('Riesgos de Gestión'!$AJ$48="Media",'Riesgos de Gestión'!$AL$48="Leve"),CONCATENATE("R7C",'Riesgos de Gestión'!$W$48),"")</f>
        <v/>
      </c>
      <c r="M32" s="51" t="str">
        <f>IF(AND('Riesgos de Gestión'!$AJ$49="Media",'Riesgos de Gestión'!$AL$49="Leve"),CONCATENATE("R7C",'Riesgos de Gestión'!$W$49),"")</f>
        <v/>
      </c>
      <c r="N32" s="51" t="str">
        <f>IF(AND('Riesgos de Gestión'!$AJ$50="Media",'Riesgos de Gestión'!$AL$50="Leve"),CONCATENATE("R7C",'Riesgos de Gestión'!$W$50),"")</f>
        <v/>
      </c>
      <c r="O32" s="52" t="str">
        <f>IF(AND('Riesgos de Gestión'!$AJ$51="Media",'Riesgos de Gestión'!$AL$51="Leve"),CONCATENATE("R7C",'Riesgos de Gestión'!$W$51),"")</f>
        <v/>
      </c>
      <c r="P32" s="50" t="str">
        <f>IF(AND('Riesgos de Gestión'!$AJ$46="Media",'Riesgos de Gestión'!$AL$46="Menor"),CONCATENATE("R7C",'Riesgos de Gestión'!$W$46),"")</f>
        <v/>
      </c>
      <c r="Q32" s="51" t="str">
        <f>IF(AND('Riesgos de Gestión'!$AJ$47="Media",'Riesgos de Gestión'!$AL$47="Menor"),CONCATENATE("R7C",'Riesgos de Gestión'!$W$47),"")</f>
        <v/>
      </c>
      <c r="R32" s="51" t="str">
        <f>IF(AND('Riesgos de Gestión'!$AJ$48="Media",'Riesgos de Gestión'!$AL$48="Menor"),CONCATENATE("R7C",'Riesgos de Gestión'!$W$48),"")</f>
        <v/>
      </c>
      <c r="S32" s="51" t="str">
        <f>IF(AND('Riesgos de Gestión'!$AJ$49="Media",'Riesgos de Gestión'!$AL$49="Menor"),CONCATENATE("R7C",'Riesgos de Gestión'!$W$49),"")</f>
        <v/>
      </c>
      <c r="T32" s="51" t="str">
        <f>IF(AND('Riesgos de Gestión'!$AJ$50="Media",'Riesgos de Gestión'!$AL$50="Menor"),CONCATENATE("R7C",'Riesgos de Gestión'!$W$50),"")</f>
        <v/>
      </c>
      <c r="U32" s="52" t="str">
        <f>IF(AND('Riesgos de Gestión'!$AJ$51="Media",'Riesgos de Gestión'!$AL$51="Menor"),CONCATENATE("R7C",'Riesgos de Gestión'!$W$51),"")</f>
        <v/>
      </c>
      <c r="V32" s="50" t="str">
        <f>IF(AND('Riesgos de Gestión'!$AJ$46="Media",'Riesgos de Gestión'!$AL$46="Moderado"),CONCATENATE("R7C",'Riesgos de Gestión'!$W$46),"")</f>
        <v/>
      </c>
      <c r="W32" s="51" t="str">
        <f>IF(AND('Riesgos de Gestión'!$AJ$47="Media",'Riesgos de Gestión'!$AL$47="Moderado"),CONCATENATE("R7C",'Riesgos de Gestión'!$W$47),"")</f>
        <v/>
      </c>
      <c r="X32" s="51" t="str">
        <f>IF(AND('Riesgos de Gestión'!$AJ$48="Media",'Riesgos de Gestión'!$AL$48="Moderado"),CONCATENATE("R7C",'Riesgos de Gestión'!$W$48),"")</f>
        <v/>
      </c>
      <c r="Y32" s="51" t="str">
        <f>IF(AND('Riesgos de Gestión'!$AJ$49="Media",'Riesgos de Gestión'!$AL$49="Moderado"),CONCATENATE("R7C",'Riesgos de Gestión'!$W$49),"")</f>
        <v/>
      </c>
      <c r="Z32" s="51" t="str">
        <f>IF(AND('Riesgos de Gestión'!$AJ$50="Media",'Riesgos de Gestión'!$AL$50="Moderado"),CONCATENATE("R7C",'Riesgos de Gestión'!$W$50),"")</f>
        <v/>
      </c>
      <c r="AA32" s="52" t="str">
        <f>IF(AND('Riesgos de Gestión'!$AJ$51="Media",'Riesgos de Gestión'!$AL$51="Moderado"),CONCATENATE("R7C",'Riesgos de Gestión'!$W$51),"")</f>
        <v/>
      </c>
      <c r="AB32" s="35" t="str">
        <f>IF(AND('Riesgos de Gestión'!$AJ$46="Media",'Riesgos de Gestión'!$AL$46="Mayor"),CONCATENATE("R7C",'Riesgos de Gestión'!$W$46),"")</f>
        <v/>
      </c>
      <c r="AC32" s="36" t="str">
        <f>IF(AND('Riesgos de Gestión'!$AJ$47="Media",'Riesgos de Gestión'!$AL$47="Mayor"),CONCATENATE("R7C",'Riesgos de Gestión'!$W$47),"")</f>
        <v/>
      </c>
      <c r="AD32" s="36" t="str">
        <f>IF(AND('Riesgos de Gestión'!$AJ$48="Media",'Riesgos de Gestión'!$AL$48="Mayor"),CONCATENATE("R7C",'Riesgos de Gestión'!$W$48),"")</f>
        <v/>
      </c>
      <c r="AE32" s="36" t="str">
        <f>IF(AND('Riesgos de Gestión'!$AJ$49="Media",'Riesgos de Gestión'!$AL$49="Mayor"),CONCATENATE("R7C",'Riesgos de Gestión'!$W$49),"")</f>
        <v/>
      </c>
      <c r="AF32" s="36" t="str">
        <f>IF(AND('Riesgos de Gestión'!$AJ$50="Media",'Riesgos de Gestión'!$AL$50="Mayor"),CONCATENATE("R7C",'Riesgos de Gestión'!$W$50),"")</f>
        <v/>
      </c>
      <c r="AG32" s="37" t="str">
        <f>IF(AND('Riesgos de Gestión'!$AJ$51="Media",'Riesgos de Gestión'!$AL$51="Mayor"),CONCATENATE("R7C",'Riesgos de Gestión'!$W$51),"")</f>
        <v/>
      </c>
      <c r="AH32" s="38" t="str">
        <f>IF(AND('Riesgos de Gestión'!$AJ$46="Media",'Riesgos de Gestión'!$AL$46="Catastrófico"),CONCATENATE("R7C",'Riesgos de Gestión'!$W$46),"")</f>
        <v/>
      </c>
      <c r="AI32" s="39" t="str">
        <f>IF(AND('Riesgos de Gestión'!$AJ$47="Media",'Riesgos de Gestión'!$AL$47="Catastrófico"),CONCATENATE("R7C",'Riesgos de Gestión'!$W$47),"")</f>
        <v/>
      </c>
      <c r="AJ32" s="39" t="str">
        <f>IF(AND('Riesgos de Gestión'!$AJ$48="Media",'Riesgos de Gestión'!$AL$48="Catastrófico"),CONCATENATE("R7C",'Riesgos de Gestión'!$W$48),"")</f>
        <v/>
      </c>
      <c r="AK32" s="39" t="str">
        <f>IF(AND('Riesgos de Gestión'!$AJ$49="Media",'Riesgos de Gestión'!$AL$49="Catastrófico"),CONCATENATE("R7C",'Riesgos de Gestión'!$W$49),"")</f>
        <v/>
      </c>
      <c r="AL32" s="39" t="str">
        <f>IF(AND('Riesgos de Gestión'!$AJ$50="Media",'Riesgos de Gestión'!$AL$50="Catastrófico"),CONCATENATE("R7C",'Riesgos de Gestión'!$W$50),"")</f>
        <v/>
      </c>
      <c r="AM32" s="40" t="str">
        <f>IF(AND('Riesgos de Gestión'!$AJ$51="Media",'Riesgos de Gestión'!$AL$51="Catastrófico"),CONCATENATE("R7C",'Riesgos de Gestión'!$W$51),"")</f>
        <v/>
      </c>
      <c r="AN32" s="66"/>
      <c r="AO32" s="624"/>
      <c r="AP32" s="625"/>
      <c r="AQ32" s="625"/>
      <c r="AR32" s="625"/>
      <c r="AS32" s="625"/>
      <c r="AT32" s="626"/>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row>
    <row r="33" spans="1:80" ht="15" customHeight="1" x14ac:dyDescent="0.25">
      <c r="A33" s="66"/>
      <c r="B33" s="496"/>
      <c r="C33" s="496"/>
      <c r="D33" s="497"/>
      <c r="E33" s="595"/>
      <c r="F33" s="594"/>
      <c r="G33" s="594"/>
      <c r="H33" s="594"/>
      <c r="I33" s="610"/>
      <c r="J33" s="50" t="str">
        <f>IF(AND('Riesgos de Gestión'!$AJ$52="Media",'Riesgos de Gestión'!$AL$52="Leve"),CONCATENATE("R8C",'Riesgos de Gestión'!$W$52),"")</f>
        <v/>
      </c>
      <c r="K33" s="51" t="str">
        <f>IF(AND('Riesgos de Gestión'!$AJ$53="Media",'Riesgos de Gestión'!$AL$53="Leve"),CONCATENATE("R8C",'Riesgos de Gestión'!$W$53),"")</f>
        <v/>
      </c>
      <c r="L33" s="51" t="str">
        <f>IF(AND('Riesgos de Gestión'!$AJ$54="Media",'Riesgos de Gestión'!$AL$54="Leve"),CONCATENATE("R8C",'Riesgos de Gestión'!$W$54),"")</f>
        <v/>
      </c>
      <c r="M33" s="51" t="str">
        <f>IF(AND('Riesgos de Gestión'!$AJ$55="Media",'Riesgos de Gestión'!$AL$55="Leve"),CONCATENATE("R8C",'Riesgos de Gestión'!$W$55),"")</f>
        <v/>
      </c>
      <c r="N33" s="51" t="str">
        <f>IF(AND('Riesgos de Gestión'!$AJ$56="Media",'Riesgos de Gestión'!$AL$56="Leve"),CONCATENATE("R8C",'Riesgos de Gestión'!$W$56),"")</f>
        <v/>
      </c>
      <c r="O33" s="52" t="str">
        <f>IF(AND('Riesgos de Gestión'!$AJ$57="Media",'Riesgos de Gestión'!$AL$57="Leve"),CONCATENATE("R8C",'Riesgos de Gestión'!$W$57),"")</f>
        <v/>
      </c>
      <c r="P33" s="50" t="str">
        <f>IF(AND('Riesgos de Gestión'!$AJ$52="Media",'Riesgos de Gestión'!$AL$52="Menor"),CONCATENATE("R8C",'Riesgos de Gestión'!$W$52),"")</f>
        <v/>
      </c>
      <c r="Q33" s="51" t="str">
        <f>IF(AND('Riesgos de Gestión'!$AJ$53="Media",'Riesgos de Gestión'!$AL$53="Menor"),CONCATENATE("R8C",'Riesgos de Gestión'!$W$53),"")</f>
        <v/>
      </c>
      <c r="R33" s="51" t="str">
        <f>IF(AND('Riesgos de Gestión'!$AJ$54="Media",'Riesgos de Gestión'!$AL$54="Menor"),CONCATENATE("R8C",'Riesgos de Gestión'!$W$54),"")</f>
        <v/>
      </c>
      <c r="S33" s="51" t="str">
        <f>IF(AND('Riesgos de Gestión'!$AJ$55="Media",'Riesgos de Gestión'!$AL$55="Menor"),CONCATENATE("R8C",'Riesgos de Gestión'!$W$55),"")</f>
        <v/>
      </c>
      <c r="T33" s="51" t="str">
        <f>IF(AND('Riesgos de Gestión'!$AJ$56="Media",'Riesgos de Gestión'!$AL$56="Menor"),CONCATENATE("R8C",'Riesgos de Gestión'!$W$56),"")</f>
        <v/>
      </c>
      <c r="U33" s="52" t="str">
        <f>IF(AND('Riesgos de Gestión'!$AJ$57="Media",'Riesgos de Gestión'!$AL$57="Menor"),CONCATENATE("R8C",'Riesgos de Gestión'!$W$57),"")</f>
        <v/>
      </c>
      <c r="V33" s="50" t="str">
        <f>IF(AND('Riesgos de Gestión'!$AJ$52="Media",'Riesgos de Gestión'!$AL$52="Moderado"),CONCATENATE("R8C",'Riesgos de Gestión'!$W$52),"")</f>
        <v>R8C1</v>
      </c>
      <c r="W33" s="51" t="str">
        <f>IF(AND('Riesgos de Gestión'!$AJ$53="Media",'Riesgos de Gestión'!$AL$53="Moderado"),CONCATENATE("R8C",'Riesgos de Gestión'!$W$53),"")</f>
        <v>R8C2</v>
      </c>
      <c r="X33" s="51" t="str">
        <f>IF(AND('Riesgos de Gestión'!$AJ$54="Media",'Riesgos de Gestión'!$AL$54="Moderado"),CONCATENATE("R8C",'Riesgos de Gestión'!$W$54),"")</f>
        <v/>
      </c>
      <c r="Y33" s="51" t="str">
        <f>IF(AND('Riesgos de Gestión'!$AJ$55="Media",'Riesgos de Gestión'!$AL$55="Moderado"),CONCATENATE("R8C",'Riesgos de Gestión'!$W$55),"")</f>
        <v/>
      </c>
      <c r="Z33" s="51" t="str">
        <f>IF(AND('Riesgos de Gestión'!$AJ$56="Media",'Riesgos de Gestión'!$AL$56="Moderado"),CONCATENATE("R8C",'Riesgos de Gestión'!$W$56),"")</f>
        <v/>
      </c>
      <c r="AA33" s="52" t="str">
        <f>IF(AND('Riesgos de Gestión'!$AJ$57="Media",'Riesgos de Gestión'!$AL$57="Moderado"),CONCATENATE("R8C",'Riesgos de Gestión'!$W$57),"")</f>
        <v/>
      </c>
      <c r="AB33" s="35" t="str">
        <f>IF(AND('Riesgos de Gestión'!$AJ$52="Media",'Riesgos de Gestión'!$AL$52="Mayor"),CONCATENATE("R8C",'Riesgos de Gestión'!$W$52),"")</f>
        <v/>
      </c>
      <c r="AC33" s="36" t="str">
        <f>IF(AND('Riesgos de Gestión'!$AJ$53="Media",'Riesgos de Gestión'!$AL$53="Mayor"),CONCATENATE("R8C",'Riesgos de Gestión'!$W$53),"")</f>
        <v/>
      </c>
      <c r="AD33" s="36" t="str">
        <f>IF(AND('Riesgos de Gestión'!$AJ$54="Media",'Riesgos de Gestión'!$AL$54="Mayor"),CONCATENATE("R8C",'Riesgos de Gestión'!$W$54),"")</f>
        <v/>
      </c>
      <c r="AE33" s="36" t="str">
        <f>IF(AND('Riesgos de Gestión'!$AJ$55="Media",'Riesgos de Gestión'!$AL$55="Mayor"),CONCATENATE("R8C",'Riesgos de Gestión'!$W$55),"")</f>
        <v/>
      </c>
      <c r="AF33" s="36" t="str">
        <f>IF(AND('Riesgos de Gestión'!$AJ$56="Media",'Riesgos de Gestión'!$AL$56="Mayor"),CONCATENATE("R8C",'Riesgos de Gestión'!$W$56),"")</f>
        <v/>
      </c>
      <c r="AG33" s="37" t="str">
        <f>IF(AND('Riesgos de Gestión'!$AJ$57="Media",'Riesgos de Gestión'!$AL$57="Mayor"),CONCATENATE("R8C",'Riesgos de Gestión'!$W$57),"")</f>
        <v/>
      </c>
      <c r="AH33" s="38" t="str">
        <f>IF(AND('Riesgos de Gestión'!$AJ$52="Media",'Riesgos de Gestión'!$AL$52="Catastrófico"),CONCATENATE("R8C",'Riesgos de Gestión'!$W$52),"")</f>
        <v/>
      </c>
      <c r="AI33" s="39" t="str">
        <f>IF(AND('Riesgos de Gestión'!$AJ$53="Media",'Riesgos de Gestión'!$AL$53="Catastrófico"),CONCATENATE("R8C",'Riesgos de Gestión'!$W$53),"")</f>
        <v/>
      </c>
      <c r="AJ33" s="39" t="str">
        <f>IF(AND('Riesgos de Gestión'!$AJ$54="Media",'Riesgos de Gestión'!$AL$54="Catastrófico"),CONCATENATE("R8C",'Riesgos de Gestión'!$W$54),"")</f>
        <v/>
      </c>
      <c r="AK33" s="39" t="str">
        <f>IF(AND('Riesgos de Gestión'!$AJ$55="Media",'Riesgos de Gestión'!$AL$55="Catastrófico"),CONCATENATE("R8C",'Riesgos de Gestión'!$W$55),"")</f>
        <v/>
      </c>
      <c r="AL33" s="39" t="str">
        <f>IF(AND('Riesgos de Gestión'!$AJ$56="Media",'Riesgos de Gestión'!$AL$56="Catastrófico"),CONCATENATE("R8C",'Riesgos de Gestión'!$W$56),"")</f>
        <v/>
      </c>
      <c r="AM33" s="40" t="str">
        <f>IF(AND('Riesgos de Gestión'!$AJ$57="Media",'Riesgos de Gestión'!$AL$57="Catastrófico"),CONCATENATE("R8C",'Riesgos de Gestión'!$W$57),"")</f>
        <v/>
      </c>
      <c r="AN33" s="66"/>
      <c r="AO33" s="624"/>
      <c r="AP33" s="625"/>
      <c r="AQ33" s="625"/>
      <c r="AR33" s="625"/>
      <c r="AS33" s="625"/>
      <c r="AT33" s="62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row>
    <row r="34" spans="1:80" ht="15" customHeight="1" x14ac:dyDescent="0.25">
      <c r="A34" s="66"/>
      <c r="B34" s="496"/>
      <c r="C34" s="496"/>
      <c r="D34" s="497"/>
      <c r="E34" s="595"/>
      <c r="F34" s="594"/>
      <c r="G34" s="594"/>
      <c r="H34" s="594"/>
      <c r="I34" s="610"/>
      <c r="J34" s="50" t="str">
        <f>IF(AND('Riesgos de Gestión'!$AJ$58="Media",'Riesgos de Gestión'!$AL$58="Leve"),CONCATENATE("R9C",'Riesgos de Gestión'!$W$58),"")</f>
        <v/>
      </c>
      <c r="K34" s="51" t="str">
        <f>IF(AND('Riesgos de Gestión'!$AJ$59="Media",'Riesgos de Gestión'!$AL$59="Leve"),CONCATENATE("R9C",'Riesgos de Gestión'!$W$59),"")</f>
        <v/>
      </c>
      <c r="L34" s="51" t="str">
        <f>IF(AND('Riesgos de Gestión'!$AJ$60="Media",'Riesgos de Gestión'!$AL$60="Leve"),CONCATENATE("R9C",'Riesgos de Gestión'!$W$60),"")</f>
        <v/>
      </c>
      <c r="M34" s="51" t="str">
        <f>IF(AND('Riesgos de Gestión'!$AJ$61="Media",'Riesgos de Gestión'!$AL$61="Leve"),CONCATENATE("R9C",'Riesgos de Gestión'!$W$61),"")</f>
        <v/>
      </c>
      <c r="N34" s="51" t="str">
        <f>IF(AND('Riesgos de Gestión'!$AJ$62="Media",'Riesgos de Gestión'!$AL$62="Leve"),CONCATENATE("R9C",'Riesgos de Gestión'!$W$62),"")</f>
        <v/>
      </c>
      <c r="O34" s="52" t="str">
        <f>IF(AND('Riesgos de Gestión'!$AJ$65="Media",'Riesgos de Gestión'!$AL$65="Leve"),CONCATENATE("R9C",'Riesgos de Gestión'!$W$65),"")</f>
        <v/>
      </c>
      <c r="P34" s="50" t="str">
        <f>IF(AND('Riesgos de Gestión'!$AJ$58="Media",'Riesgos de Gestión'!$AL$58="Menor"),CONCATENATE("R9C",'Riesgos de Gestión'!$W$58),"")</f>
        <v>R9C1</v>
      </c>
      <c r="Q34" s="51" t="str">
        <f>IF(AND('Riesgos de Gestión'!$AJ$59="Media",'Riesgos de Gestión'!$AL$59="Menor"),CONCATENATE("R9C",'Riesgos de Gestión'!$W$59),"")</f>
        <v/>
      </c>
      <c r="R34" s="51" t="str">
        <f>IF(AND('Riesgos de Gestión'!$AJ$60="Media",'Riesgos de Gestión'!$AL$60="Menor"),CONCATENATE("R9C",'Riesgos de Gestión'!$W$60),"")</f>
        <v/>
      </c>
      <c r="S34" s="51" t="str">
        <f>IF(AND('Riesgos de Gestión'!$AJ$61="Media",'Riesgos de Gestión'!$AL$61="Menor"),CONCATENATE("R9C",'Riesgos de Gestión'!$W$61),"")</f>
        <v/>
      </c>
      <c r="T34" s="51" t="str">
        <f>IF(AND('Riesgos de Gestión'!$AJ$62="Media",'Riesgos de Gestión'!$AL$62="Menor"),CONCATENATE("R9C",'Riesgos de Gestión'!$W$62),"")</f>
        <v/>
      </c>
      <c r="U34" s="52" t="str">
        <f>IF(AND('Riesgos de Gestión'!$AJ$65="Media",'Riesgos de Gestión'!$AL$65="Menor"),CONCATENATE("R9C",'Riesgos de Gestión'!$W$65),"")</f>
        <v/>
      </c>
      <c r="V34" s="50" t="str">
        <f>IF(AND('Riesgos de Gestión'!$AJ$58="Media",'Riesgos de Gestión'!$AL$58="Moderado"),CONCATENATE("R9C",'Riesgos de Gestión'!$W$58),"")</f>
        <v/>
      </c>
      <c r="W34" s="51" t="str">
        <f>IF(AND('Riesgos de Gestión'!$AJ$59="Media",'Riesgos de Gestión'!$AL$59="Moderado"),CONCATENATE("R9C",'Riesgos de Gestión'!$W$59),"")</f>
        <v/>
      </c>
      <c r="X34" s="51" t="str">
        <f>IF(AND('Riesgos de Gestión'!$AJ$60="Media",'Riesgos de Gestión'!$AL$60="Moderado"),CONCATENATE("R9C",'Riesgos de Gestión'!$W$60),"")</f>
        <v/>
      </c>
      <c r="Y34" s="51" t="str">
        <f>IF(AND('Riesgos de Gestión'!$AJ$61="Media",'Riesgos de Gestión'!$AL$61="Moderado"),CONCATENATE("R9C",'Riesgos de Gestión'!$W$61),"")</f>
        <v/>
      </c>
      <c r="Z34" s="51" t="str">
        <f>IF(AND('Riesgos de Gestión'!$AJ$62="Media",'Riesgos de Gestión'!$AL$62="Moderado"),CONCATENATE("R9C",'Riesgos de Gestión'!$W$62),"")</f>
        <v/>
      </c>
      <c r="AA34" s="52" t="str">
        <f>IF(AND('Riesgos de Gestión'!$AJ$65="Media",'Riesgos de Gestión'!$AL$65="Moderado"),CONCATENATE("R9C",'Riesgos de Gestión'!$W$65),"")</f>
        <v/>
      </c>
      <c r="AB34" s="35" t="str">
        <f>IF(AND('Riesgos de Gestión'!$AJ$58="Media",'Riesgos de Gestión'!$AL$58="Mayor"),CONCATENATE("R9C",'Riesgos de Gestión'!$W$58),"")</f>
        <v/>
      </c>
      <c r="AC34" s="36" t="str">
        <f>IF(AND('Riesgos de Gestión'!$AJ$59="Media",'Riesgos de Gestión'!$AL$59="Mayor"),CONCATENATE("R9C",'Riesgos de Gestión'!$W$59),"")</f>
        <v/>
      </c>
      <c r="AD34" s="36" t="str">
        <f>IF(AND('Riesgos de Gestión'!$AJ$60="Media",'Riesgos de Gestión'!$AL$60="Mayor"),CONCATENATE("R9C",'Riesgos de Gestión'!$W$60),"")</f>
        <v/>
      </c>
      <c r="AE34" s="36" t="str">
        <f>IF(AND('Riesgos de Gestión'!$AJ$61="Media",'Riesgos de Gestión'!$AL$61="Mayor"),CONCATENATE("R9C",'Riesgos de Gestión'!$W$61),"")</f>
        <v/>
      </c>
      <c r="AF34" s="36" t="str">
        <f>IF(AND('Riesgos de Gestión'!$AJ$62="Media",'Riesgos de Gestión'!$AL$62="Mayor"),CONCATENATE("R9C",'Riesgos de Gestión'!$W$62),"")</f>
        <v/>
      </c>
      <c r="AG34" s="37" t="str">
        <f>IF(AND('Riesgos de Gestión'!$AJ$65="Media",'Riesgos de Gestión'!$AL$65="Mayor"),CONCATENATE("R9C",'Riesgos de Gestión'!$W$65),"")</f>
        <v/>
      </c>
      <c r="AH34" s="38" t="str">
        <f>IF(AND('Riesgos de Gestión'!$AJ$58="Media",'Riesgos de Gestión'!$AL$58="Catastrófico"),CONCATENATE("R9C",'Riesgos de Gestión'!$W$58),"")</f>
        <v/>
      </c>
      <c r="AI34" s="39" t="str">
        <f>IF(AND('Riesgos de Gestión'!$AJ$59="Media",'Riesgos de Gestión'!$AL$59="Catastrófico"),CONCATENATE("R9C",'Riesgos de Gestión'!$W$59),"")</f>
        <v/>
      </c>
      <c r="AJ34" s="39" t="str">
        <f>IF(AND('Riesgos de Gestión'!$AJ$60="Media",'Riesgos de Gestión'!$AL$60="Catastrófico"),CONCATENATE("R9C",'Riesgos de Gestión'!$W$60),"")</f>
        <v/>
      </c>
      <c r="AK34" s="39" t="str">
        <f>IF(AND('Riesgos de Gestión'!$AJ$61="Media",'Riesgos de Gestión'!$AL$61="Catastrófico"),CONCATENATE("R9C",'Riesgos de Gestión'!$W$61),"")</f>
        <v/>
      </c>
      <c r="AL34" s="39" t="str">
        <f>IF(AND('Riesgos de Gestión'!$AJ$62="Media",'Riesgos de Gestión'!$AL$62="Catastrófico"),CONCATENATE("R9C",'Riesgos de Gestión'!$W$62),"")</f>
        <v/>
      </c>
      <c r="AM34" s="40" t="str">
        <f>IF(AND('Riesgos de Gestión'!$AJ$65="Media",'Riesgos de Gestión'!$AL$65="Catastrófico"),CONCATENATE("R9C",'Riesgos de Gestión'!$W$65),"")</f>
        <v/>
      </c>
      <c r="AN34" s="66"/>
      <c r="AO34" s="624"/>
      <c r="AP34" s="625"/>
      <c r="AQ34" s="625"/>
      <c r="AR34" s="625"/>
      <c r="AS34" s="625"/>
      <c r="AT34" s="62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row>
    <row r="35" spans="1:80" ht="15.75" customHeight="1" thickBot="1" x14ac:dyDescent="0.3">
      <c r="A35" s="66"/>
      <c r="B35" s="496"/>
      <c r="C35" s="496"/>
      <c r="D35" s="497"/>
      <c r="E35" s="596"/>
      <c r="F35" s="597"/>
      <c r="G35" s="597"/>
      <c r="H35" s="597"/>
      <c r="I35" s="611"/>
      <c r="J35" s="50" t="str">
        <f>IF(AND('Riesgos de Gestión'!$AJ$66="Media",'Riesgos de Gestión'!$AL$66="Leve"),CONCATENATE("R10C",'Riesgos de Gestión'!$W$66),"")</f>
        <v/>
      </c>
      <c r="K35" s="51" t="str">
        <f>IF(AND('Riesgos de Gestión'!$AJ$67="Media",'Riesgos de Gestión'!$AL$67="Leve"),CONCATENATE("R10C",'Riesgos de Gestión'!$W$67),"")</f>
        <v/>
      </c>
      <c r="L35" s="51" t="str">
        <f>IF(AND('Riesgos de Gestión'!$AJ$68="Media",'Riesgos de Gestión'!$AL$68="Leve"),CONCATENATE("R10C",'Riesgos de Gestión'!$W$68),"")</f>
        <v/>
      </c>
      <c r="M35" s="51" t="str">
        <f>IF(AND('Riesgos de Gestión'!$AJ$69="Media",'Riesgos de Gestión'!$AL$69="Leve"),CONCATENATE("R10C",'Riesgos de Gestión'!$W$69),"")</f>
        <v/>
      </c>
      <c r="N35" s="51" t="str">
        <f>IF(AND('Riesgos de Gestión'!$AJ$70="Media",'Riesgos de Gestión'!$AL$70="Leve"),CONCATENATE("R10C",'Riesgos de Gestión'!$W$70),"")</f>
        <v/>
      </c>
      <c r="O35" s="52" t="str">
        <f>IF(AND('Riesgos de Gestión'!$AJ$71="Media",'Riesgos de Gestión'!$AL$71="Leve"),CONCATENATE("R10C",'Riesgos de Gestión'!$W$71),"")</f>
        <v/>
      </c>
      <c r="P35" s="50" t="str">
        <f>IF(AND('Riesgos de Gestión'!$AJ$66="Media",'Riesgos de Gestión'!$AL$66="Menor"),CONCATENATE("R10C",'Riesgos de Gestión'!$W$66),"")</f>
        <v/>
      </c>
      <c r="Q35" s="51" t="str">
        <f>IF(AND('Riesgos de Gestión'!$AJ$67="Media",'Riesgos de Gestión'!$AL$67="Menor"),CONCATENATE("R10C",'Riesgos de Gestión'!$W$67),"")</f>
        <v/>
      </c>
      <c r="R35" s="51" t="str">
        <f>IF(AND('Riesgos de Gestión'!$AJ$68="Media",'Riesgos de Gestión'!$AL$68="Menor"),CONCATENATE("R10C",'Riesgos de Gestión'!$W$68),"")</f>
        <v/>
      </c>
      <c r="S35" s="51" t="str">
        <f>IF(AND('Riesgos de Gestión'!$AJ$69="Media",'Riesgos de Gestión'!$AL$69="Menor"),CONCATENATE("R10C",'Riesgos de Gestión'!$W$69),"")</f>
        <v/>
      </c>
      <c r="T35" s="51" t="str">
        <f>IF(AND('Riesgos de Gestión'!$AJ$70="Media",'Riesgos de Gestión'!$AL$70="Menor"),CONCATENATE("R10C",'Riesgos de Gestión'!$W$70),"")</f>
        <v/>
      </c>
      <c r="U35" s="52" t="str">
        <f>IF(AND('Riesgos de Gestión'!$AJ$71="Media",'Riesgos de Gestión'!$AL$71="Menor"),CONCATENATE("R10C",'Riesgos de Gestión'!$W$71),"")</f>
        <v/>
      </c>
      <c r="V35" s="50" t="str">
        <f>IF(AND('Riesgos de Gestión'!$AJ$66="Media",'Riesgos de Gestión'!$AL$66="Moderado"),CONCATENATE("R10C",'Riesgos de Gestión'!$W$66),"")</f>
        <v/>
      </c>
      <c r="W35" s="51" t="str">
        <f>IF(AND('Riesgos de Gestión'!$AJ$67="Media",'Riesgos de Gestión'!$AL$67="Moderado"),CONCATENATE("R10C",'Riesgos de Gestión'!$W$67),"")</f>
        <v/>
      </c>
      <c r="X35" s="51" t="str">
        <f>IF(AND('Riesgos de Gestión'!$AJ$68="Media",'Riesgos de Gestión'!$AL$68="Moderado"),CONCATENATE("R10C",'Riesgos de Gestión'!$W$68),"")</f>
        <v/>
      </c>
      <c r="Y35" s="51" t="str">
        <f>IF(AND('Riesgos de Gestión'!$AJ$69="Media",'Riesgos de Gestión'!$AL$69="Moderado"),CONCATENATE("R10C",'Riesgos de Gestión'!$W$69),"")</f>
        <v/>
      </c>
      <c r="Z35" s="51" t="str">
        <f>IF(AND('Riesgos de Gestión'!$AJ$70="Media",'Riesgos de Gestión'!$AL$70="Moderado"),CONCATENATE("R10C",'Riesgos de Gestión'!$W$70),"")</f>
        <v/>
      </c>
      <c r="AA35" s="52" t="str">
        <f>IF(AND('Riesgos de Gestión'!$AJ$71="Media",'Riesgos de Gestión'!$AL$71="Moderado"),CONCATENATE("R10C",'Riesgos de Gestión'!$W$71),"")</f>
        <v/>
      </c>
      <c r="AB35" s="41" t="str">
        <f>IF(AND('Riesgos de Gestión'!$AJ$66="Media",'Riesgos de Gestión'!$AL$66="Mayor"),CONCATENATE("R10C",'Riesgos de Gestión'!$W$66),"")</f>
        <v/>
      </c>
      <c r="AC35" s="42" t="str">
        <f>IF(AND('Riesgos de Gestión'!$AJ$67="Media",'Riesgos de Gestión'!$AL$67="Mayor"),CONCATENATE("R10C",'Riesgos de Gestión'!$W$67),"")</f>
        <v/>
      </c>
      <c r="AD35" s="42" t="str">
        <f>IF(AND('Riesgos de Gestión'!$AJ$68="Media",'Riesgos de Gestión'!$AL$68="Mayor"),CONCATENATE("R10C",'Riesgos de Gestión'!$W$68),"")</f>
        <v/>
      </c>
      <c r="AE35" s="42" t="str">
        <f>IF(AND('Riesgos de Gestión'!$AJ$69="Media",'Riesgos de Gestión'!$AL$69="Mayor"),CONCATENATE("R10C",'Riesgos de Gestión'!$W$69),"")</f>
        <v/>
      </c>
      <c r="AF35" s="42" t="str">
        <f>IF(AND('Riesgos de Gestión'!$AJ$70="Media",'Riesgos de Gestión'!$AL$70="Mayor"),CONCATENATE("R10C",'Riesgos de Gestión'!$W$70),"")</f>
        <v/>
      </c>
      <c r="AG35" s="43" t="str">
        <f>IF(AND('Riesgos de Gestión'!$AJ$71="Media",'Riesgos de Gestión'!$AL$71="Mayor"),CONCATENATE("R10C",'Riesgos de Gestión'!$W$71),"")</f>
        <v/>
      </c>
      <c r="AH35" s="44" t="str">
        <f>IF(AND('Riesgos de Gestión'!$AJ$66="Media",'Riesgos de Gestión'!$AL$66="Catastrófico"),CONCATENATE("R10C",'Riesgos de Gestión'!$W$66),"")</f>
        <v/>
      </c>
      <c r="AI35" s="45" t="str">
        <f>IF(AND('Riesgos de Gestión'!$AJ$67="Media",'Riesgos de Gestión'!$AL$67="Catastrófico"),CONCATENATE("R10C",'Riesgos de Gestión'!$W$67),"")</f>
        <v/>
      </c>
      <c r="AJ35" s="45" t="str">
        <f>IF(AND('Riesgos de Gestión'!$AJ$68="Media",'Riesgos de Gestión'!$AL$68="Catastrófico"),CONCATENATE("R10C",'Riesgos de Gestión'!$W$68),"")</f>
        <v/>
      </c>
      <c r="AK35" s="45" t="str">
        <f>IF(AND('Riesgos de Gestión'!$AJ$69="Media",'Riesgos de Gestión'!$AL$69="Catastrófico"),CONCATENATE("R10C",'Riesgos de Gestión'!$W$69),"")</f>
        <v/>
      </c>
      <c r="AL35" s="45" t="str">
        <f>IF(AND('Riesgos de Gestión'!$AJ$70="Media",'Riesgos de Gestión'!$AL$70="Catastrófico"),CONCATENATE("R10C",'Riesgos de Gestión'!$W$70),"")</f>
        <v/>
      </c>
      <c r="AM35" s="46" t="str">
        <f>IF(AND('Riesgos de Gestión'!$AJ$71="Media",'Riesgos de Gestión'!$AL$71="Catastrófico"),CONCATENATE("R10C",'Riesgos de Gestión'!$W$71),"")</f>
        <v/>
      </c>
      <c r="AN35" s="66"/>
      <c r="AO35" s="627"/>
      <c r="AP35" s="628"/>
      <c r="AQ35" s="628"/>
      <c r="AR35" s="628"/>
      <c r="AS35" s="628"/>
      <c r="AT35" s="629"/>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row>
    <row r="36" spans="1:80" ht="15" customHeight="1" x14ac:dyDescent="0.25">
      <c r="A36" s="66"/>
      <c r="B36" s="496"/>
      <c r="C36" s="496"/>
      <c r="D36" s="497"/>
      <c r="E36" s="591" t="s">
        <v>407</v>
      </c>
      <c r="F36" s="592"/>
      <c r="G36" s="592"/>
      <c r="H36" s="592"/>
      <c r="I36" s="592"/>
      <c r="J36" s="56" t="str">
        <f>IF(AND('Riesgos de Gestión'!$AJ$10="Baja",'Riesgos de Gestión'!$AL$10="Leve"),CONCATENATE("R1C",'Riesgos de Gestión'!$W$10),"")</f>
        <v/>
      </c>
      <c r="K36" s="57" t="str">
        <f>IF(AND('Riesgos de Gestión'!$AJ$11="Baja",'Riesgos de Gestión'!$AL$11="Leve"),CONCATENATE("R1C",'Riesgos de Gestión'!$W$11),"")</f>
        <v/>
      </c>
      <c r="L36" s="57" t="str">
        <f>IF(AND('Riesgos de Gestión'!$AJ$12="Baja",'Riesgos de Gestión'!$AL$12="Leve"),CONCATENATE("R1C",'Riesgos de Gestión'!$W$12),"")</f>
        <v/>
      </c>
      <c r="M36" s="57" t="str">
        <f>IF(AND('Riesgos de Gestión'!$AJ$13="Baja",'Riesgos de Gestión'!$AL$13="Leve"),CONCATENATE("R1C",'Riesgos de Gestión'!$W$13),"")</f>
        <v/>
      </c>
      <c r="N36" s="57" t="str">
        <f>IF(AND('Riesgos de Gestión'!$AJ$14="Baja",'Riesgos de Gestión'!$AL$14="Leve"),CONCATENATE("R1C",'Riesgos de Gestión'!$W$14),"")</f>
        <v/>
      </c>
      <c r="O36" s="58" t="str">
        <f>IF(AND('Riesgos de Gestión'!$AJ$15="Baja",'Riesgos de Gestión'!$AL$15="Leve"),CONCATENATE("R1C",'Riesgos de Gestión'!$W$15),"")</f>
        <v/>
      </c>
      <c r="P36" s="47" t="str">
        <f>IF(AND('Riesgos de Gestión'!$AJ$10="Baja",'Riesgos de Gestión'!$AL$10="Menor"),CONCATENATE("R1C",'Riesgos de Gestión'!$W$10),"")</f>
        <v/>
      </c>
      <c r="Q36" s="48" t="str">
        <f>IF(AND('Riesgos de Gestión'!$AJ$11="Baja",'Riesgos de Gestión'!$AL$11="Menor"),CONCATENATE("R1C",'Riesgos de Gestión'!$W$11),"")</f>
        <v/>
      </c>
      <c r="R36" s="48" t="str">
        <f>IF(AND('Riesgos de Gestión'!$AJ$12="Baja",'Riesgos de Gestión'!$AL$12="Menor"),CONCATENATE("R1C",'Riesgos de Gestión'!$W$12),"")</f>
        <v/>
      </c>
      <c r="S36" s="48" t="str">
        <f>IF(AND('Riesgos de Gestión'!$AJ$13="Baja",'Riesgos de Gestión'!$AL$13="Menor"),CONCATENATE("R1C",'Riesgos de Gestión'!$W$13),"")</f>
        <v/>
      </c>
      <c r="T36" s="48" t="str">
        <f>IF(AND('Riesgos de Gestión'!$AJ$14="Baja",'Riesgos de Gestión'!$AL$14="Menor"),CONCATENATE("R1C",'Riesgos de Gestión'!$W$14),"")</f>
        <v/>
      </c>
      <c r="U36" s="49" t="str">
        <f>IF(AND('Riesgos de Gestión'!$AJ$15="Baja",'Riesgos de Gestión'!$AL$15="Menor"),CONCATENATE("R1C",'Riesgos de Gestión'!$W$15),"")</f>
        <v/>
      </c>
      <c r="V36" s="47" t="str">
        <f>IF(AND('Riesgos de Gestión'!$AJ$10="Baja",'Riesgos de Gestión'!$AL$10="Moderado"),CONCATENATE("R1C",'Riesgos de Gestión'!$W$10),"")</f>
        <v>R1C1</v>
      </c>
      <c r="W36" s="48" t="str">
        <f>IF(AND('Riesgos de Gestión'!$AJ$11="Baja",'Riesgos de Gestión'!$AL$11="Moderado"),CONCATENATE("R1C",'Riesgos de Gestión'!$W$11),"")</f>
        <v/>
      </c>
      <c r="X36" s="48" t="str">
        <f>IF(AND('Riesgos de Gestión'!$AJ$12="Baja",'Riesgos de Gestión'!$AL$12="Moderado"),CONCATENATE("R1C",'Riesgos de Gestión'!$W$12),"")</f>
        <v/>
      </c>
      <c r="Y36" s="48" t="str">
        <f>IF(AND('Riesgos de Gestión'!$AJ$13="Baja",'Riesgos de Gestión'!$AL$13="Moderado"),CONCATENATE("R1C",'Riesgos de Gestión'!$W$13),"")</f>
        <v/>
      </c>
      <c r="Z36" s="48" t="str">
        <f>IF(AND('Riesgos de Gestión'!$AJ$14="Baja",'Riesgos de Gestión'!$AL$14="Moderado"),CONCATENATE("R1C",'Riesgos de Gestión'!$W$14),"")</f>
        <v/>
      </c>
      <c r="AA36" s="49" t="str">
        <f>IF(AND('Riesgos de Gestión'!$AJ$15="Baja",'Riesgos de Gestión'!$AL$15="Moderado"),CONCATENATE("R1C",'Riesgos de Gestión'!$W$15),"")</f>
        <v/>
      </c>
      <c r="AB36" s="29" t="str">
        <f>IF(AND('Riesgos de Gestión'!$AJ$10="Baja",'Riesgos de Gestión'!$AL$10="Mayor"),CONCATENATE("R1C",'Riesgos de Gestión'!$W$10),"")</f>
        <v/>
      </c>
      <c r="AC36" s="30" t="str">
        <f>IF(AND('Riesgos de Gestión'!$AJ$11="Baja",'Riesgos de Gestión'!$AL$11="Mayor"),CONCATENATE("R1C",'Riesgos de Gestión'!$W$11),"")</f>
        <v/>
      </c>
      <c r="AD36" s="30" t="str">
        <f>IF(AND('Riesgos de Gestión'!$AJ$12="Baja",'Riesgos de Gestión'!$AL$12="Mayor"),CONCATENATE("R1C",'Riesgos de Gestión'!$W$12),"")</f>
        <v/>
      </c>
      <c r="AE36" s="30" t="str">
        <f>IF(AND('Riesgos de Gestión'!$AJ$13="Baja",'Riesgos de Gestión'!$AL$13="Mayor"),CONCATENATE("R1C",'Riesgos de Gestión'!$W$13),"")</f>
        <v/>
      </c>
      <c r="AF36" s="30" t="str">
        <f>IF(AND('Riesgos de Gestión'!$AJ$14="Baja",'Riesgos de Gestión'!$AL$14="Mayor"),CONCATENATE("R1C",'Riesgos de Gestión'!$W$14),"")</f>
        <v/>
      </c>
      <c r="AG36" s="31" t="str">
        <f>IF(AND('Riesgos de Gestión'!$AJ$15="Baja",'Riesgos de Gestión'!$AL$15="Mayor"),CONCATENATE("R1C",'Riesgos de Gestión'!$W$15),"")</f>
        <v/>
      </c>
      <c r="AH36" s="32" t="str">
        <f>IF(AND('Riesgos de Gestión'!$AJ$10="Baja",'Riesgos de Gestión'!$AL$10="Catastrófico"),CONCATENATE("R1C",'Riesgos de Gestión'!$W$10),"")</f>
        <v/>
      </c>
      <c r="AI36" s="33" t="str">
        <f>IF(AND('Riesgos de Gestión'!$AJ$11="Baja",'Riesgos de Gestión'!$AL$11="Catastrófico"),CONCATENATE("R1C",'Riesgos de Gestión'!$W$11),"")</f>
        <v/>
      </c>
      <c r="AJ36" s="33" t="str">
        <f>IF(AND('Riesgos de Gestión'!$AJ$12="Baja",'Riesgos de Gestión'!$AL$12="Catastrófico"),CONCATENATE("R1C",'Riesgos de Gestión'!$W$12),"")</f>
        <v/>
      </c>
      <c r="AK36" s="33" t="str">
        <f>IF(AND('Riesgos de Gestión'!$AJ$13="Baja",'Riesgos de Gestión'!$AL$13="Catastrófico"),CONCATENATE("R1C",'Riesgos de Gestión'!$W$13),"")</f>
        <v/>
      </c>
      <c r="AL36" s="33" t="str">
        <f>IF(AND('Riesgos de Gestión'!$AJ$14="Baja",'Riesgos de Gestión'!$AL$14="Catastrófico"),CONCATENATE("R1C",'Riesgos de Gestión'!$W$14),"")</f>
        <v/>
      </c>
      <c r="AM36" s="34" t="str">
        <f>IF(AND('Riesgos de Gestión'!$AJ$15="Baja",'Riesgos de Gestión'!$AL$15="Catastrófico"),CONCATENATE("R1C",'Riesgos de Gestión'!$W$15),"")</f>
        <v/>
      </c>
      <c r="AN36" s="66"/>
      <c r="AO36" s="612" t="s">
        <v>408</v>
      </c>
      <c r="AP36" s="613"/>
      <c r="AQ36" s="613"/>
      <c r="AR36" s="613"/>
      <c r="AS36" s="613"/>
      <c r="AT36" s="614"/>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row>
    <row r="37" spans="1:80" ht="15" customHeight="1" x14ac:dyDescent="0.25">
      <c r="A37" s="66"/>
      <c r="B37" s="496"/>
      <c r="C37" s="496"/>
      <c r="D37" s="497"/>
      <c r="E37" s="593"/>
      <c r="F37" s="594"/>
      <c r="G37" s="594"/>
      <c r="H37" s="594"/>
      <c r="I37" s="594"/>
      <c r="J37" s="59" t="str">
        <f>IF(AND('Riesgos de Gestión'!$AJ$16="Baja",'Riesgos de Gestión'!$AL$16="Leve"),CONCATENATE("R2C",'Riesgos de Gestión'!$W$16),"")</f>
        <v/>
      </c>
      <c r="K37" s="60" t="str">
        <f>IF(AND('Riesgos de Gestión'!$AJ$17="Baja",'Riesgos de Gestión'!$AL$17="Leve"),CONCATENATE("R2C",'Riesgos de Gestión'!$W$17),"")</f>
        <v/>
      </c>
      <c r="L37" s="60" t="str">
        <f>IF(AND('Riesgos de Gestión'!$AJ$18="Baja",'Riesgos de Gestión'!$AL$18="Leve"),CONCATENATE("R2C",'Riesgos de Gestión'!$W$18),"")</f>
        <v/>
      </c>
      <c r="M37" s="60" t="str">
        <f>IF(AND('Riesgos de Gestión'!$AJ$19="Baja",'Riesgos de Gestión'!$AL$19="Leve"),CONCATENATE("R2C",'Riesgos de Gestión'!$W$19),"")</f>
        <v/>
      </c>
      <c r="N37" s="60" t="str">
        <f>IF(AND('Riesgos de Gestión'!$AJ$20="Baja",'Riesgos de Gestión'!$AL$20="Leve"),CONCATENATE("R2C",'Riesgos de Gestión'!$W$20),"")</f>
        <v/>
      </c>
      <c r="O37" s="61" t="str">
        <f>IF(AND('Riesgos de Gestión'!$AJ$21="Baja",'Riesgos de Gestión'!$AL$21="Leve"),CONCATENATE("R2C",'Riesgos de Gestión'!$W$21),"")</f>
        <v/>
      </c>
      <c r="P37" s="50" t="str">
        <f>IF(AND('Riesgos de Gestión'!$AJ$16="Baja",'Riesgos de Gestión'!$AL$16="Menor"),CONCATENATE("R2C",'Riesgos de Gestión'!$W$16),"")</f>
        <v/>
      </c>
      <c r="Q37" s="51" t="str">
        <f>IF(AND('Riesgos de Gestión'!$AJ$17="Baja",'Riesgos de Gestión'!$AL$17="Menor"),CONCATENATE("R2C",'Riesgos de Gestión'!$W$17),"")</f>
        <v/>
      </c>
      <c r="R37" s="51" t="str">
        <f>IF(AND('Riesgos de Gestión'!$AJ$18="Baja",'Riesgos de Gestión'!$AL$18="Menor"),CONCATENATE("R2C",'Riesgos de Gestión'!$W$18),"")</f>
        <v/>
      </c>
      <c r="S37" s="51" t="str">
        <f>IF(AND('Riesgos de Gestión'!$AJ$19="Baja",'Riesgos de Gestión'!$AL$19="Menor"),CONCATENATE("R2C",'Riesgos de Gestión'!$W$19),"")</f>
        <v/>
      </c>
      <c r="T37" s="51" t="str">
        <f>IF(AND('Riesgos de Gestión'!$AJ$20="Baja",'Riesgos de Gestión'!$AL$20="Menor"),CONCATENATE("R2C",'Riesgos de Gestión'!$W$20),"")</f>
        <v/>
      </c>
      <c r="U37" s="52" t="str">
        <f>IF(AND('Riesgos de Gestión'!$AJ$21="Baja",'Riesgos de Gestión'!$AL$21="Menor"),CONCATENATE("R2C",'Riesgos de Gestión'!$W$21),"")</f>
        <v/>
      </c>
      <c r="V37" s="50" t="str">
        <f>IF(AND('Riesgos de Gestión'!$AJ$16="Baja",'Riesgos de Gestión'!$AL$16="Moderado"),CONCATENATE("R2C",'Riesgos de Gestión'!$W$16),"")</f>
        <v>R2C1</v>
      </c>
      <c r="W37" s="51" t="str">
        <f>IF(AND('Riesgos de Gestión'!$AJ$17="Baja",'Riesgos de Gestión'!$AL$17="Moderado"),CONCATENATE("R2C",'Riesgos de Gestión'!$W$17),"")</f>
        <v>R2C2</v>
      </c>
      <c r="X37" s="51" t="str">
        <f>IF(AND('Riesgos de Gestión'!$AJ$18="Baja",'Riesgos de Gestión'!$AL$18="Moderado"),CONCATENATE("R2C",'Riesgos de Gestión'!$W$18),"")</f>
        <v/>
      </c>
      <c r="Y37" s="51" t="str">
        <f>IF(AND('Riesgos de Gestión'!$AJ$19="Baja",'Riesgos de Gestión'!$AL$19="Moderado"),CONCATENATE("R2C",'Riesgos de Gestión'!$W$19),"")</f>
        <v/>
      </c>
      <c r="Z37" s="51" t="str">
        <f>IF(AND('Riesgos de Gestión'!$AJ$20="Baja",'Riesgos de Gestión'!$AL$20="Moderado"),CONCATENATE("R2C",'Riesgos de Gestión'!$W$20),"")</f>
        <v/>
      </c>
      <c r="AA37" s="52" t="str">
        <f>IF(AND('Riesgos de Gestión'!$AJ$21="Baja",'Riesgos de Gestión'!$AL$21="Moderado"),CONCATENATE("R2C",'Riesgos de Gestión'!$W$21),"")</f>
        <v/>
      </c>
      <c r="AB37" s="35" t="str">
        <f>IF(AND('Riesgos de Gestión'!$AJ$16="Baja",'Riesgos de Gestión'!$AL$16="Mayor"),CONCATENATE("R2C",'Riesgos de Gestión'!$W$16),"")</f>
        <v/>
      </c>
      <c r="AC37" s="36" t="str">
        <f>IF(AND('Riesgos de Gestión'!$AJ$17="Baja",'Riesgos de Gestión'!$AL$17="Mayor"),CONCATENATE("R2C",'Riesgos de Gestión'!$W$17),"")</f>
        <v/>
      </c>
      <c r="AD37" s="36" t="str">
        <f>IF(AND('Riesgos de Gestión'!$AJ$18="Baja",'Riesgos de Gestión'!$AL$18="Mayor"),CONCATENATE("R2C",'Riesgos de Gestión'!$W$18),"")</f>
        <v/>
      </c>
      <c r="AE37" s="36" t="str">
        <f>IF(AND('Riesgos de Gestión'!$AJ$19="Baja",'Riesgos de Gestión'!$AL$19="Mayor"),CONCATENATE("R2C",'Riesgos de Gestión'!$W$19),"")</f>
        <v/>
      </c>
      <c r="AF37" s="36" t="str">
        <f>IF(AND('Riesgos de Gestión'!$AJ$20="Baja",'Riesgos de Gestión'!$AL$20="Mayor"),CONCATENATE("R2C",'Riesgos de Gestión'!$W$20),"")</f>
        <v/>
      </c>
      <c r="AG37" s="37" t="str">
        <f>IF(AND('Riesgos de Gestión'!$AJ$21="Baja",'Riesgos de Gestión'!$AL$21="Mayor"),CONCATENATE("R2C",'Riesgos de Gestión'!$W$21),"")</f>
        <v/>
      </c>
      <c r="AH37" s="38" t="str">
        <f>IF(AND('Riesgos de Gestión'!$AJ$16="Baja",'Riesgos de Gestión'!$AL$16="Catastrófico"),CONCATENATE("R2C",'Riesgos de Gestión'!$W$16),"")</f>
        <v/>
      </c>
      <c r="AI37" s="39" t="str">
        <f>IF(AND('Riesgos de Gestión'!$AJ$17="Baja",'Riesgos de Gestión'!$AL$17="Catastrófico"),CONCATENATE("R2C",'Riesgos de Gestión'!$W$17),"")</f>
        <v/>
      </c>
      <c r="AJ37" s="39" t="str">
        <f>IF(AND('Riesgos de Gestión'!$AJ$18="Baja",'Riesgos de Gestión'!$AL$18="Catastrófico"),CONCATENATE("R2C",'Riesgos de Gestión'!$W$18),"")</f>
        <v/>
      </c>
      <c r="AK37" s="39" t="str">
        <f>IF(AND('Riesgos de Gestión'!$AJ$19="Baja",'Riesgos de Gestión'!$AL$19="Catastrófico"),CONCATENATE("R2C",'Riesgos de Gestión'!$W$19),"")</f>
        <v/>
      </c>
      <c r="AL37" s="39" t="str">
        <f>IF(AND('Riesgos de Gestión'!$AJ$20="Baja",'Riesgos de Gestión'!$AL$20="Catastrófico"),CONCATENATE("R2C",'Riesgos de Gestión'!$W$20),"")</f>
        <v/>
      </c>
      <c r="AM37" s="40" t="str">
        <f>IF(AND('Riesgos de Gestión'!$AJ$21="Baja",'Riesgos de Gestión'!$AL$21="Catastrófico"),CONCATENATE("R2C",'Riesgos de Gestión'!$W$21),"")</f>
        <v/>
      </c>
      <c r="AN37" s="66"/>
      <c r="AO37" s="615"/>
      <c r="AP37" s="616"/>
      <c r="AQ37" s="616"/>
      <c r="AR37" s="616"/>
      <c r="AS37" s="616"/>
      <c r="AT37" s="617"/>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row>
    <row r="38" spans="1:80" ht="15" customHeight="1" x14ac:dyDescent="0.25">
      <c r="A38" s="66"/>
      <c r="B38" s="496"/>
      <c r="C38" s="496"/>
      <c r="D38" s="497"/>
      <c r="E38" s="595"/>
      <c r="F38" s="594"/>
      <c r="G38" s="594"/>
      <c r="H38" s="594"/>
      <c r="I38" s="594"/>
      <c r="J38" s="59" t="str">
        <f>IF(AND('Riesgos de Gestión'!$AJ$22="Baja",'Riesgos de Gestión'!$AL$22="Leve"),CONCATENATE("R3C",'Riesgos de Gestión'!$W$22),"")</f>
        <v/>
      </c>
      <c r="K38" s="60" t="str">
        <f>IF(AND('Riesgos de Gestión'!$AJ$23="Baja",'Riesgos de Gestión'!$AL$23="Leve"),CONCATENATE("R3C",'Riesgos de Gestión'!$W$23),"")</f>
        <v/>
      </c>
      <c r="L38" s="60" t="str">
        <f>IF(AND('Riesgos de Gestión'!$AJ$24="Baja",'Riesgos de Gestión'!$AL$24="Leve"),CONCATENATE("R3C",'Riesgos de Gestión'!$W$24),"")</f>
        <v/>
      </c>
      <c r="M38" s="60" t="str">
        <f>IF(AND('Riesgos de Gestión'!$AJ$25="Baja",'Riesgos de Gestión'!$AL$25="Leve"),CONCATENATE("R3C",'Riesgos de Gestión'!$W$25),"")</f>
        <v/>
      </c>
      <c r="N38" s="60" t="str">
        <f>IF(AND('Riesgos de Gestión'!$AJ$26="Baja",'Riesgos de Gestión'!$AL$26="Leve"),CONCATENATE("R3C",'Riesgos de Gestión'!$W$26),"")</f>
        <v/>
      </c>
      <c r="O38" s="61" t="str">
        <f>IF(AND('Riesgos de Gestión'!$AJ$27="Baja",'Riesgos de Gestión'!$AL$27="Leve"),CONCATENATE("R3C",'Riesgos de Gestión'!$W$27),"")</f>
        <v/>
      </c>
      <c r="P38" s="50" t="str">
        <f>IF(AND('Riesgos de Gestión'!$AJ$22="Baja",'Riesgos de Gestión'!$AL$22="Menor"),CONCATENATE("R3C",'Riesgos de Gestión'!$W$22),"")</f>
        <v>R3C1</v>
      </c>
      <c r="Q38" s="51" t="str">
        <f>IF(AND('Riesgos de Gestión'!$AJ$23="Baja",'Riesgos de Gestión'!$AL$23="Menor"),CONCATENATE("R3C",'Riesgos de Gestión'!$W$23),"")</f>
        <v>R3C2</v>
      </c>
      <c r="R38" s="51" t="str">
        <f>IF(AND('Riesgos de Gestión'!$AJ$24="Baja",'Riesgos de Gestión'!$AL$24="Menor"),CONCATENATE("R3C",'Riesgos de Gestión'!$W$24),"")</f>
        <v/>
      </c>
      <c r="S38" s="51" t="str">
        <f>IF(AND('Riesgos de Gestión'!$AJ$25="Baja",'Riesgos de Gestión'!$AL$25="Menor"),CONCATENATE("R3C",'Riesgos de Gestión'!$W$25),"")</f>
        <v/>
      </c>
      <c r="T38" s="51" t="str">
        <f>IF(AND('Riesgos de Gestión'!$AJ$26="Baja",'Riesgos de Gestión'!$AL$26="Menor"),CONCATENATE("R3C",'Riesgos de Gestión'!$W$26),"")</f>
        <v/>
      </c>
      <c r="U38" s="52" t="str">
        <f>IF(AND('Riesgos de Gestión'!$AJ$27="Baja",'Riesgos de Gestión'!$AL$27="Menor"),CONCATENATE("R3C",'Riesgos de Gestión'!$W$27),"")</f>
        <v/>
      </c>
      <c r="V38" s="50" t="str">
        <f>IF(AND('Riesgos de Gestión'!$AJ$22="Baja",'Riesgos de Gestión'!$AL$22="Moderado"),CONCATENATE("R3C",'Riesgos de Gestión'!$W$22),"")</f>
        <v/>
      </c>
      <c r="W38" s="51" t="str">
        <f>IF(AND('Riesgos de Gestión'!$AJ$23="Baja",'Riesgos de Gestión'!$AL$23="Moderado"),CONCATENATE("R3C",'Riesgos de Gestión'!$W$23),"")</f>
        <v/>
      </c>
      <c r="X38" s="51" t="str">
        <f>IF(AND('Riesgos de Gestión'!$AJ$24="Baja",'Riesgos de Gestión'!$AL$24="Moderado"),CONCATENATE("R3C",'Riesgos de Gestión'!$W$24),"")</f>
        <v/>
      </c>
      <c r="Y38" s="51" t="str">
        <f>IF(AND('Riesgos de Gestión'!$AJ$25="Baja",'Riesgos de Gestión'!$AL$25="Moderado"),CONCATENATE("R3C",'Riesgos de Gestión'!$W$25),"")</f>
        <v/>
      </c>
      <c r="Z38" s="51" t="str">
        <f>IF(AND('Riesgos de Gestión'!$AJ$26="Baja",'Riesgos de Gestión'!$AL$26="Moderado"),CONCATENATE("R3C",'Riesgos de Gestión'!$W$26),"")</f>
        <v/>
      </c>
      <c r="AA38" s="52" t="str">
        <f>IF(AND('Riesgos de Gestión'!$AJ$27="Baja",'Riesgos de Gestión'!$AL$27="Moderado"),CONCATENATE("R3C",'Riesgos de Gestión'!$W$27),"")</f>
        <v/>
      </c>
      <c r="AB38" s="35" t="str">
        <f>IF(AND('Riesgos de Gestión'!$AJ$22="Baja",'Riesgos de Gestión'!$AL$22="Mayor"),CONCATENATE("R3C",'Riesgos de Gestión'!$W$22),"")</f>
        <v/>
      </c>
      <c r="AC38" s="36" t="str">
        <f>IF(AND('Riesgos de Gestión'!$AJ$23="Baja",'Riesgos de Gestión'!$AL$23="Mayor"),CONCATENATE("R3C",'Riesgos de Gestión'!$W$23),"")</f>
        <v/>
      </c>
      <c r="AD38" s="36" t="str">
        <f>IF(AND('Riesgos de Gestión'!$AJ$24="Baja",'Riesgos de Gestión'!$AL$24="Mayor"),CONCATENATE("R3C",'Riesgos de Gestión'!$W$24),"")</f>
        <v/>
      </c>
      <c r="AE38" s="36" t="str">
        <f>IF(AND('Riesgos de Gestión'!$AJ$25="Baja",'Riesgos de Gestión'!$AL$25="Mayor"),CONCATENATE("R3C",'Riesgos de Gestión'!$W$25),"")</f>
        <v/>
      </c>
      <c r="AF38" s="36" t="str">
        <f>IF(AND('Riesgos de Gestión'!$AJ$26="Baja",'Riesgos de Gestión'!$AL$26="Mayor"),CONCATENATE("R3C",'Riesgos de Gestión'!$W$26),"")</f>
        <v/>
      </c>
      <c r="AG38" s="37" t="str">
        <f>IF(AND('Riesgos de Gestión'!$AJ$27="Baja",'Riesgos de Gestión'!$AL$27="Mayor"),CONCATENATE("R3C",'Riesgos de Gestión'!$W$27),"")</f>
        <v/>
      </c>
      <c r="AH38" s="38" t="str">
        <f>IF(AND('Riesgos de Gestión'!$AJ$22="Baja",'Riesgos de Gestión'!$AL$22="Catastrófico"),CONCATENATE("R3C",'Riesgos de Gestión'!$W$22),"")</f>
        <v/>
      </c>
      <c r="AI38" s="39" t="str">
        <f>IF(AND('Riesgos de Gestión'!$AJ$23="Baja",'Riesgos de Gestión'!$AL$23="Catastrófico"),CONCATENATE("R3C",'Riesgos de Gestión'!$W$23),"")</f>
        <v/>
      </c>
      <c r="AJ38" s="39" t="str">
        <f>IF(AND('Riesgos de Gestión'!$AJ$24="Baja",'Riesgos de Gestión'!$AL$24="Catastrófico"),CONCATENATE("R3C",'Riesgos de Gestión'!$W$24),"")</f>
        <v/>
      </c>
      <c r="AK38" s="39" t="str">
        <f>IF(AND('Riesgos de Gestión'!$AJ$25="Baja",'Riesgos de Gestión'!$AL$25="Catastrófico"),CONCATENATE("R3C",'Riesgos de Gestión'!$W$25),"")</f>
        <v/>
      </c>
      <c r="AL38" s="39" t="str">
        <f>IF(AND('Riesgos de Gestión'!$AJ$26="Baja",'Riesgos de Gestión'!$AL$26="Catastrófico"),CONCATENATE("R3C",'Riesgos de Gestión'!$W$26),"")</f>
        <v/>
      </c>
      <c r="AM38" s="40" t="str">
        <f>IF(AND('Riesgos de Gestión'!$AJ$27="Baja",'Riesgos de Gestión'!$AL$27="Catastrófico"),CONCATENATE("R3C",'Riesgos de Gestión'!$W$27),"")</f>
        <v/>
      </c>
      <c r="AN38" s="66"/>
      <c r="AO38" s="615"/>
      <c r="AP38" s="616"/>
      <c r="AQ38" s="616"/>
      <c r="AR38" s="616"/>
      <c r="AS38" s="616"/>
      <c r="AT38" s="617"/>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row>
    <row r="39" spans="1:80" ht="15" customHeight="1" x14ac:dyDescent="0.25">
      <c r="A39" s="66"/>
      <c r="B39" s="496"/>
      <c r="C39" s="496"/>
      <c r="D39" s="497"/>
      <c r="E39" s="595"/>
      <c r="F39" s="594"/>
      <c r="G39" s="594"/>
      <c r="H39" s="594"/>
      <c r="I39" s="594"/>
      <c r="J39" s="59" t="str">
        <f>IF(AND('Riesgos de Gestión'!$AJ$28="Baja",'Riesgos de Gestión'!$AL$28="Leve"),CONCATENATE("R4C",'Riesgos de Gestión'!$W$28),"")</f>
        <v/>
      </c>
      <c r="K39" s="60" t="str">
        <f>IF(AND('Riesgos de Gestión'!$AJ$29="Baja",'Riesgos de Gestión'!$AL$29="Leve"),CONCATENATE("R4C",'Riesgos de Gestión'!$W$29),"")</f>
        <v/>
      </c>
      <c r="L39" s="60" t="str">
        <f>IF(AND('Riesgos de Gestión'!$AJ$30="Baja",'Riesgos de Gestión'!$AL$30="Leve"),CONCATENATE("R4C",'Riesgos de Gestión'!$W$30),"")</f>
        <v/>
      </c>
      <c r="M39" s="60" t="str">
        <f>IF(AND('Riesgos de Gestión'!$AJ$31="Baja",'Riesgos de Gestión'!$AL$31="Leve"),CONCATENATE("R4C",'Riesgos de Gestión'!$W$31),"")</f>
        <v/>
      </c>
      <c r="N39" s="60" t="str">
        <f>IF(AND('Riesgos de Gestión'!$AJ$32="Baja",'Riesgos de Gestión'!$AL$32="Leve"),CONCATENATE("R4C",'Riesgos de Gestión'!$W$32),"")</f>
        <v/>
      </c>
      <c r="O39" s="61" t="str">
        <f>IF(AND('Riesgos de Gestión'!$AJ$33="Baja",'Riesgos de Gestión'!$AL$33="Leve"),CONCATENATE("R4C",'Riesgos de Gestión'!$W$33),"")</f>
        <v/>
      </c>
      <c r="P39" s="50" t="str">
        <f>IF(AND('Riesgos de Gestión'!$AJ$28="Baja",'Riesgos de Gestión'!$AL$28="Menor"),CONCATENATE("R4C",'Riesgos de Gestión'!$W$28),"")</f>
        <v>R4C1</v>
      </c>
      <c r="Q39" s="51" t="str">
        <f>IF(AND('Riesgos de Gestión'!$AJ$29="Baja",'Riesgos de Gestión'!$AL$29="Menor"),CONCATENATE("R4C",'Riesgos de Gestión'!$W$29),"")</f>
        <v/>
      </c>
      <c r="R39" s="51" t="str">
        <f>IF(AND('Riesgos de Gestión'!$AJ$30="Baja",'Riesgos de Gestión'!$AL$30="Menor"),CONCATENATE("R4C",'Riesgos de Gestión'!$W$30),"")</f>
        <v/>
      </c>
      <c r="S39" s="51" t="str">
        <f>IF(AND('Riesgos de Gestión'!$AJ$31="Baja",'Riesgos de Gestión'!$AL$31="Menor"),CONCATENATE("R4C",'Riesgos de Gestión'!$W$31),"")</f>
        <v/>
      </c>
      <c r="T39" s="51" t="str">
        <f>IF(AND('Riesgos de Gestión'!$AJ$32="Baja",'Riesgos de Gestión'!$AL$32="Menor"),CONCATENATE("R4C",'Riesgos de Gestión'!$W$32),"")</f>
        <v/>
      </c>
      <c r="U39" s="52" t="str">
        <f>IF(AND('Riesgos de Gestión'!$AJ$33="Baja",'Riesgos de Gestión'!$AL$33="Menor"),CONCATENATE("R4C",'Riesgos de Gestión'!$W$33),"")</f>
        <v/>
      </c>
      <c r="V39" s="50" t="str">
        <f>IF(AND('Riesgos de Gestión'!$AJ$28="Baja",'Riesgos de Gestión'!$AL$28="Moderado"),CONCATENATE("R4C",'Riesgos de Gestión'!$W$28),"")</f>
        <v/>
      </c>
      <c r="W39" s="51" t="str">
        <f>IF(AND('Riesgos de Gestión'!$AJ$29="Baja",'Riesgos de Gestión'!$AL$29="Moderado"),CONCATENATE("R4C",'Riesgos de Gestión'!$W$29),"")</f>
        <v/>
      </c>
      <c r="X39" s="51" t="str">
        <f>IF(AND('Riesgos de Gestión'!$AJ$30="Baja",'Riesgos de Gestión'!$AL$30="Moderado"),CONCATENATE("R4C",'Riesgos de Gestión'!$W$30),"")</f>
        <v/>
      </c>
      <c r="Y39" s="51" t="str">
        <f>IF(AND('Riesgos de Gestión'!$AJ$31="Baja",'Riesgos de Gestión'!$AL$31="Moderado"),CONCATENATE("R4C",'Riesgos de Gestión'!$W$31),"")</f>
        <v/>
      </c>
      <c r="Z39" s="51" t="str">
        <f>IF(AND('Riesgos de Gestión'!$AJ$32="Baja",'Riesgos de Gestión'!$AL$32="Moderado"),CONCATENATE("R4C",'Riesgos de Gestión'!$W$32),"")</f>
        <v/>
      </c>
      <c r="AA39" s="52" t="str">
        <f>IF(AND('Riesgos de Gestión'!$AJ$33="Baja",'Riesgos de Gestión'!$AL$33="Moderado"),CONCATENATE("R4C",'Riesgos de Gestión'!$W$33),"")</f>
        <v/>
      </c>
      <c r="AB39" s="35" t="str">
        <f>IF(AND('Riesgos de Gestión'!$AJ$28="Baja",'Riesgos de Gestión'!$AL$28="Mayor"),CONCATENATE("R4C",'Riesgos de Gestión'!$W$28),"")</f>
        <v/>
      </c>
      <c r="AC39" s="36" t="str">
        <f>IF(AND('Riesgos de Gestión'!$AJ$29="Baja",'Riesgos de Gestión'!$AL$29="Mayor"),CONCATENATE("R4C",'Riesgos de Gestión'!$W$29),"")</f>
        <v/>
      </c>
      <c r="AD39" s="36" t="str">
        <f>IF(AND('Riesgos de Gestión'!$AJ$30="Baja",'Riesgos de Gestión'!$AL$30="Mayor"),CONCATENATE("R4C",'Riesgos de Gestión'!$W$30),"")</f>
        <v/>
      </c>
      <c r="AE39" s="36" t="str">
        <f>IF(AND('Riesgos de Gestión'!$AJ$31="Baja",'Riesgos de Gestión'!$AL$31="Mayor"),CONCATENATE("R4C",'Riesgos de Gestión'!$W$31),"")</f>
        <v/>
      </c>
      <c r="AF39" s="36" t="str">
        <f>IF(AND('Riesgos de Gestión'!$AJ$32="Baja",'Riesgos de Gestión'!$AL$32="Mayor"),CONCATENATE("R4C",'Riesgos de Gestión'!$W$32),"")</f>
        <v/>
      </c>
      <c r="AG39" s="37" t="str">
        <f>IF(AND('Riesgos de Gestión'!$AJ$33="Baja",'Riesgos de Gestión'!$AL$33="Mayor"),CONCATENATE("R4C",'Riesgos de Gestión'!$W$33),"")</f>
        <v/>
      </c>
      <c r="AH39" s="38" t="str">
        <f>IF(AND('Riesgos de Gestión'!$AJ$28="Baja",'Riesgos de Gestión'!$AL$28="Catastrófico"),CONCATENATE("R4C",'Riesgos de Gestión'!$W$28),"")</f>
        <v/>
      </c>
      <c r="AI39" s="39" t="str">
        <f>IF(AND('Riesgos de Gestión'!$AJ$29="Baja",'Riesgos de Gestión'!$AL$29="Catastrófico"),CONCATENATE("R4C",'Riesgos de Gestión'!$W$29),"")</f>
        <v/>
      </c>
      <c r="AJ39" s="39" t="str">
        <f>IF(AND('Riesgos de Gestión'!$AJ$30="Baja",'Riesgos de Gestión'!$AL$30="Catastrófico"),CONCATENATE("R4C",'Riesgos de Gestión'!$W$30),"")</f>
        <v/>
      </c>
      <c r="AK39" s="39" t="str">
        <f>IF(AND('Riesgos de Gestión'!$AJ$31="Baja",'Riesgos de Gestión'!$AL$31="Catastrófico"),CONCATENATE("R4C",'Riesgos de Gestión'!$W$31),"")</f>
        <v/>
      </c>
      <c r="AL39" s="39" t="str">
        <f>IF(AND('Riesgos de Gestión'!$AJ$32="Baja",'Riesgos de Gestión'!$AL$32="Catastrófico"),CONCATENATE("R4C",'Riesgos de Gestión'!$W$32),"")</f>
        <v/>
      </c>
      <c r="AM39" s="40" t="str">
        <f>IF(AND('Riesgos de Gestión'!$AJ$33="Baja",'Riesgos de Gestión'!$AL$33="Catastrófico"),CONCATENATE("R4C",'Riesgos de Gestión'!$W$33),"")</f>
        <v/>
      </c>
      <c r="AN39" s="66"/>
      <c r="AO39" s="615"/>
      <c r="AP39" s="616"/>
      <c r="AQ39" s="616"/>
      <c r="AR39" s="616"/>
      <c r="AS39" s="616"/>
      <c r="AT39" s="617"/>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row>
    <row r="40" spans="1:80" ht="15" customHeight="1" x14ac:dyDescent="0.25">
      <c r="A40" s="66"/>
      <c r="B40" s="496"/>
      <c r="C40" s="496"/>
      <c r="D40" s="497"/>
      <c r="E40" s="595"/>
      <c r="F40" s="594"/>
      <c r="G40" s="594"/>
      <c r="H40" s="594"/>
      <c r="I40" s="594"/>
      <c r="J40" s="59" t="str">
        <f>IF(AND('Riesgos de Gestión'!$AJ$34="Baja",'Riesgos de Gestión'!$AL$34="Leve"),CONCATENATE("R5C",'Riesgos de Gestión'!$W$34),"")</f>
        <v/>
      </c>
      <c r="K40" s="60" t="str">
        <f>IF(AND('Riesgos de Gestión'!$AJ$35="Baja",'Riesgos de Gestión'!$AL$35="Leve"),CONCATENATE("R5C",'Riesgos de Gestión'!$W$35),"")</f>
        <v/>
      </c>
      <c r="L40" s="60" t="str">
        <f>IF(AND('Riesgos de Gestión'!$AJ$36="Baja",'Riesgos de Gestión'!$AL$36="Leve"),CONCATENATE("R5C",'Riesgos de Gestión'!$W$36),"")</f>
        <v/>
      </c>
      <c r="M40" s="60" t="str">
        <f>IF(AND('Riesgos de Gestión'!$AJ$37="Baja",'Riesgos de Gestión'!$AL$37="Leve"),CONCATENATE("R5C",'Riesgos de Gestión'!$W$37),"")</f>
        <v/>
      </c>
      <c r="N40" s="60" t="str">
        <f>IF(AND('Riesgos de Gestión'!$AJ$38="Baja",'Riesgos de Gestión'!$AL$38="Leve"),CONCATENATE("R5C",'Riesgos de Gestión'!$W$38),"")</f>
        <v/>
      </c>
      <c r="O40" s="61" t="str">
        <f>IF(AND('Riesgos de Gestión'!$AJ$39="Baja",'Riesgos de Gestión'!$AL$39="Leve"),CONCATENATE("R5C",'Riesgos de Gestión'!$W$39),"")</f>
        <v/>
      </c>
      <c r="P40" s="50" t="str">
        <f>IF(AND('Riesgos de Gestión'!$AJ$34="Baja",'Riesgos de Gestión'!$AL$34="Menor"),CONCATENATE("R5C",'Riesgos de Gestión'!$W$34),"")</f>
        <v/>
      </c>
      <c r="Q40" s="51" t="str">
        <f>IF(AND('Riesgos de Gestión'!$AJ$35="Baja",'Riesgos de Gestión'!$AL$35="Menor"),CONCATENATE("R5C",'Riesgos de Gestión'!$W$35),"")</f>
        <v/>
      </c>
      <c r="R40" s="51" t="str">
        <f>IF(AND('Riesgos de Gestión'!$AJ$36="Baja",'Riesgos de Gestión'!$AL$36="Menor"),CONCATENATE("R5C",'Riesgos de Gestión'!$W$36),"")</f>
        <v/>
      </c>
      <c r="S40" s="51" t="str">
        <f>IF(AND('Riesgos de Gestión'!$AJ$37="Baja",'Riesgos de Gestión'!$AL$37="Menor"),CONCATENATE("R5C",'Riesgos de Gestión'!$W$37),"")</f>
        <v/>
      </c>
      <c r="T40" s="51" t="str">
        <f>IF(AND('Riesgos de Gestión'!$AJ$38="Baja",'Riesgos de Gestión'!$AL$38="Menor"),CONCATENATE("R5C",'Riesgos de Gestión'!$W$38),"")</f>
        <v/>
      </c>
      <c r="U40" s="52" t="str">
        <f>IF(AND('Riesgos de Gestión'!$AJ$39="Baja",'Riesgos de Gestión'!$AL$39="Menor"),CONCATENATE("R5C",'Riesgos de Gestión'!$W$39),"")</f>
        <v/>
      </c>
      <c r="V40" s="50" t="str">
        <f>IF(AND('Riesgos de Gestión'!$AJ$34="Baja",'Riesgos de Gestión'!$AL$34="Moderado"),CONCATENATE("R5C",'Riesgos de Gestión'!$W$34),"")</f>
        <v/>
      </c>
      <c r="W40" s="51" t="str">
        <f>IF(AND('Riesgos de Gestión'!$AJ$35="Baja",'Riesgos de Gestión'!$AL$35="Moderado"),CONCATENATE("R5C",'Riesgos de Gestión'!$W$35),"")</f>
        <v>R5C2</v>
      </c>
      <c r="X40" s="51" t="str">
        <f>IF(AND('Riesgos de Gestión'!$AJ$36="Baja",'Riesgos de Gestión'!$AL$36="Moderado"),CONCATENATE("R5C",'Riesgos de Gestión'!$W$36),"")</f>
        <v>R5C3</v>
      </c>
      <c r="Y40" s="51" t="str">
        <f>IF(AND('Riesgos de Gestión'!$AJ$37="Baja",'Riesgos de Gestión'!$AL$37="Moderado"),CONCATENATE("R5C",'Riesgos de Gestión'!$W$37),"")</f>
        <v/>
      </c>
      <c r="Z40" s="51" t="str">
        <f>IF(AND('Riesgos de Gestión'!$AJ$38="Baja",'Riesgos de Gestión'!$AL$38="Moderado"),CONCATENATE("R5C",'Riesgos de Gestión'!$W$38),"")</f>
        <v/>
      </c>
      <c r="AA40" s="52" t="str">
        <f>IF(AND('Riesgos de Gestión'!$AJ$39="Baja",'Riesgos de Gestión'!$AL$39="Moderado"),CONCATENATE("R5C",'Riesgos de Gestión'!$W$39),"")</f>
        <v/>
      </c>
      <c r="AB40" s="35" t="str">
        <f>IF(AND('Riesgos de Gestión'!$AJ$34="Baja",'Riesgos de Gestión'!$AL$34="Mayor"),CONCATENATE("R5C",'Riesgos de Gestión'!$W$34),"")</f>
        <v/>
      </c>
      <c r="AC40" s="36" t="str">
        <f>IF(AND('Riesgos de Gestión'!$AJ$35="Baja",'Riesgos de Gestión'!$AL$35="Mayor"),CONCATENATE("R5C",'Riesgos de Gestión'!$W$35),"")</f>
        <v/>
      </c>
      <c r="AD40" s="36" t="str">
        <f>IF(AND('Riesgos de Gestión'!$AJ$36="Baja",'Riesgos de Gestión'!$AL$36="Mayor"),CONCATENATE("R5C",'Riesgos de Gestión'!$W$36),"")</f>
        <v/>
      </c>
      <c r="AE40" s="36" t="str">
        <f>IF(AND('Riesgos de Gestión'!$AJ$37="Baja",'Riesgos de Gestión'!$AL$37="Mayor"),CONCATENATE("R5C",'Riesgos de Gestión'!$W$37),"")</f>
        <v/>
      </c>
      <c r="AF40" s="36" t="str">
        <f>IF(AND('Riesgos de Gestión'!$AJ$38="Baja",'Riesgos de Gestión'!$AL$38="Mayor"),CONCATENATE("R5C",'Riesgos de Gestión'!$W$38),"")</f>
        <v/>
      </c>
      <c r="AG40" s="37" t="str">
        <f>IF(AND('Riesgos de Gestión'!$AJ$39="Baja",'Riesgos de Gestión'!$AL$39="Mayor"),CONCATENATE("R5C",'Riesgos de Gestión'!$W$39),"")</f>
        <v/>
      </c>
      <c r="AH40" s="38" t="str">
        <f>IF(AND('Riesgos de Gestión'!$AJ$34="Baja",'Riesgos de Gestión'!$AL$34="Catastrófico"),CONCATENATE("R5C",'Riesgos de Gestión'!$W$34),"")</f>
        <v/>
      </c>
      <c r="AI40" s="39" t="str">
        <f>IF(AND('Riesgos de Gestión'!$AJ$35="Baja",'Riesgos de Gestión'!$AL$35="Catastrófico"),CONCATENATE("R5C",'Riesgos de Gestión'!$W$35),"")</f>
        <v/>
      </c>
      <c r="AJ40" s="39" t="str">
        <f>IF(AND('Riesgos de Gestión'!$AJ$36="Baja",'Riesgos de Gestión'!$AL$36="Catastrófico"),CONCATENATE("R5C",'Riesgos de Gestión'!$W$36),"")</f>
        <v/>
      </c>
      <c r="AK40" s="39" t="str">
        <f>IF(AND('Riesgos de Gestión'!$AJ$37="Baja",'Riesgos de Gestión'!$AL$37="Catastrófico"),CONCATENATE("R5C",'Riesgos de Gestión'!$W$37),"")</f>
        <v/>
      </c>
      <c r="AL40" s="39" t="str">
        <f>IF(AND('Riesgos de Gestión'!$AJ$38="Baja",'Riesgos de Gestión'!$AL$38="Catastrófico"),CONCATENATE("R5C",'Riesgos de Gestión'!$W$38),"")</f>
        <v/>
      </c>
      <c r="AM40" s="40" t="str">
        <f>IF(AND('Riesgos de Gestión'!$AJ$39="Baja",'Riesgos de Gestión'!$AL$39="Catastrófico"),CONCATENATE("R5C",'Riesgos de Gestión'!$W$39),"")</f>
        <v/>
      </c>
      <c r="AN40" s="66"/>
      <c r="AO40" s="615"/>
      <c r="AP40" s="616"/>
      <c r="AQ40" s="616"/>
      <c r="AR40" s="616"/>
      <c r="AS40" s="616"/>
      <c r="AT40" s="617"/>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row>
    <row r="41" spans="1:80" ht="15" customHeight="1" x14ac:dyDescent="0.25">
      <c r="A41" s="66"/>
      <c r="B41" s="496"/>
      <c r="C41" s="496"/>
      <c r="D41" s="497"/>
      <c r="E41" s="595"/>
      <c r="F41" s="594"/>
      <c r="G41" s="594"/>
      <c r="H41" s="594"/>
      <c r="I41" s="594"/>
      <c r="J41" s="59" t="str">
        <f>IF(AND('Riesgos de Gestión'!$AJ$40="Baja",'Riesgos de Gestión'!$AL$40="Leve"),CONCATENATE("R6C",'Riesgos de Gestión'!$W$40),"")</f>
        <v/>
      </c>
      <c r="K41" s="60" t="str">
        <f>IF(AND('Riesgos de Gestión'!$AJ$41="Baja",'Riesgos de Gestión'!$AL$41="Leve"),CONCATENATE("R6C",'Riesgos de Gestión'!$W$41),"")</f>
        <v/>
      </c>
      <c r="L41" s="60" t="str">
        <f>IF(AND('Riesgos de Gestión'!$AJ$42="Baja",'Riesgos de Gestión'!$AL$42="Leve"),CONCATENATE("R6C",'Riesgos de Gestión'!$W$42),"")</f>
        <v/>
      </c>
      <c r="M41" s="60" t="str">
        <f>IF(AND('Riesgos de Gestión'!$AJ$43="Baja",'Riesgos de Gestión'!$AL$43="Leve"),CONCATENATE("R6C",'Riesgos de Gestión'!$W$43),"")</f>
        <v/>
      </c>
      <c r="N41" s="60" t="str">
        <f>IF(AND('Riesgos de Gestión'!$AJ$44="Baja",'Riesgos de Gestión'!$AL$44="Leve"),CONCATENATE("R6C",'Riesgos de Gestión'!$W$44),"")</f>
        <v/>
      </c>
      <c r="O41" s="61" t="str">
        <f>IF(AND('Riesgos de Gestión'!$AJ$45="Baja",'Riesgos de Gestión'!$AL$45="Leve"),CONCATENATE("R6C",'Riesgos de Gestión'!$W$45),"")</f>
        <v/>
      </c>
      <c r="P41" s="50" t="str">
        <f>IF(AND('Riesgos de Gestión'!$AJ$40="Baja",'Riesgos de Gestión'!$AL$40="Menor"),CONCATENATE("R6C",'Riesgos de Gestión'!$W$40),"")</f>
        <v/>
      </c>
      <c r="Q41" s="51" t="str">
        <f>IF(AND('Riesgos de Gestión'!$AJ$41="Baja",'Riesgos de Gestión'!$AL$41="Menor"),CONCATENATE("R6C",'Riesgos de Gestión'!$W$41),"")</f>
        <v/>
      </c>
      <c r="R41" s="51" t="str">
        <f>IF(AND('Riesgos de Gestión'!$AJ$42="Baja",'Riesgos de Gestión'!$AL$42="Menor"),CONCATENATE("R6C",'Riesgos de Gestión'!$W$42),"")</f>
        <v/>
      </c>
      <c r="S41" s="51" t="str">
        <f>IF(AND('Riesgos de Gestión'!$AJ$43="Baja",'Riesgos de Gestión'!$AL$43="Menor"),CONCATENATE("R6C",'Riesgos de Gestión'!$W$43),"")</f>
        <v/>
      </c>
      <c r="T41" s="51" t="str">
        <f>IF(AND('Riesgos de Gestión'!$AJ$44="Baja",'Riesgos de Gestión'!$AL$44="Menor"),CONCATENATE("R6C",'Riesgos de Gestión'!$W$44),"")</f>
        <v/>
      </c>
      <c r="U41" s="52" t="str">
        <f>IF(AND('Riesgos de Gestión'!$AJ$45="Baja",'Riesgos de Gestión'!$AL$45="Menor"),CONCATENATE("R6C",'Riesgos de Gestión'!$W$45),"")</f>
        <v/>
      </c>
      <c r="V41" s="50" t="str">
        <f>IF(AND('Riesgos de Gestión'!$AJ$40="Baja",'Riesgos de Gestión'!$AL$40="Moderado"),CONCATENATE("R6C",'Riesgos de Gestión'!$W$40),"")</f>
        <v>R6C1</v>
      </c>
      <c r="W41" s="51" t="str">
        <f>IF(AND('Riesgos de Gestión'!$AJ$41="Baja",'Riesgos de Gestión'!$AL$41="Moderado"),CONCATENATE("R6C",'Riesgos de Gestión'!$W$41),"")</f>
        <v>R6C2</v>
      </c>
      <c r="X41" s="51" t="str">
        <f>IF(AND('Riesgos de Gestión'!$AJ$42="Baja",'Riesgos de Gestión'!$AL$42="Moderado"),CONCATENATE("R6C",'Riesgos de Gestión'!$W$42),"")</f>
        <v/>
      </c>
      <c r="Y41" s="51" t="str">
        <f>IF(AND('Riesgos de Gestión'!$AJ$43="Baja",'Riesgos de Gestión'!$AL$43="Moderado"),CONCATENATE("R6C",'Riesgos de Gestión'!$W$43),"")</f>
        <v/>
      </c>
      <c r="Z41" s="51" t="str">
        <f>IF(AND('Riesgos de Gestión'!$AJ$44="Baja",'Riesgos de Gestión'!$AL$44="Moderado"),CONCATENATE("R6C",'Riesgos de Gestión'!$W$44),"")</f>
        <v/>
      </c>
      <c r="AA41" s="52" t="str">
        <f>IF(AND('Riesgos de Gestión'!$AJ$45="Baja",'Riesgos de Gestión'!$AL$45="Moderado"),CONCATENATE("R6C",'Riesgos de Gestión'!$W$45),"")</f>
        <v/>
      </c>
      <c r="AB41" s="35" t="str">
        <f>IF(AND('Riesgos de Gestión'!$AJ$40="Baja",'Riesgos de Gestión'!$AL$40="Mayor"),CONCATENATE("R6C",'Riesgos de Gestión'!$W$40),"")</f>
        <v/>
      </c>
      <c r="AC41" s="36" t="str">
        <f>IF(AND('Riesgos de Gestión'!$AJ$41="Baja",'Riesgos de Gestión'!$AL$41="Mayor"),CONCATENATE("R6C",'Riesgos de Gestión'!$W$41),"")</f>
        <v/>
      </c>
      <c r="AD41" s="36" t="str">
        <f>IF(AND('Riesgos de Gestión'!$AJ$42="Baja",'Riesgos de Gestión'!$AL$42="Mayor"),CONCATENATE("R6C",'Riesgos de Gestión'!$W$42),"")</f>
        <v/>
      </c>
      <c r="AE41" s="36" t="str">
        <f>IF(AND('Riesgos de Gestión'!$AJ$43="Baja",'Riesgos de Gestión'!$AL$43="Mayor"),CONCATENATE("R6C",'Riesgos de Gestión'!$W$43),"")</f>
        <v/>
      </c>
      <c r="AF41" s="36" t="str">
        <f>IF(AND('Riesgos de Gestión'!$AJ$44="Baja",'Riesgos de Gestión'!$AL$44="Mayor"),CONCATENATE("R6C",'Riesgos de Gestión'!$W$44),"")</f>
        <v/>
      </c>
      <c r="AG41" s="37" t="str">
        <f>IF(AND('Riesgos de Gestión'!$AJ$45="Baja",'Riesgos de Gestión'!$AL$45="Mayor"),CONCATENATE("R6C",'Riesgos de Gestión'!$W$45),"")</f>
        <v/>
      </c>
      <c r="AH41" s="38" t="str">
        <f>IF(AND('Riesgos de Gestión'!$AJ$40="Baja",'Riesgos de Gestión'!$AL$40="Catastrófico"),CONCATENATE("R6C",'Riesgos de Gestión'!$W$40),"")</f>
        <v/>
      </c>
      <c r="AI41" s="39" t="str">
        <f>IF(AND('Riesgos de Gestión'!$AJ$41="Baja",'Riesgos de Gestión'!$AL$41="Catastrófico"),CONCATENATE("R6C",'Riesgos de Gestión'!$W$41),"")</f>
        <v/>
      </c>
      <c r="AJ41" s="39" t="str">
        <f>IF(AND('Riesgos de Gestión'!$AJ$42="Baja",'Riesgos de Gestión'!$AL$42="Catastrófico"),CONCATENATE("R6C",'Riesgos de Gestión'!$W$42),"")</f>
        <v/>
      </c>
      <c r="AK41" s="39" t="str">
        <f>IF(AND('Riesgos de Gestión'!$AJ$43="Baja",'Riesgos de Gestión'!$AL$43="Catastrófico"),CONCATENATE("R6C",'Riesgos de Gestión'!$W$43),"")</f>
        <v/>
      </c>
      <c r="AL41" s="39" t="str">
        <f>IF(AND('Riesgos de Gestión'!$AJ$44="Baja",'Riesgos de Gestión'!$AL$44="Catastrófico"),CONCATENATE("R6C",'Riesgos de Gestión'!$W$44),"")</f>
        <v/>
      </c>
      <c r="AM41" s="40" t="str">
        <f>IF(AND('Riesgos de Gestión'!$AJ$45="Baja",'Riesgos de Gestión'!$AL$45="Catastrófico"),CONCATENATE("R6C",'Riesgos de Gestión'!$W$45),"")</f>
        <v/>
      </c>
      <c r="AN41" s="66"/>
      <c r="AO41" s="615"/>
      <c r="AP41" s="616"/>
      <c r="AQ41" s="616"/>
      <c r="AR41" s="616"/>
      <c r="AS41" s="616"/>
      <c r="AT41" s="617"/>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row>
    <row r="42" spans="1:80" ht="15" customHeight="1" x14ac:dyDescent="0.25">
      <c r="A42" s="66"/>
      <c r="B42" s="496"/>
      <c r="C42" s="496"/>
      <c r="D42" s="497"/>
      <c r="E42" s="595"/>
      <c r="F42" s="594"/>
      <c r="G42" s="594"/>
      <c r="H42" s="594"/>
      <c r="I42" s="594"/>
      <c r="J42" s="59" t="str">
        <f>IF(AND('Riesgos de Gestión'!$AJ$46="Baja",'Riesgos de Gestión'!$AL$46="Leve"),CONCATENATE("R7C",'Riesgos de Gestión'!$W$46),"")</f>
        <v/>
      </c>
      <c r="K42" s="60" t="str">
        <f>IF(AND('Riesgos de Gestión'!$AJ$47="Baja",'Riesgos de Gestión'!$AL$47="Leve"),CONCATENATE("R7C",'Riesgos de Gestión'!$W$47),"")</f>
        <v/>
      </c>
      <c r="L42" s="60" t="str">
        <f>IF(AND('Riesgos de Gestión'!$AJ$48="Baja",'Riesgos de Gestión'!$AL$48="Leve"),CONCATENATE("R7C",'Riesgos de Gestión'!$W$48),"")</f>
        <v/>
      </c>
      <c r="M42" s="60" t="str">
        <f>IF(AND('Riesgos de Gestión'!$AJ$49="Baja",'Riesgos de Gestión'!$AL$49="Leve"),CONCATENATE("R7C",'Riesgos de Gestión'!$W$49),"")</f>
        <v/>
      </c>
      <c r="N42" s="60" t="str">
        <f>IF(AND('Riesgos de Gestión'!$AJ$50="Baja",'Riesgos de Gestión'!$AL$50="Leve"),CONCATENATE("R7C",'Riesgos de Gestión'!$W$50),"")</f>
        <v/>
      </c>
      <c r="O42" s="61" t="str">
        <f>IF(AND('Riesgos de Gestión'!$AJ$51="Baja",'Riesgos de Gestión'!$AL$51="Leve"),CONCATENATE("R7C",'Riesgos de Gestión'!$W$51),"")</f>
        <v/>
      </c>
      <c r="P42" s="50" t="str">
        <f>IF(AND('Riesgos de Gestión'!$AJ$46="Baja",'Riesgos de Gestión'!$AL$46="Menor"),CONCATENATE("R7C",'Riesgos de Gestión'!$W$46),"")</f>
        <v>R7C1</v>
      </c>
      <c r="Q42" s="51" t="str">
        <f>IF(AND('Riesgos de Gestión'!$AJ$47="Baja",'Riesgos de Gestión'!$AL$47="Menor"),CONCATENATE("R7C",'Riesgos de Gestión'!$W$47),"")</f>
        <v/>
      </c>
      <c r="R42" s="51" t="str">
        <f>IF(AND('Riesgos de Gestión'!$AJ$48="Baja",'Riesgos de Gestión'!$AL$48="Menor"),CONCATENATE("R7C",'Riesgos de Gestión'!$W$48),"")</f>
        <v/>
      </c>
      <c r="S42" s="51" t="str">
        <f>IF(AND('Riesgos de Gestión'!$AJ$49="Baja",'Riesgos de Gestión'!$AL$49="Menor"),CONCATENATE("R7C",'Riesgos de Gestión'!$W$49),"")</f>
        <v/>
      </c>
      <c r="T42" s="51" t="str">
        <f>IF(AND('Riesgos de Gestión'!$AJ$50="Baja",'Riesgos de Gestión'!$AL$50="Menor"),CONCATENATE("R7C",'Riesgos de Gestión'!$W$50),"")</f>
        <v/>
      </c>
      <c r="U42" s="52" t="str">
        <f>IF(AND('Riesgos de Gestión'!$AJ$51="Baja",'Riesgos de Gestión'!$AL$51="Menor"),CONCATENATE("R7C",'Riesgos de Gestión'!$W$51),"")</f>
        <v/>
      </c>
      <c r="V42" s="50" t="str">
        <f>IF(AND('Riesgos de Gestión'!$AJ$46="Baja",'Riesgos de Gestión'!$AL$46="Moderado"),CONCATENATE("R7C",'Riesgos de Gestión'!$W$46),"")</f>
        <v/>
      </c>
      <c r="W42" s="51" t="str">
        <f>IF(AND('Riesgos de Gestión'!$AJ$47="Baja",'Riesgos de Gestión'!$AL$47="Moderado"),CONCATENATE("R7C",'Riesgos de Gestión'!$W$47),"")</f>
        <v>R7C2</v>
      </c>
      <c r="X42" s="51" t="str">
        <f>IF(AND('Riesgos de Gestión'!$AJ$48="Baja",'Riesgos de Gestión'!$AL$48="Moderado"),CONCATENATE("R7C",'Riesgos de Gestión'!$W$48),"")</f>
        <v/>
      </c>
      <c r="Y42" s="51" t="str">
        <f>IF(AND('Riesgos de Gestión'!$AJ$49="Baja",'Riesgos de Gestión'!$AL$49="Moderado"),CONCATENATE("R7C",'Riesgos de Gestión'!$W$49),"")</f>
        <v/>
      </c>
      <c r="Z42" s="51" t="str">
        <f>IF(AND('Riesgos de Gestión'!$AJ$50="Baja",'Riesgos de Gestión'!$AL$50="Moderado"),CONCATENATE("R7C",'Riesgos de Gestión'!$W$50),"")</f>
        <v/>
      </c>
      <c r="AA42" s="52" t="str">
        <f>IF(AND('Riesgos de Gestión'!$AJ$51="Baja",'Riesgos de Gestión'!$AL$51="Moderado"),CONCATENATE("R7C",'Riesgos de Gestión'!$W$51),"")</f>
        <v/>
      </c>
      <c r="AB42" s="35" t="str">
        <f>IF(AND('Riesgos de Gestión'!$AJ$46="Baja",'Riesgos de Gestión'!$AL$46="Mayor"),CONCATENATE("R7C",'Riesgos de Gestión'!$W$46),"")</f>
        <v/>
      </c>
      <c r="AC42" s="36" t="str">
        <f>IF(AND('Riesgos de Gestión'!$AJ$47="Baja",'Riesgos de Gestión'!$AL$47="Mayor"),CONCATENATE("R7C",'Riesgos de Gestión'!$W$47),"")</f>
        <v/>
      </c>
      <c r="AD42" s="36" t="str">
        <f>IF(AND('Riesgos de Gestión'!$AJ$48="Baja",'Riesgos de Gestión'!$AL$48="Mayor"),CONCATENATE("R7C",'Riesgos de Gestión'!$W$48),"")</f>
        <v/>
      </c>
      <c r="AE42" s="36" t="str">
        <f>IF(AND('Riesgos de Gestión'!$AJ$49="Baja",'Riesgos de Gestión'!$AL$49="Mayor"),CONCATENATE("R7C",'Riesgos de Gestión'!$W$49),"")</f>
        <v/>
      </c>
      <c r="AF42" s="36" t="str">
        <f>IF(AND('Riesgos de Gestión'!$AJ$50="Baja",'Riesgos de Gestión'!$AL$50="Mayor"),CONCATENATE("R7C",'Riesgos de Gestión'!$W$50),"")</f>
        <v/>
      </c>
      <c r="AG42" s="37" t="str">
        <f>IF(AND('Riesgos de Gestión'!$AJ$51="Baja",'Riesgos de Gestión'!$AL$51="Mayor"),CONCATENATE("R7C",'Riesgos de Gestión'!$W$51),"")</f>
        <v/>
      </c>
      <c r="AH42" s="38" t="str">
        <f>IF(AND('Riesgos de Gestión'!$AJ$46="Baja",'Riesgos de Gestión'!$AL$46="Catastrófico"),CONCATENATE("R7C",'Riesgos de Gestión'!$W$46),"")</f>
        <v/>
      </c>
      <c r="AI42" s="39" t="str">
        <f>IF(AND('Riesgos de Gestión'!$AJ$47="Baja",'Riesgos de Gestión'!$AL$47="Catastrófico"),CONCATENATE("R7C",'Riesgos de Gestión'!$W$47),"")</f>
        <v/>
      </c>
      <c r="AJ42" s="39" t="str">
        <f>IF(AND('Riesgos de Gestión'!$AJ$48="Baja",'Riesgos de Gestión'!$AL$48="Catastrófico"),CONCATENATE("R7C",'Riesgos de Gestión'!$W$48),"")</f>
        <v/>
      </c>
      <c r="AK42" s="39" t="str">
        <f>IF(AND('Riesgos de Gestión'!$AJ$49="Baja",'Riesgos de Gestión'!$AL$49="Catastrófico"),CONCATENATE("R7C",'Riesgos de Gestión'!$W$49),"")</f>
        <v/>
      </c>
      <c r="AL42" s="39" t="str">
        <f>IF(AND('Riesgos de Gestión'!$AJ$50="Baja",'Riesgos de Gestión'!$AL$50="Catastrófico"),CONCATENATE("R7C",'Riesgos de Gestión'!$W$50),"")</f>
        <v/>
      </c>
      <c r="AM42" s="40" t="str">
        <f>IF(AND('Riesgos de Gestión'!$AJ$51="Baja",'Riesgos de Gestión'!$AL$51="Catastrófico"),CONCATENATE("R7C",'Riesgos de Gestión'!$W$51),"")</f>
        <v/>
      </c>
      <c r="AN42" s="66"/>
      <c r="AO42" s="615"/>
      <c r="AP42" s="616"/>
      <c r="AQ42" s="616"/>
      <c r="AR42" s="616"/>
      <c r="AS42" s="616"/>
      <c r="AT42" s="617"/>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row>
    <row r="43" spans="1:80" ht="15" customHeight="1" x14ac:dyDescent="0.25">
      <c r="A43" s="66"/>
      <c r="B43" s="496"/>
      <c r="C43" s="496"/>
      <c r="D43" s="497"/>
      <c r="E43" s="595"/>
      <c r="F43" s="594"/>
      <c r="G43" s="594"/>
      <c r="H43" s="594"/>
      <c r="I43" s="594"/>
      <c r="J43" s="59" t="str">
        <f>IF(AND('Riesgos de Gestión'!$AJ$52="Baja",'Riesgos de Gestión'!$AL$52="Leve"),CONCATENATE("R8C",'Riesgos de Gestión'!$W$52),"")</f>
        <v/>
      </c>
      <c r="K43" s="60" t="str">
        <f>IF(AND('Riesgos de Gestión'!$AJ$53="Baja",'Riesgos de Gestión'!$AL$53="Leve"),CONCATENATE("R8C",'Riesgos de Gestión'!$W$53),"")</f>
        <v/>
      </c>
      <c r="L43" s="60" t="str">
        <f>IF(AND('Riesgos de Gestión'!$AJ$54="Baja",'Riesgos de Gestión'!$AL$54="Leve"),CONCATENATE("R8C",'Riesgos de Gestión'!$W$54),"")</f>
        <v/>
      </c>
      <c r="M43" s="60" t="str">
        <f>IF(AND('Riesgos de Gestión'!$AJ$55="Baja",'Riesgos de Gestión'!$AL$55="Leve"),CONCATENATE("R8C",'Riesgos de Gestión'!$W$55),"")</f>
        <v/>
      </c>
      <c r="N43" s="60" t="str">
        <f>IF(AND('Riesgos de Gestión'!$AJ$56="Baja",'Riesgos de Gestión'!$AL$56="Leve"),CONCATENATE("R8C",'Riesgos de Gestión'!$W$56),"")</f>
        <v/>
      </c>
      <c r="O43" s="61" t="str">
        <f>IF(AND('Riesgos de Gestión'!$AJ$57="Baja",'Riesgos de Gestión'!$AL$57="Leve"),CONCATENATE("R8C",'Riesgos de Gestión'!$W$57),"")</f>
        <v/>
      </c>
      <c r="P43" s="50" t="str">
        <f>IF(AND('Riesgos de Gestión'!$AJ$52="Baja",'Riesgos de Gestión'!$AL$52="Menor"),CONCATENATE("R8C",'Riesgos de Gestión'!$W$52),"")</f>
        <v/>
      </c>
      <c r="Q43" s="51" t="str">
        <f>IF(AND('Riesgos de Gestión'!$AJ$53="Baja",'Riesgos de Gestión'!$AL$53="Menor"),CONCATENATE("R8C",'Riesgos de Gestión'!$W$53),"")</f>
        <v/>
      </c>
      <c r="R43" s="51" t="str">
        <f>IF(AND('Riesgos de Gestión'!$AJ$54="Baja",'Riesgos de Gestión'!$AL$54="Menor"),CONCATENATE("R8C",'Riesgos de Gestión'!$W$54),"")</f>
        <v/>
      </c>
      <c r="S43" s="51" t="str">
        <f>IF(AND('Riesgos de Gestión'!$AJ$55="Baja",'Riesgos de Gestión'!$AL$55="Menor"),CONCATENATE("R8C",'Riesgos de Gestión'!$W$55),"")</f>
        <v/>
      </c>
      <c r="T43" s="51" t="str">
        <f>IF(AND('Riesgos de Gestión'!$AJ$56="Baja",'Riesgos de Gestión'!$AL$56="Menor"),CONCATENATE("R8C",'Riesgos de Gestión'!$W$56),"")</f>
        <v/>
      </c>
      <c r="U43" s="52" t="str">
        <f>IF(AND('Riesgos de Gestión'!$AJ$57="Baja",'Riesgos de Gestión'!$AL$57="Menor"),CONCATENATE("R8C",'Riesgos de Gestión'!$W$57),"")</f>
        <v/>
      </c>
      <c r="V43" s="50" t="str">
        <f>IF(AND('Riesgos de Gestión'!$AJ$52="Baja",'Riesgos de Gestión'!$AL$52="Moderado"),CONCATENATE("R8C",'Riesgos de Gestión'!$W$52),"")</f>
        <v/>
      </c>
      <c r="W43" s="51" t="str">
        <f>IF(AND('Riesgos de Gestión'!$AJ$53="Baja",'Riesgos de Gestión'!$AL$53="Moderado"),CONCATENATE("R8C",'Riesgos de Gestión'!$W$53),"")</f>
        <v/>
      </c>
      <c r="X43" s="51" t="str">
        <f>IF(AND('Riesgos de Gestión'!$AJ$54="Baja",'Riesgos de Gestión'!$AL$54="Moderado"),CONCATENATE("R8C",'Riesgos de Gestión'!$W$54),"")</f>
        <v/>
      </c>
      <c r="Y43" s="51" t="str">
        <f>IF(AND('Riesgos de Gestión'!$AJ$55="Baja",'Riesgos de Gestión'!$AL$55="Moderado"),CONCATENATE("R8C",'Riesgos de Gestión'!$W$55),"")</f>
        <v/>
      </c>
      <c r="Z43" s="51" t="str">
        <f>IF(AND('Riesgos de Gestión'!$AJ$56="Baja",'Riesgos de Gestión'!$AL$56="Moderado"),CONCATENATE("R8C",'Riesgos de Gestión'!$W$56),"")</f>
        <v/>
      </c>
      <c r="AA43" s="52" t="str">
        <f>IF(AND('Riesgos de Gestión'!$AJ$57="Baja",'Riesgos de Gestión'!$AL$57="Moderado"),CONCATENATE("R8C",'Riesgos de Gestión'!$W$57),"")</f>
        <v/>
      </c>
      <c r="AB43" s="35" t="str">
        <f>IF(AND('Riesgos de Gestión'!$AJ$52="Baja",'Riesgos de Gestión'!$AL$52="Mayor"),CONCATENATE("R8C",'Riesgos de Gestión'!$W$52),"")</f>
        <v/>
      </c>
      <c r="AC43" s="36" t="str">
        <f>IF(AND('Riesgos de Gestión'!$AJ$53="Baja",'Riesgos de Gestión'!$AL$53="Mayor"),CONCATENATE("R8C",'Riesgos de Gestión'!$W$53),"")</f>
        <v/>
      </c>
      <c r="AD43" s="36" t="str">
        <f>IF(AND('Riesgos de Gestión'!$AJ$54="Baja",'Riesgos de Gestión'!$AL$54="Mayor"),CONCATENATE("R8C",'Riesgos de Gestión'!$W$54),"")</f>
        <v/>
      </c>
      <c r="AE43" s="36" t="str">
        <f>IF(AND('Riesgos de Gestión'!$AJ$55="Baja",'Riesgos de Gestión'!$AL$55="Mayor"),CONCATENATE("R8C",'Riesgos de Gestión'!$W$55),"")</f>
        <v/>
      </c>
      <c r="AF43" s="36" t="str">
        <f>IF(AND('Riesgos de Gestión'!$AJ$56="Baja",'Riesgos de Gestión'!$AL$56="Mayor"),CONCATENATE("R8C",'Riesgos de Gestión'!$W$56),"")</f>
        <v/>
      </c>
      <c r="AG43" s="37" t="str">
        <f>IF(AND('Riesgos de Gestión'!$AJ$57="Baja",'Riesgos de Gestión'!$AL$57="Mayor"),CONCATENATE("R8C",'Riesgos de Gestión'!$W$57),"")</f>
        <v/>
      </c>
      <c r="AH43" s="38" t="str">
        <f>IF(AND('Riesgos de Gestión'!$AJ$52="Baja",'Riesgos de Gestión'!$AL$52="Catastrófico"),CONCATENATE("R8C",'Riesgos de Gestión'!$W$52),"")</f>
        <v/>
      </c>
      <c r="AI43" s="39" t="str">
        <f>IF(AND('Riesgos de Gestión'!$AJ$53="Baja",'Riesgos de Gestión'!$AL$53="Catastrófico"),CONCATENATE("R8C",'Riesgos de Gestión'!$W$53),"")</f>
        <v/>
      </c>
      <c r="AJ43" s="39" t="str">
        <f>IF(AND('Riesgos de Gestión'!$AJ$54="Baja",'Riesgos de Gestión'!$AL$54="Catastrófico"),CONCATENATE("R8C",'Riesgos de Gestión'!$W$54),"")</f>
        <v/>
      </c>
      <c r="AK43" s="39" t="str">
        <f>IF(AND('Riesgos de Gestión'!$AJ$55="Baja",'Riesgos de Gestión'!$AL$55="Catastrófico"),CONCATENATE("R8C",'Riesgos de Gestión'!$W$55),"")</f>
        <v/>
      </c>
      <c r="AL43" s="39" t="str">
        <f>IF(AND('Riesgos de Gestión'!$AJ$56="Baja",'Riesgos de Gestión'!$AL$56="Catastrófico"),CONCATENATE("R8C",'Riesgos de Gestión'!$W$56),"")</f>
        <v/>
      </c>
      <c r="AM43" s="40" t="str">
        <f>IF(AND('Riesgos de Gestión'!$AJ$57="Baja",'Riesgos de Gestión'!$AL$57="Catastrófico"),CONCATENATE("R8C",'Riesgos de Gestión'!$W$57),"")</f>
        <v/>
      </c>
      <c r="AN43" s="66"/>
      <c r="AO43" s="615"/>
      <c r="AP43" s="616"/>
      <c r="AQ43" s="616"/>
      <c r="AR43" s="616"/>
      <c r="AS43" s="616"/>
      <c r="AT43" s="617"/>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row>
    <row r="44" spans="1:80" ht="15" customHeight="1" x14ac:dyDescent="0.25">
      <c r="A44" s="66"/>
      <c r="B44" s="496"/>
      <c r="C44" s="496"/>
      <c r="D44" s="497"/>
      <c r="E44" s="595"/>
      <c r="F44" s="594"/>
      <c r="G44" s="594"/>
      <c r="H44" s="594"/>
      <c r="I44" s="594"/>
      <c r="J44" s="59" t="str">
        <f>IF(AND('Riesgos de Gestión'!$AJ$58="Baja",'Riesgos de Gestión'!$AL$58="Leve"),CONCATENATE("R9C",'Riesgos de Gestión'!$W$58),"")</f>
        <v/>
      </c>
      <c r="K44" s="60" t="str">
        <f>IF(AND('Riesgos de Gestión'!$AJ$59="Baja",'Riesgos de Gestión'!$AL$59="Leve"),CONCATENATE("R9C",'Riesgos de Gestión'!$W$59),"")</f>
        <v/>
      </c>
      <c r="L44" s="60" t="str">
        <f>IF(AND('Riesgos de Gestión'!$AJ$60="Baja",'Riesgos de Gestión'!$AL$60="Leve"),CONCATENATE("R9C",'Riesgos de Gestión'!$W$60),"")</f>
        <v/>
      </c>
      <c r="M44" s="60" t="str">
        <f>IF(AND('Riesgos de Gestión'!$AJ$61="Baja",'Riesgos de Gestión'!$AL$61="Leve"),CONCATENATE("R9C",'Riesgos de Gestión'!$W$61),"")</f>
        <v/>
      </c>
      <c r="N44" s="60" t="str">
        <f>IF(AND('Riesgos de Gestión'!$AJ$62="Baja",'Riesgos de Gestión'!$AL$62="Leve"),CONCATENATE("R9C",'Riesgos de Gestión'!$W$62),"")</f>
        <v/>
      </c>
      <c r="O44" s="61" t="str">
        <f>IF(AND('Riesgos de Gestión'!$AJ$65="Baja",'Riesgos de Gestión'!$AL$65="Leve"),CONCATENATE("R9C",'Riesgos de Gestión'!$W$65),"")</f>
        <v/>
      </c>
      <c r="P44" s="50" t="str">
        <f>IF(AND('Riesgos de Gestión'!$AJ$58="Baja",'Riesgos de Gestión'!$AL$58="Menor"),CONCATENATE("R9C",'Riesgos de Gestión'!$W$58),"")</f>
        <v/>
      </c>
      <c r="Q44" s="51" t="str">
        <f>IF(AND('Riesgos de Gestión'!$AJ$59="Baja",'Riesgos de Gestión'!$AL$59="Menor"),CONCATENATE("R9C",'Riesgos de Gestión'!$W$59),"")</f>
        <v>R9C2</v>
      </c>
      <c r="R44" s="51" t="str">
        <f>IF(AND('Riesgos de Gestión'!$AJ$60="Baja",'Riesgos de Gestión'!$AL$60="Menor"),CONCATENATE("R9C",'Riesgos de Gestión'!$W$60),"")</f>
        <v>R9C3</v>
      </c>
      <c r="S44" s="51" t="str">
        <f>IF(AND('Riesgos de Gestión'!$AJ$61="Baja",'Riesgos de Gestión'!$AL$61="Menor"),CONCATENATE("R9C",'Riesgos de Gestión'!$W$61),"")</f>
        <v/>
      </c>
      <c r="T44" s="51" t="str">
        <f>IF(AND('Riesgos de Gestión'!$AJ$62="Baja",'Riesgos de Gestión'!$AL$62="Menor"),CONCATENATE("R9C",'Riesgos de Gestión'!$W$62),"")</f>
        <v/>
      </c>
      <c r="U44" s="52" t="str">
        <f>IF(AND('Riesgos de Gestión'!$AJ$65="Baja",'Riesgos de Gestión'!$AL$65="Menor"),CONCATENATE("R9C",'Riesgos de Gestión'!$W$65),"")</f>
        <v/>
      </c>
      <c r="V44" s="50" t="str">
        <f>IF(AND('Riesgos de Gestión'!$AJ$58="Baja",'Riesgos de Gestión'!$AL$58="Moderado"),CONCATENATE("R9C",'Riesgos de Gestión'!$W$58),"")</f>
        <v/>
      </c>
      <c r="W44" s="51" t="str">
        <f>IF(AND('Riesgos de Gestión'!$AJ$59="Baja",'Riesgos de Gestión'!$AL$59="Moderado"),CONCATENATE("R9C",'Riesgos de Gestión'!$W$59),"")</f>
        <v/>
      </c>
      <c r="X44" s="51" t="str">
        <f>IF(AND('Riesgos de Gestión'!$AJ$60="Baja",'Riesgos de Gestión'!$AL$60="Moderado"),CONCATENATE("R9C",'Riesgos de Gestión'!$W$60),"")</f>
        <v/>
      </c>
      <c r="Y44" s="51" t="str">
        <f>IF(AND('Riesgos de Gestión'!$AJ$61="Baja",'Riesgos de Gestión'!$AL$61="Moderado"),CONCATENATE("R9C",'Riesgos de Gestión'!$W$61),"")</f>
        <v/>
      </c>
      <c r="Z44" s="51" t="str">
        <f>IF(AND('Riesgos de Gestión'!$AJ$62="Baja",'Riesgos de Gestión'!$AL$62="Moderado"),CONCATENATE("R9C",'Riesgos de Gestión'!$W$62),"")</f>
        <v/>
      </c>
      <c r="AA44" s="52" t="str">
        <f>IF(AND('Riesgos de Gestión'!$AJ$65="Baja",'Riesgos de Gestión'!$AL$65="Moderado"),CONCATENATE("R9C",'Riesgos de Gestión'!$W$65),"")</f>
        <v/>
      </c>
      <c r="AB44" s="35" t="str">
        <f>IF(AND('Riesgos de Gestión'!$AJ$58="Baja",'Riesgos de Gestión'!$AL$58="Mayor"),CONCATENATE("R9C",'Riesgos de Gestión'!$W$58),"")</f>
        <v/>
      </c>
      <c r="AC44" s="36" t="str">
        <f>IF(AND('Riesgos de Gestión'!$AJ$59="Baja",'Riesgos de Gestión'!$AL$59="Mayor"),CONCATENATE("R9C",'Riesgos de Gestión'!$W$59),"")</f>
        <v/>
      </c>
      <c r="AD44" s="36" t="str">
        <f>IF(AND('Riesgos de Gestión'!$AJ$60="Baja",'Riesgos de Gestión'!$AL$60="Mayor"),CONCATENATE("R9C",'Riesgos de Gestión'!$W$60),"")</f>
        <v/>
      </c>
      <c r="AE44" s="36" t="str">
        <f>IF(AND('Riesgos de Gestión'!$AJ$61="Baja",'Riesgos de Gestión'!$AL$61="Mayor"),CONCATENATE("R9C",'Riesgos de Gestión'!$W$61),"")</f>
        <v/>
      </c>
      <c r="AF44" s="36" t="str">
        <f>IF(AND('Riesgos de Gestión'!$AJ$62="Baja",'Riesgos de Gestión'!$AL$62="Mayor"),CONCATENATE("R9C",'Riesgos de Gestión'!$W$62),"")</f>
        <v/>
      </c>
      <c r="AG44" s="37" t="str">
        <f>IF(AND('Riesgos de Gestión'!$AJ$65="Baja",'Riesgos de Gestión'!$AL$65="Mayor"),CONCATENATE("R9C",'Riesgos de Gestión'!$W$65),"")</f>
        <v/>
      </c>
      <c r="AH44" s="38" t="str">
        <f>IF(AND('Riesgos de Gestión'!$AJ$58="Baja",'Riesgos de Gestión'!$AL$58="Catastrófico"),CONCATENATE("R9C",'Riesgos de Gestión'!$W$58),"")</f>
        <v/>
      </c>
      <c r="AI44" s="39" t="str">
        <f>IF(AND('Riesgos de Gestión'!$AJ$59="Baja",'Riesgos de Gestión'!$AL$59="Catastrófico"),CONCATENATE("R9C",'Riesgos de Gestión'!$W$59),"")</f>
        <v/>
      </c>
      <c r="AJ44" s="39" t="str">
        <f>IF(AND('Riesgos de Gestión'!$AJ$60="Baja",'Riesgos de Gestión'!$AL$60="Catastrófico"),CONCATENATE("R9C",'Riesgos de Gestión'!$W$60),"")</f>
        <v/>
      </c>
      <c r="AK44" s="39" t="str">
        <f>IF(AND('Riesgos de Gestión'!$AJ$61="Baja",'Riesgos de Gestión'!$AL$61="Catastrófico"),CONCATENATE("R9C",'Riesgos de Gestión'!$W$61),"")</f>
        <v/>
      </c>
      <c r="AL44" s="39" t="str">
        <f>IF(AND('Riesgos de Gestión'!$AJ$62="Baja",'Riesgos de Gestión'!$AL$62="Catastrófico"),CONCATENATE("R9C",'Riesgos de Gestión'!$W$62),"")</f>
        <v/>
      </c>
      <c r="AM44" s="40" t="str">
        <f>IF(AND('Riesgos de Gestión'!$AJ$65="Baja",'Riesgos de Gestión'!$AL$65="Catastrófico"),CONCATENATE("R9C",'Riesgos de Gestión'!$W$65),"")</f>
        <v/>
      </c>
      <c r="AN44" s="66"/>
      <c r="AO44" s="615"/>
      <c r="AP44" s="616"/>
      <c r="AQ44" s="616"/>
      <c r="AR44" s="616"/>
      <c r="AS44" s="616"/>
      <c r="AT44" s="617"/>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row>
    <row r="45" spans="1:80" ht="15.75" customHeight="1" thickBot="1" x14ac:dyDescent="0.3">
      <c r="A45" s="66"/>
      <c r="B45" s="496"/>
      <c r="C45" s="496"/>
      <c r="D45" s="497"/>
      <c r="E45" s="596"/>
      <c r="F45" s="597"/>
      <c r="G45" s="597"/>
      <c r="H45" s="597"/>
      <c r="I45" s="597"/>
      <c r="J45" s="62" t="str">
        <f>IF(AND('Riesgos de Gestión'!$AJ$66="Baja",'Riesgos de Gestión'!$AL$66="Leve"),CONCATENATE("R10C",'Riesgos de Gestión'!$W$66),"")</f>
        <v/>
      </c>
      <c r="K45" s="63" t="str">
        <f>IF(AND('Riesgos de Gestión'!$AJ$67="Baja",'Riesgos de Gestión'!$AL$67="Leve"),CONCATENATE("R10C",'Riesgos de Gestión'!$W$67),"")</f>
        <v/>
      </c>
      <c r="L45" s="63" t="str">
        <f>IF(AND('Riesgos de Gestión'!$AJ$68="Baja",'Riesgos de Gestión'!$AL$68="Leve"),CONCATENATE("R10C",'Riesgos de Gestión'!$W$68),"")</f>
        <v/>
      </c>
      <c r="M45" s="63" t="str">
        <f>IF(AND('Riesgos de Gestión'!$AJ$69="Baja",'Riesgos de Gestión'!$AL$69="Leve"),CONCATENATE("R10C",'Riesgos de Gestión'!$W$69),"")</f>
        <v/>
      </c>
      <c r="N45" s="63" t="str">
        <f>IF(AND('Riesgos de Gestión'!$AJ$70="Baja",'Riesgos de Gestión'!$AL$70="Leve"),CONCATENATE("R10C",'Riesgos de Gestión'!$W$70),"")</f>
        <v/>
      </c>
      <c r="O45" s="64" t="str">
        <f>IF(AND('Riesgos de Gestión'!$AJ$71="Baja",'Riesgos de Gestión'!$AL$71="Leve"),CONCATENATE("R10C",'Riesgos de Gestión'!$W$71),"")</f>
        <v/>
      </c>
      <c r="P45" s="50" t="str">
        <f>IF(AND('Riesgos de Gestión'!$AJ$66="Baja",'Riesgos de Gestión'!$AL$66="Menor"),CONCATENATE("R10C",'Riesgos de Gestión'!$W$66),"")</f>
        <v>R10C1</v>
      </c>
      <c r="Q45" s="51" t="str">
        <f>IF(AND('Riesgos de Gestión'!$AJ$67="Baja",'Riesgos de Gestión'!$AL$67="Menor"),CONCATENATE("R10C",'Riesgos de Gestión'!$W$67),"")</f>
        <v>R10C2</v>
      </c>
      <c r="R45" s="51" t="str">
        <f>IF(AND('Riesgos de Gestión'!$AJ$68="Baja",'Riesgos de Gestión'!$AL$68="Menor"),CONCATENATE("R10C",'Riesgos de Gestión'!$W$68),"")</f>
        <v/>
      </c>
      <c r="S45" s="51" t="str">
        <f>IF(AND('Riesgos de Gestión'!$AJ$69="Baja",'Riesgos de Gestión'!$AL$69="Menor"),CONCATENATE("R10C",'Riesgos de Gestión'!$W$69),"")</f>
        <v/>
      </c>
      <c r="T45" s="51" t="str">
        <f>IF(AND('Riesgos de Gestión'!$AJ$70="Baja",'Riesgos de Gestión'!$AL$70="Menor"),CONCATENATE("R10C",'Riesgos de Gestión'!$W$70),"")</f>
        <v/>
      </c>
      <c r="U45" s="52" t="str">
        <f>IF(AND('Riesgos de Gestión'!$AJ$71="Baja",'Riesgos de Gestión'!$AL$71="Menor"),CONCATENATE("R10C",'Riesgos de Gestión'!$W$71),"")</f>
        <v/>
      </c>
      <c r="V45" s="53" t="str">
        <f>IF(AND('Riesgos de Gestión'!$AJ$66="Baja",'Riesgos de Gestión'!$AL$66="Moderado"),CONCATENATE("R10C",'Riesgos de Gestión'!$W$66),"")</f>
        <v/>
      </c>
      <c r="W45" s="54" t="str">
        <f>IF(AND('Riesgos de Gestión'!$AJ$67="Baja",'Riesgos de Gestión'!$AL$67="Moderado"),CONCATENATE("R10C",'Riesgos de Gestión'!$W$67),"")</f>
        <v/>
      </c>
      <c r="X45" s="54" t="str">
        <f>IF(AND('Riesgos de Gestión'!$AJ$68="Baja",'Riesgos de Gestión'!$AL$68="Moderado"),CONCATENATE("R10C",'Riesgos de Gestión'!$W$68),"")</f>
        <v/>
      </c>
      <c r="Y45" s="54" t="str">
        <f>IF(AND('Riesgos de Gestión'!$AJ$69="Baja",'Riesgos de Gestión'!$AL$69="Moderado"),CONCATENATE("R10C",'Riesgos de Gestión'!$W$69),"")</f>
        <v/>
      </c>
      <c r="Z45" s="54" t="str">
        <f>IF(AND('Riesgos de Gestión'!$AJ$70="Baja",'Riesgos de Gestión'!$AL$70="Moderado"),CONCATENATE("R10C",'Riesgos de Gestión'!$W$70),"")</f>
        <v/>
      </c>
      <c r="AA45" s="55" t="str">
        <f>IF(AND('Riesgos de Gestión'!$AJ$71="Baja",'Riesgos de Gestión'!$AL$71="Moderado"),CONCATENATE("R10C",'Riesgos de Gestión'!$W$71),"")</f>
        <v/>
      </c>
      <c r="AB45" s="41" t="str">
        <f>IF(AND('Riesgos de Gestión'!$AJ$66="Baja",'Riesgos de Gestión'!$AL$66="Mayor"),CONCATENATE("R10C",'Riesgos de Gestión'!$W$66),"")</f>
        <v/>
      </c>
      <c r="AC45" s="42" t="str">
        <f>IF(AND('Riesgos de Gestión'!$AJ$67="Baja",'Riesgos de Gestión'!$AL$67="Mayor"),CONCATENATE("R10C",'Riesgos de Gestión'!$W$67),"")</f>
        <v/>
      </c>
      <c r="AD45" s="42" t="str">
        <f>IF(AND('Riesgos de Gestión'!$AJ$68="Baja",'Riesgos de Gestión'!$AL$68="Mayor"),CONCATENATE("R10C",'Riesgos de Gestión'!$W$68),"")</f>
        <v/>
      </c>
      <c r="AE45" s="42" t="str">
        <f>IF(AND('Riesgos de Gestión'!$AJ$69="Baja",'Riesgos de Gestión'!$AL$69="Mayor"),CONCATENATE("R10C",'Riesgos de Gestión'!$W$69),"")</f>
        <v/>
      </c>
      <c r="AF45" s="42" t="str">
        <f>IF(AND('Riesgos de Gestión'!$AJ$70="Baja",'Riesgos de Gestión'!$AL$70="Mayor"),CONCATENATE("R10C",'Riesgos de Gestión'!$W$70),"")</f>
        <v/>
      </c>
      <c r="AG45" s="43" t="str">
        <f>IF(AND('Riesgos de Gestión'!$AJ$71="Baja",'Riesgos de Gestión'!$AL$71="Mayor"),CONCATENATE("R10C",'Riesgos de Gestión'!$W$71),"")</f>
        <v/>
      </c>
      <c r="AH45" s="44" t="str">
        <f>IF(AND('Riesgos de Gestión'!$AJ$66="Baja",'Riesgos de Gestión'!$AL$66="Catastrófico"),CONCATENATE("R10C",'Riesgos de Gestión'!$W$66),"")</f>
        <v/>
      </c>
      <c r="AI45" s="45" t="str">
        <f>IF(AND('Riesgos de Gestión'!$AJ$67="Baja",'Riesgos de Gestión'!$AL$67="Catastrófico"),CONCATENATE("R10C",'Riesgos de Gestión'!$W$67),"")</f>
        <v/>
      </c>
      <c r="AJ45" s="45" t="str">
        <f>IF(AND('Riesgos de Gestión'!$AJ$68="Baja",'Riesgos de Gestión'!$AL$68="Catastrófico"),CONCATENATE("R10C",'Riesgos de Gestión'!$W$68),"")</f>
        <v/>
      </c>
      <c r="AK45" s="45" t="str">
        <f>IF(AND('Riesgos de Gestión'!$AJ$69="Baja",'Riesgos de Gestión'!$AL$69="Catastrófico"),CONCATENATE("R10C",'Riesgos de Gestión'!$W$69),"")</f>
        <v/>
      </c>
      <c r="AL45" s="45" t="str">
        <f>IF(AND('Riesgos de Gestión'!$AJ$70="Baja",'Riesgos de Gestión'!$AL$70="Catastrófico"),CONCATENATE("R10C",'Riesgos de Gestión'!$W$70),"")</f>
        <v/>
      </c>
      <c r="AM45" s="46" t="str">
        <f>IF(AND('Riesgos de Gestión'!$AJ$71="Baja",'Riesgos de Gestión'!$AL$71="Catastrófico"),CONCATENATE("R10C",'Riesgos de Gestión'!$W$71),"")</f>
        <v/>
      </c>
      <c r="AN45" s="66"/>
      <c r="AO45" s="618"/>
      <c r="AP45" s="619"/>
      <c r="AQ45" s="619"/>
      <c r="AR45" s="619"/>
      <c r="AS45" s="619"/>
      <c r="AT45" s="620"/>
    </row>
    <row r="46" spans="1:80" ht="46.5" customHeight="1" x14ac:dyDescent="0.35">
      <c r="A46" s="66"/>
      <c r="B46" s="496"/>
      <c r="C46" s="496"/>
      <c r="D46" s="497"/>
      <c r="E46" s="591" t="s">
        <v>409</v>
      </c>
      <c r="F46" s="592"/>
      <c r="G46" s="592"/>
      <c r="H46" s="592"/>
      <c r="I46" s="609"/>
      <c r="J46" s="56" t="str">
        <f>IF(AND('Riesgos de Gestión'!$AJ$10="Muy Baja",'Riesgos de Gestión'!$AL$10="Leve"),CONCATENATE("R1C",'Riesgos de Gestión'!$W$10),"")</f>
        <v/>
      </c>
      <c r="K46" s="57" t="str">
        <f>IF(AND('Riesgos de Gestión'!$AJ$11="Muy Baja",'Riesgos de Gestión'!$AL$11="Leve"),CONCATENATE("R1C",'Riesgos de Gestión'!$W$11),"")</f>
        <v/>
      </c>
      <c r="L46" s="57" t="str">
        <f>IF(AND('Riesgos de Gestión'!$AJ$12="Muy Baja",'Riesgos de Gestión'!$AL$12="Leve"),CONCATENATE("R1C",'Riesgos de Gestión'!$W$12),"")</f>
        <v/>
      </c>
      <c r="M46" s="57" t="str">
        <f>IF(AND('Riesgos de Gestión'!$AJ$13="Muy Baja",'Riesgos de Gestión'!$AL$13="Leve"),CONCATENATE("R1C",'Riesgos de Gestión'!$W$13),"")</f>
        <v/>
      </c>
      <c r="N46" s="57" t="str">
        <f>IF(AND('Riesgos de Gestión'!$AJ$14="Muy Baja",'Riesgos de Gestión'!$AL$14="Leve"),CONCATENATE("R1C",'Riesgos de Gestión'!$W$14),"")</f>
        <v/>
      </c>
      <c r="O46" s="58" t="str">
        <f>IF(AND('Riesgos de Gestión'!$AJ$15="Muy Baja",'Riesgos de Gestión'!$AL$15="Leve"),CONCATENATE("R1C",'Riesgos de Gestión'!$W$15),"")</f>
        <v/>
      </c>
      <c r="P46" s="56" t="str">
        <f>IF(AND('Riesgos de Gestión'!$AJ$10="Muy Baja",'Riesgos de Gestión'!$AL$10="Menor"),CONCATENATE("R1C",'Riesgos de Gestión'!$W$10),"")</f>
        <v/>
      </c>
      <c r="Q46" s="57" t="str">
        <f>IF(AND('Riesgos de Gestión'!$AJ$11="Muy Baja",'Riesgos de Gestión'!$AL$11="Menor"),CONCATENATE("R1C",'Riesgos de Gestión'!$W$11),"")</f>
        <v/>
      </c>
      <c r="R46" s="57" t="str">
        <f>IF(AND('Riesgos de Gestión'!$AJ$12="Muy Baja",'Riesgos de Gestión'!$AL$12="Menor"),CONCATENATE("R1C",'Riesgos de Gestión'!$W$12),"")</f>
        <v/>
      </c>
      <c r="S46" s="57" t="str">
        <f>IF(AND('Riesgos de Gestión'!$AJ$13="Muy Baja",'Riesgos de Gestión'!$AL$13="Menor"),CONCATENATE("R1C",'Riesgos de Gestión'!$W$13),"")</f>
        <v/>
      </c>
      <c r="T46" s="57" t="str">
        <f>IF(AND('Riesgos de Gestión'!$AJ$14="Muy Baja",'Riesgos de Gestión'!$AL$14="Menor"),CONCATENATE("R1C",'Riesgos de Gestión'!$W$14),"")</f>
        <v/>
      </c>
      <c r="U46" s="58" t="str">
        <f>IF(AND('Riesgos de Gestión'!$AJ$15="Muy Baja",'Riesgos de Gestión'!$AL$15="Menor"),CONCATENATE("R1C",'Riesgos de Gestión'!$W$15),"")</f>
        <v/>
      </c>
      <c r="V46" s="47" t="str">
        <f>IF(AND('Riesgos de Gestión'!$AJ$10="Muy Baja",'Riesgos de Gestión'!$AL$10="Moderado"),CONCATENATE("R1C",'Riesgos de Gestión'!$W$10),"")</f>
        <v/>
      </c>
      <c r="W46" s="65" t="str">
        <f>IF(AND('Riesgos de Gestión'!$AJ$11="Muy Baja",'Riesgos de Gestión'!$AL$11="Moderado"),CONCATENATE("R1C",'Riesgos de Gestión'!$W$11),"")</f>
        <v>R1C2</v>
      </c>
      <c r="X46" s="48" t="str">
        <f>IF(AND('Riesgos de Gestión'!$AJ$12="Muy Baja",'Riesgos de Gestión'!$AL$12="Moderado"),CONCATENATE("R1C",'Riesgos de Gestión'!$W$12),"")</f>
        <v/>
      </c>
      <c r="Y46" s="48" t="str">
        <f>IF(AND('Riesgos de Gestión'!$AJ$13="Muy Baja",'Riesgos de Gestión'!$AL$13="Moderado"),CONCATENATE("R1C",'Riesgos de Gestión'!$W$13),"")</f>
        <v/>
      </c>
      <c r="Z46" s="48" t="str">
        <f>IF(AND('Riesgos de Gestión'!$AJ$14="Muy Baja",'Riesgos de Gestión'!$AL$14="Moderado"),CONCATENATE("R1C",'Riesgos de Gestión'!$W$14),"")</f>
        <v/>
      </c>
      <c r="AA46" s="49" t="str">
        <f>IF(AND('Riesgos de Gestión'!$AJ$15="Muy Baja",'Riesgos de Gestión'!$AL$15="Moderado"),CONCATENATE("R1C",'Riesgos de Gestión'!$W$15),"")</f>
        <v/>
      </c>
      <c r="AB46" s="29" t="str">
        <f>IF(AND('Riesgos de Gestión'!$AJ$10="Muy Baja",'Riesgos de Gestión'!$AL$10="Mayor"),CONCATENATE("R1C",'Riesgos de Gestión'!$W$10),"")</f>
        <v/>
      </c>
      <c r="AC46" s="30" t="str">
        <f>IF(AND('Riesgos de Gestión'!$AJ$11="Muy Baja",'Riesgos de Gestión'!$AL$11="Mayor"),CONCATENATE("R1C",'Riesgos de Gestión'!$W$11),"")</f>
        <v/>
      </c>
      <c r="AD46" s="30" t="str">
        <f>IF(AND('Riesgos de Gestión'!$AJ$12="Muy Baja",'Riesgos de Gestión'!$AL$12="Mayor"),CONCATENATE("R1C",'Riesgos de Gestión'!$W$12),"")</f>
        <v/>
      </c>
      <c r="AE46" s="30" t="str">
        <f>IF(AND('Riesgos de Gestión'!$AJ$13="Muy Baja",'Riesgos de Gestión'!$AL$13="Mayor"),CONCATENATE("R1C",'Riesgos de Gestión'!$W$13),"")</f>
        <v/>
      </c>
      <c r="AF46" s="30" t="str">
        <f>IF(AND('Riesgos de Gestión'!$AJ$14="Muy Baja",'Riesgos de Gestión'!$AL$14="Mayor"),CONCATENATE("R1C",'Riesgos de Gestión'!$W$14),"")</f>
        <v/>
      </c>
      <c r="AG46" s="31" t="str">
        <f>IF(AND('Riesgos de Gestión'!$AJ$15="Muy Baja",'Riesgos de Gestión'!$AL$15="Mayor"),CONCATENATE("R1C",'Riesgos de Gestión'!$W$15),"")</f>
        <v/>
      </c>
      <c r="AH46" s="32" t="str">
        <f>IF(AND('Riesgos de Gestión'!$AJ$10="Muy Baja",'Riesgos de Gestión'!$AL$10="Catastrófico"),CONCATENATE("R1C",'Riesgos de Gestión'!$W$10),"")</f>
        <v/>
      </c>
      <c r="AI46" s="33" t="str">
        <f>IF(AND('Riesgos de Gestión'!$AJ$11="Muy Baja",'Riesgos de Gestión'!$AL$11="Catastrófico"),CONCATENATE("R1C",'Riesgos de Gestión'!$W$11),"")</f>
        <v/>
      </c>
      <c r="AJ46" s="33" t="str">
        <f>IF(AND('Riesgos de Gestión'!$AJ$12="Muy Baja",'Riesgos de Gestión'!$AL$12="Catastrófico"),CONCATENATE("R1C",'Riesgos de Gestión'!$W$12),"")</f>
        <v/>
      </c>
      <c r="AK46" s="33" t="str">
        <f>IF(AND('Riesgos de Gestión'!$AJ$13="Muy Baja",'Riesgos de Gestión'!$AL$13="Catastrófico"),CONCATENATE("R1C",'Riesgos de Gestión'!$W$13),"")</f>
        <v/>
      </c>
      <c r="AL46" s="33" t="str">
        <f>IF(AND('Riesgos de Gestión'!$AJ$14="Muy Baja",'Riesgos de Gestión'!$AL$14="Catastrófico"),CONCATENATE("R1C",'Riesgos de Gestión'!$W$14),"")</f>
        <v/>
      </c>
      <c r="AM46" s="34" t="str">
        <f>IF(AND('Riesgos de Gestión'!$AJ$15="Muy Baja",'Riesgos de Gestión'!$AL$15="Catastrófico"),CONCATENATE("R1C",'Riesgos de Gestión'!$W$15),"")</f>
        <v/>
      </c>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row>
    <row r="47" spans="1:80" ht="46.5" customHeight="1" x14ac:dyDescent="0.25">
      <c r="A47" s="66"/>
      <c r="B47" s="496"/>
      <c r="C47" s="496"/>
      <c r="D47" s="497"/>
      <c r="E47" s="593"/>
      <c r="F47" s="594"/>
      <c r="G47" s="594"/>
      <c r="H47" s="594"/>
      <c r="I47" s="610"/>
      <c r="J47" s="59" t="str">
        <f>IF(AND('Riesgos de Gestión'!$AJ$16="Muy Baja",'Riesgos de Gestión'!$AL$16="Leve"),CONCATENATE("R2C",'Riesgos de Gestión'!$W$16),"")</f>
        <v/>
      </c>
      <c r="K47" s="60" t="str">
        <f>IF(AND('Riesgos de Gestión'!$AJ$17="Muy Baja",'Riesgos de Gestión'!$AL$17="Leve"),CONCATENATE("R2C",'Riesgos de Gestión'!$W$17),"")</f>
        <v/>
      </c>
      <c r="L47" s="60" t="str">
        <f>IF(AND('Riesgos de Gestión'!$AJ$18="Muy Baja",'Riesgos de Gestión'!$AL$18="Leve"),CONCATENATE("R2C",'Riesgos de Gestión'!$W$18),"")</f>
        <v/>
      </c>
      <c r="M47" s="60" t="str">
        <f>IF(AND('Riesgos de Gestión'!$AJ$19="Muy Baja",'Riesgos de Gestión'!$AL$19="Leve"),CONCATENATE("R2C",'Riesgos de Gestión'!$W$19),"")</f>
        <v/>
      </c>
      <c r="N47" s="60" t="str">
        <f>IF(AND('Riesgos de Gestión'!$AJ$20="Muy Baja",'Riesgos de Gestión'!$AL$20="Leve"),CONCATENATE("R2C",'Riesgos de Gestión'!$W$20),"")</f>
        <v/>
      </c>
      <c r="O47" s="61" t="str">
        <f>IF(AND('Riesgos de Gestión'!$AJ$21="Muy Baja",'Riesgos de Gestión'!$AL$21="Leve"),CONCATENATE("R2C",'Riesgos de Gestión'!$W$21),"")</f>
        <v/>
      </c>
      <c r="P47" s="59" t="str">
        <f>IF(AND('Riesgos de Gestión'!$AJ$16="Muy Baja",'Riesgos de Gestión'!$AL$16="Menor"),CONCATENATE("R2C",'Riesgos de Gestión'!$W$16),"")</f>
        <v/>
      </c>
      <c r="Q47" s="60" t="str">
        <f>IF(AND('Riesgos de Gestión'!$AJ$17="Muy Baja",'Riesgos de Gestión'!$AL$17="Menor"),CONCATENATE("R2C",'Riesgos de Gestión'!$W$17),"")</f>
        <v/>
      </c>
      <c r="R47" s="60" t="str">
        <f>IF(AND('Riesgos de Gestión'!$AJ$18="Muy Baja",'Riesgos de Gestión'!$AL$18="Menor"),CONCATENATE("R2C",'Riesgos de Gestión'!$W$18),"")</f>
        <v/>
      </c>
      <c r="S47" s="60" t="str">
        <f>IF(AND('Riesgos de Gestión'!$AJ$19="Muy Baja",'Riesgos de Gestión'!$AL$19="Menor"),CONCATENATE("R2C",'Riesgos de Gestión'!$W$19),"")</f>
        <v/>
      </c>
      <c r="T47" s="60" t="str">
        <f>IF(AND('Riesgos de Gestión'!$AJ$20="Muy Baja",'Riesgos de Gestión'!$AL$20="Menor"),CONCATENATE("R2C",'Riesgos de Gestión'!$W$20),"")</f>
        <v/>
      </c>
      <c r="U47" s="61" t="str">
        <f>IF(AND('Riesgos de Gestión'!$AJ$21="Muy Baja",'Riesgos de Gestión'!$AL$21="Menor"),CONCATENATE("R2C",'Riesgos de Gestión'!$W$21),"")</f>
        <v/>
      </c>
      <c r="V47" s="50" t="str">
        <f>IF(AND('Riesgos de Gestión'!$AJ$16="Muy Baja",'Riesgos de Gestión'!$AL$16="Moderado"),CONCATENATE("R2C",'Riesgos de Gestión'!$W$16),"")</f>
        <v/>
      </c>
      <c r="W47" s="51" t="str">
        <f>IF(AND('Riesgos de Gestión'!$AJ$17="Muy Baja",'Riesgos de Gestión'!$AL$17="Moderado"),CONCATENATE("R2C",'Riesgos de Gestión'!$W$17),"")</f>
        <v/>
      </c>
      <c r="X47" s="51" t="str">
        <f>IF(AND('Riesgos de Gestión'!$AJ$18="Muy Baja",'Riesgos de Gestión'!$AL$18="Moderado"),CONCATENATE("R2C",'Riesgos de Gestión'!$W$18),"")</f>
        <v>R2C3</v>
      </c>
      <c r="Y47" s="51" t="str">
        <f>IF(AND('Riesgos de Gestión'!$AJ$19="Muy Baja",'Riesgos de Gestión'!$AL$19="Moderado"),CONCATENATE("R2C",'Riesgos de Gestión'!$W$19),"")</f>
        <v/>
      </c>
      <c r="Z47" s="51" t="str">
        <f>IF(AND('Riesgos de Gestión'!$AJ$20="Muy Baja",'Riesgos de Gestión'!$AL$20="Moderado"),CONCATENATE("R2C",'Riesgos de Gestión'!$W$20),"")</f>
        <v/>
      </c>
      <c r="AA47" s="52" t="str">
        <f>IF(AND('Riesgos de Gestión'!$AJ$21="Muy Baja",'Riesgos de Gestión'!$AL$21="Moderado"),CONCATENATE("R2C",'Riesgos de Gestión'!$W$21),"")</f>
        <v/>
      </c>
      <c r="AB47" s="35" t="str">
        <f>IF(AND('Riesgos de Gestión'!$AJ$16="Muy Baja",'Riesgos de Gestión'!$AL$16="Mayor"),CONCATENATE("R2C",'Riesgos de Gestión'!$W$16),"")</f>
        <v/>
      </c>
      <c r="AC47" s="36" t="str">
        <f>IF(AND('Riesgos de Gestión'!$AJ$17="Muy Baja",'Riesgos de Gestión'!$AL$17="Mayor"),CONCATENATE("R2C",'Riesgos de Gestión'!$W$17),"")</f>
        <v/>
      </c>
      <c r="AD47" s="36" t="str">
        <f>IF(AND('Riesgos de Gestión'!$AJ$18="Muy Baja",'Riesgos de Gestión'!$AL$18="Mayor"),CONCATENATE("R2C",'Riesgos de Gestión'!$W$18),"")</f>
        <v/>
      </c>
      <c r="AE47" s="36" t="str">
        <f>IF(AND('Riesgos de Gestión'!$AJ$19="Muy Baja",'Riesgos de Gestión'!$AL$19="Mayor"),CONCATENATE("R2C",'Riesgos de Gestión'!$W$19),"")</f>
        <v/>
      </c>
      <c r="AF47" s="36" t="str">
        <f>IF(AND('Riesgos de Gestión'!$AJ$20="Muy Baja",'Riesgos de Gestión'!$AL$20="Mayor"),CONCATENATE("R2C",'Riesgos de Gestión'!$W$20),"")</f>
        <v/>
      </c>
      <c r="AG47" s="37" t="str">
        <f>IF(AND('Riesgos de Gestión'!$AJ$21="Muy Baja",'Riesgos de Gestión'!$AL$21="Mayor"),CONCATENATE("R2C",'Riesgos de Gestión'!$W$21),"")</f>
        <v/>
      </c>
      <c r="AH47" s="38" t="str">
        <f>IF(AND('Riesgos de Gestión'!$AJ$16="Muy Baja",'Riesgos de Gestión'!$AL$16="Catastrófico"),CONCATENATE("R2C",'Riesgos de Gestión'!$W$16),"")</f>
        <v/>
      </c>
      <c r="AI47" s="39" t="str">
        <f>IF(AND('Riesgos de Gestión'!$AJ$17="Muy Baja",'Riesgos de Gestión'!$AL$17="Catastrófico"),CONCATENATE("R2C",'Riesgos de Gestión'!$W$17),"")</f>
        <v/>
      </c>
      <c r="AJ47" s="39" t="str">
        <f>IF(AND('Riesgos de Gestión'!$AJ$18="Muy Baja",'Riesgos de Gestión'!$AL$18="Catastrófico"),CONCATENATE("R2C",'Riesgos de Gestión'!$W$18),"")</f>
        <v/>
      </c>
      <c r="AK47" s="39" t="str">
        <f>IF(AND('Riesgos de Gestión'!$AJ$19="Muy Baja",'Riesgos de Gestión'!$AL$19="Catastrófico"),CONCATENATE("R2C",'Riesgos de Gestión'!$W$19),"")</f>
        <v/>
      </c>
      <c r="AL47" s="39" t="str">
        <f>IF(AND('Riesgos de Gestión'!$AJ$20="Muy Baja",'Riesgos de Gestión'!$AL$20="Catastrófico"),CONCATENATE("R2C",'Riesgos de Gestión'!$W$20),"")</f>
        <v/>
      </c>
      <c r="AM47" s="40" t="str">
        <f>IF(AND('Riesgos de Gestión'!$AJ$21="Muy Baja",'Riesgos de Gestión'!$AL$21="Catastrófico"),CONCATENATE("R2C",'Riesgos de Gestión'!$W$21),"")</f>
        <v/>
      </c>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row>
    <row r="48" spans="1:80" ht="15" customHeight="1" x14ac:dyDescent="0.25">
      <c r="A48" s="66"/>
      <c r="B48" s="496"/>
      <c r="C48" s="496"/>
      <c r="D48" s="497"/>
      <c r="E48" s="593"/>
      <c r="F48" s="594"/>
      <c r="G48" s="594"/>
      <c r="H48" s="594"/>
      <c r="I48" s="610"/>
      <c r="J48" s="59" t="str">
        <f>IF(AND('Riesgos de Gestión'!$AJ$22="Muy Baja",'Riesgos de Gestión'!$AL$22="Leve"),CONCATENATE("R3C",'Riesgos de Gestión'!$W$22),"")</f>
        <v/>
      </c>
      <c r="K48" s="60" t="str">
        <f>IF(AND('Riesgos de Gestión'!$AJ$23="Muy Baja",'Riesgos de Gestión'!$AL$23="Leve"),CONCATENATE("R3C",'Riesgos de Gestión'!$W$23),"")</f>
        <v/>
      </c>
      <c r="L48" s="60" t="str">
        <f>IF(AND('Riesgos de Gestión'!$AJ$24="Muy Baja",'Riesgos de Gestión'!$AL$24="Leve"),CONCATENATE("R3C",'Riesgos de Gestión'!$W$24),"")</f>
        <v/>
      </c>
      <c r="M48" s="60" t="str">
        <f>IF(AND('Riesgos de Gestión'!$AJ$25="Muy Baja",'Riesgos de Gestión'!$AL$25="Leve"),CONCATENATE("R3C",'Riesgos de Gestión'!$W$25),"")</f>
        <v/>
      </c>
      <c r="N48" s="60" t="str">
        <f>IF(AND('Riesgos de Gestión'!$AJ$26="Muy Baja",'Riesgos de Gestión'!$AL$26="Leve"),CONCATENATE("R3C",'Riesgos de Gestión'!$W$26),"")</f>
        <v/>
      </c>
      <c r="O48" s="61" t="str">
        <f>IF(AND('Riesgos de Gestión'!$AJ$27="Muy Baja",'Riesgos de Gestión'!$AL$27="Leve"),CONCATENATE("R3C",'Riesgos de Gestión'!$W$27),"")</f>
        <v/>
      </c>
      <c r="P48" s="59" t="str">
        <f>IF(AND('Riesgos de Gestión'!$AJ$22="Muy Baja",'Riesgos de Gestión'!$AL$22="Menor"),CONCATENATE("R3C",'Riesgos de Gestión'!$W$22),"")</f>
        <v/>
      </c>
      <c r="Q48" s="60" t="str">
        <f>IF(AND('Riesgos de Gestión'!$AJ$23="Muy Baja",'Riesgos de Gestión'!$AL$23="Menor"),CONCATENATE("R3C",'Riesgos de Gestión'!$W$23),"")</f>
        <v/>
      </c>
      <c r="R48" s="60" t="str">
        <f>IF(AND('Riesgos de Gestión'!$AJ$24="Muy Baja",'Riesgos de Gestión'!$AL$24="Menor"),CONCATENATE("R3C",'Riesgos de Gestión'!$W$24),"")</f>
        <v>R3C3</v>
      </c>
      <c r="S48" s="60" t="str">
        <f>IF(AND('Riesgos de Gestión'!$AJ$25="Muy Baja",'Riesgos de Gestión'!$AL$25="Menor"),CONCATENATE("R3C",'Riesgos de Gestión'!$W$25),"")</f>
        <v/>
      </c>
      <c r="T48" s="60" t="str">
        <f>IF(AND('Riesgos de Gestión'!$AJ$26="Muy Baja",'Riesgos de Gestión'!$AL$26="Menor"),CONCATENATE("R3C",'Riesgos de Gestión'!$W$26),"")</f>
        <v/>
      </c>
      <c r="U48" s="61" t="str">
        <f>IF(AND('Riesgos de Gestión'!$AJ$27="Muy Baja",'Riesgos de Gestión'!$AL$27="Menor"),CONCATENATE("R3C",'Riesgos de Gestión'!$W$27),"")</f>
        <v/>
      </c>
      <c r="V48" s="50" t="str">
        <f>IF(AND('Riesgos de Gestión'!$AJ$22="Muy Baja",'Riesgos de Gestión'!$AL$22="Moderado"),CONCATENATE("R3C",'Riesgos de Gestión'!$W$22),"")</f>
        <v/>
      </c>
      <c r="W48" s="51" t="str">
        <f>IF(AND('Riesgos de Gestión'!$AJ$23="Muy Baja",'Riesgos de Gestión'!$AL$23="Moderado"),CONCATENATE("R3C",'Riesgos de Gestión'!$W$23),"")</f>
        <v/>
      </c>
      <c r="X48" s="51" t="str">
        <f>IF(AND('Riesgos de Gestión'!$AJ$24="Muy Baja",'Riesgos de Gestión'!$AL$24="Moderado"),CONCATENATE("R3C",'Riesgos de Gestión'!$W$24),"")</f>
        <v/>
      </c>
      <c r="Y48" s="51" t="str">
        <f>IF(AND('Riesgos de Gestión'!$AJ$25="Muy Baja",'Riesgos de Gestión'!$AL$25="Moderado"),CONCATENATE("R3C",'Riesgos de Gestión'!$W$25),"")</f>
        <v/>
      </c>
      <c r="Z48" s="51" t="str">
        <f>IF(AND('Riesgos de Gestión'!$AJ$26="Muy Baja",'Riesgos de Gestión'!$AL$26="Moderado"),CONCATENATE("R3C",'Riesgos de Gestión'!$W$26),"")</f>
        <v/>
      </c>
      <c r="AA48" s="52" t="str">
        <f>IF(AND('Riesgos de Gestión'!$AJ$27="Muy Baja",'Riesgos de Gestión'!$AL$27="Moderado"),CONCATENATE("R3C",'Riesgos de Gestión'!$W$27),"")</f>
        <v/>
      </c>
      <c r="AB48" s="35" t="str">
        <f>IF(AND('Riesgos de Gestión'!$AJ$22="Muy Baja",'Riesgos de Gestión'!$AL$22="Mayor"),CONCATENATE("R3C",'Riesgos de Gestión'!$W$22),"")</f>
        <v/>
      </c>
      <c r="AC48" s="36" t="str">
        <f>IF(AND('Riesgos de Gestión'!$AJ$23="Muy Baja",'Riesgos de Gestión'!$AL$23="Mayor"),CONCATENATE("R3C",'Riesgos de Gestión'!$W$23),"")</f>
        <v/>
      </c>
      <c r="AD48" s="36" t="str">
        <f>IF(AND('Riesgos de Gestión'!$AJ$24="Muy Baja",'Riesgos de Gestión'!$AL$24="Mayor"),CONCATENATE("R3C",'Riesgos de Gestión'!$W$24),"")</f>
        <v/>
      </c>
      <c r="AE48" s="36" t="str">
        <f>IF(AND('Riesgos de Gestión'!$AJ$25="Muy Baja",'Riesgos de Gestión'!$AL$25="Mayor"),CONCATENATE("R3C",'Riesgos de Gestión'!$W$25),"")</f>
        <v/>
      </c>
      <c r="AF48" s="36" t="str">
        <f>IF(AND('Riesgos de Gestión'!$AJ$26="Muy Baja",'Riesgos de Gestión'!$AL$26="Mayor"),CONCATENATE("R3C",'Riesgos de Gestión'!$W$26),"")</f>
        <v/>
      </c>
      <c r="AG48" s="37" t="str">
        <f>IF(AND('Riesgos de Gestión'!$AJ$27="Muy Baja",'Riesgos de Gestión'!$AL$27="Mayor"),CONCATENATE("R3C",'Riesgos de Gestión'!$W$27),"")</f>
        <v/>
      </c>
      <c r="AH48" s="38" t="str">
        <f>IF(AND('Riesgos de Gestión'!$AJ$22="Muy Baja",'Riesgos de Gestión'!$AL$22="Catastrófico"),CONCATENATE("R3C",'Riesgos de Gestión'!$W$22),"")</f>
        <v/>
      </c>
      <c r="AI48" s="39" t="str">
        <f>IF(AND('Riesgos de Gestión'!$AJ$23="Muy Baja",'Riesgos de Gestión'!$AL$23="Catastrófico"),CONCATENATE("R3C",'Riesgos de Gestión'!$W$23),"")</f>
        <v/>
      </c>
      <c r="AJ48" s="39" t="str">
        <f>IF(AND('Riesgos de Gestión'!$AJ$24="Muy Baja",'Riesgos de Gestión'!$AL$24="Catastrófico"),CONCATENATE("R3C",'Riesgos de Gestión'!$W$24),"")</f>
        <v/>
      </c>
      <c r="AK48" s="39" t="str">
        <f>IF(AND('Riesgos de Gestión'!$AJ$25="Muy Baja",'Riesgos de Gestión'!$AL$25="Catastrófico"),CONCATENATE("R3C",'Riesgos de Gestión'!$W$25),"")</f>
        <v/>
      </c>
      <c r="AL48" s="39" t="str">
        <f>IF(AND('Riesgos de Gestión'!$AJ$26="Muy Baja",'Riesgos de Gestión'!$AL$26="Catastrófico"),CONCATENATE("R3C",'Riesgos de Gestión'!$W$26),"")</f>
        <v/>
      </c>
      <c r="AM48" s="40" t="str">
        <f>IF(AND('Riesgos de Gestión'!$AJ$27="Muy Baja",'Riesgos de Gestión'!$AL$27="Catastrófico"),CONCATENATE("R3C",'Riesgos de Gestión'!$W$27),"")</f>
        <v/>
      </c>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row>
    <row r="49" spans="1:80" ht="15" customHeight="1" x14ac:dyDescent="0.25">
      <c r="A49" s="66"/>
      <c r="B49" s="496"/>
      <c r="C49" s="496"/>
      <c r="D49" s="497"/>
      <c r="E49" s="595"/>
      <c r="F49" s="594"/>
      <c r="G49" s="594"/>
      <c r="H49" s="594"/>
      <c r="I49" s="610"/>
      <c r="J49" s="59" t="str">
        <f>IF(AND('Riesgos de Gestión'!$AJ$28="Muy Baja",'Riesgos de Gestión'!$AL$28="Leve"),CONCATENATE("R4C",'Riesgos de Gestión'!$W$28),"")</f>
        <v/>
      </c>
      <c r="K49" s="60" t="str">
        <f>IF(AND('Riesgos de Gestión'!$AJ$29="Muy Baja",'Riesgos de Gestión'!$AL$29="Leve"),CONCATENATE("R4C",'Riesgos de Gestión'!$W$29),"")</f>
        <v/>
      </c>
      <c r="L49" s="60" t="str">
        <f>IF(AND('Riesgos de Gestión'!$AJ$30="Muy Baja",'Riesgos de Gestión'!$AL$30="Leve"),CONCATENATE("R4C",'Riesgos de Gestión'!$W$30),"")</f>
        <v/>
      </c>
      <c r="M49" s="60" t="str">
        <f>IF(AND('Riesgos de Gestión'!$AJ$31="Muy Baja",'Riesgos de Gestión'!$AL$31="Leve"),CONCATENATE("R4C",'Riesgos de Gestión'!$W$31),"")</f>
        <v/>
      </c>
      <c r="N49" s="60" t="str">
        <f>IF(AND('Riesgos de Gestión'!$AJ$32="Muy Baja",'Riesgos de Gestión'!$AL$32="Leve"),CONCATENATE("R4C",'Riesgos de Gestión'!$W$32),"")</f>
        <v/>
      </c>
      <c r="O49" s="61" t="str">
        <f>IF(AND('Riesgos de Gestión'!$AJ$33="Muy Baja",'Riesgos de Gestión'!$AL$33="Leve"),CONCATENATE("R4C",'Riesgos de Gestión'!$W$33),"")</f>
        <v/>
      </c>
      <c r="P49" s="59" t="str">
        <f>IF(AND('Riesgos de Gestión'!$AJ$28="Muy Baja",'Riesgos de Gestión'!$AL$28="Menor"),CONCATENATE("R4C",'Riesgos de Gestión'!$W$28),"")</f>
        <v/>
      </c>
      <c r="Q49" s="60" t="str">
        <f>IF(AND('Riesgos de Gestión'!$AJ$29="Muy Baja",'Riesgos de Gestión'!$AL$29="Menor"),CONCATENATE("R4C",'Riesgos de Gestión'!$W$29),"")</f>
        <v>R4C2</v>
      </c>
      <c r="R49" s="60" t="str">
        <f>IF(AND('Riesgos de Gestión'!$AJ$30="Muy Baja",'Riesgos de Gestión'!$AL$30="Menor"),CONCATENATE("R4C",'Riesgos de Gestión'!$W$30),"")</f>
        <v/>
      </c>
      <c r="S49" s="60" t="str">
        <f>IF(AND('Riesgos de Gestión'!$AJ$31="Muy Baja",'Riesgos de Gestión'!$AL$31="Menor"),CONCATENATE("R4C",'Riesgos de Gestión'!$W$31),"")</f>
        <v/>
      </c>
      <c r="T49" s="60" t="str">
        <f>IF(AND('Riesgos de Gestión'!$AJ$32="Muy Baja",'Riesgos de Gestión'!$AL$32="Menor"),CONCATENATE("R4C",'Riesgos de Gestión'!$W$32),"")</f>
        <v/>
      </c>
      <c r="U49" s="61" t="str">
        <f>IF(AND('Riesgos de Gestión'!$AJ$33="Muy Baja",'Riesgos de Gestión'!$AL$33="Menor"),CONCATENATE("R4C",'Riesgos de Gestión'!$W$33),"")</f>
        <v/>
      </c>
      <c r="V49" s="50" t="str">
        <f>IF(AND('Riesgos de Gestión'!$AJ$28="Muy Baja",'Riesgos de Gestión'!$AL$28="Moderado"),CONCATENATE("R4C",'Riesgos de Gestión'!$W$28),"")</f>
        <v/>
      </c>
      <c r="W49" s="51" t="str">
        <f>IF(AND('Riesgos de Gestión'!$AJ$29="Muy Baja",'Riesgos de Gestión'!$AL$29="Moderado"),CONCATENATE("R4C",'Riesgos de Gestión'!$W$29),"")</f>
        <v/>
      </c>
      <c r="X49" s="51" t="str">
        <f>IF(AND('Riesgos de Gestión'!$AJ$30="Muy Baja",'Riesgos de Gestión'!$AL$30="Moderado"),CONCATENATE("R4C",'Riesgos de Gestión'!$W$30),"")</f>
        <v/>
      </c>
      <c r="Y49" s="51" t="str">
        <f>IF(AND('Riesgos de Gestión'!$AJ$31="Muy Baja",'Riesgos de Gestión'!$AL$31="Moderado"),CONCATENATE("R4C",'Riesgos de Gestión'!$W$31),"")</f>
        <v/>
      </c>
      <c r="Z49" s="51" t="str">
        <f>IF(AND('Riesgos de Gestión'!$AJ$32="Muy Baja",'Riesgos de Gestión'!$AL$32="Moderado"),CONCATENATE("R4C",'Riesgos de Gestión'!$W$32),"")</f>
        <v/>
      </c>
      <c r="AA49" s="52" t="str">
        <f>IF(AND('Riesgos de Gestión'!$AJ$33="Muy Baja",'Riesgos de Gestión'!$AL$33="Moderado"),CONCATENATE("R4C",'Riesgos de Gestión'!$W$33),"")</f>
        <v/>
      </c>
      <c r="AB49" s="35" t="str">
        <f>IF(AND('Riesgos de Gestión'!$AJ$28="Muy Baja",'Riesgos de Gestión'!$AL$28="Mayor"),CONCATENATE("R4C",'Riesgos de Gestión'!$W$28),"")</f>
        <v/>
      </c>
      <c r="AC49" s="36" t="str">
        <f>IF(AND('Riesgos de Gestión'!$AJ$29="Muy Baja",'Riesgos de Gestión'!$AL$29="Mayor"),CONCATENATE("R4C",'Riesgos de Gestión'!$W$29),"")</f>
        <v/>
      </c>
      <c r="AD49" s="36" t="str">
        <f>IF(AND('Riesgos de Gestión'!$AJ$30="Muy Baja",'Riesgos de Gestión'!$AL$30="Mayor"),CONCATENATE("R4C",'Riesgos de Gestión'!$W$30),"")</f>
        <v/>
      </c>
      <c r="AE49" s="36" t="str">
        <f>IF(AND('Riesgos de Gestión'!$AJ$31="Muy Baja",'Riesgos de Gestión'!$AL$31="Mayor"),CONCATENATE("R4C",'Riesgos de Gestión'!$W$31),"")</f>
        <v/>
      </c>
      <c r="AF49" s="36" t="str">
        <f>IF(AND('Riesgos de Gestión'!$AJ$32="Muy Baja",'Riesgos de Gestión'!$AL$32="Mayor"),CONCATENATE("R4C",'Riesgos de Gestión'!$W$32),"")</f>
        <v/>
      </c>
      <c r="AG49" s="37" t="str">
        <f>IF(AND('Riesgos de Gestión'!$AJ$33="Muy Baja",'Riesgos de Gestión'!$AL$33="Mayor"),CONCATENATE("R4C",'Riesgos de Gestión'!$W$33),"")</f>
        <v/>
      </c>
      <c r="AH49" s="38" t="str">
        <f>IF(AND('Riesgos de Gestión'!$AJ$28="Muy Baja",'Riesgos de Gestión'!$AL$28="Catastrófico"),CONCATENATE("R4C",'Riesgos de Gestión'!$W$28),"")</f>
        <v/>
      </c>
      <c r="AI49" s="39" t="str">
        <f>IF(AND('Riesgos de Gestión'!$AJ$29="Muy Baja",'Riesgos de Gestión'!$AL$29="Catastrófico"),CONCATENATE("R4C",'Riesgos de Gestión'!$W$29),"")</f>
        <v/>
      </c>
      <c r="AJ49" s="39" t="str">
        <f>IF(AND('Riesgos de Gestión'!$AJ$30="Muy Baja",'Riesgos de Gestión'!$AL$30="Catastrófico"),CONCATENATE("R4C",'Riesgos de Gestión'!$W$30),"")</f>
        <v/>
      </c>
      <c r="AK49" s="39" t="str">
        <f>IF(AND('Riesgos de Gestión'!$AJ$31="Muy Baja",'Riesgos de Gestión'!$AL$31="Catastrófico"),CONCATENATE("R4C",'Riesgos de Gestión'!$W$31),"")</f>
        <v/>
      </c>
      <c r="AL49" s="39" t="str">
        <f>IF(AND('Riesgos de Gestión'!$AJ$32="Muy Baja",'Riesgos de Gestión'!$AL$32="Catastrófico"),CONCATENATE("R4C",'Riesgos de Gestión'!$W$32),"")</f>
        <v/>
      </c>
      <c r="AM49" s="40" t="str">
        <f>IF(AND('Riesgos de Gestión'!$AJ$33="Muy Baja",'Riesgos de Gestión'!$AL$33="Catastrófico"),CONCATENATE("R4C",'Riesgos de Gestión'!$W$33),"")</f>
        <v/>
      </c>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row>
    <row r="50" spans="1:80" ht="15" customHeight="1" x14ac:dyDescent="0.25">
      <c r="A50" s="66"/>
      <c r="B50" s="496"/>
      <c r="C50" s="496"/>
      <c r="D50" s="497"/>
      <c r="E50" s="595"/>
      <c r="F50" s="594"/>
      <c r="G50" s="594"/>
      <c r="H50" s="594"/>
      <c r="I50" s="610"/>
      <c r="J50" s="59" t="str">
        <f>IF(AND('Riesgos de Gestión'!$AJ$34="Muy Baja",'Riesgos de Gestión'!$AL$34="Leve"),CONCATENATE("R5C",'Riesgos de Gestión'!$W$34),"")</f>
        <v/>
      </c>
      <c r="K50" s="60" t="str">
        <f>IF(AND('Riesgos de Gestión'!$AJ$35="Muy Baja",'Riesgos de Gestión'!$AL$35="Leve"),CONCATENATE("R5C",'Riesgos de Gestión'!$W$35),"")</f>
        <v/>
      </c>
      <c r="L50" s="60" t="str">
        <f>IF(AND('Riesgos de Gestión'!$AJ$36="Muy Baja",'Riesgos de Gestión'!$AL$36="Leve"),CONCATENATE("R5C",'Riesgos de Gestión'!$W$36),"")</f>
        <v/>
      </c>
      <c r="M50" s="60" t="str">
        <f>IF(AND('Riesgos de Gestión'!$AJ$37="Muy Baja",'Riesgos de Gestión'!$AL$37="Leve"),CONCATENATE("R5C",'Riesgos de Gestión'!$W$37),"")</f>
        <v/>
      </c>
      <c r="N50" s="60" t="str">
        <f>IF(AND('Riesgos de Gestión'!$AJ$38="Muy Baja",'Riesgos de Gestión'!$AL$38="Leve"),CONCATENATE("R5C",'Riesgos de Gestión'!$W$38),"")</f>
        <v/>
      </c>
      <c r="O50" s="61" t="str">
        <f>IF(AND('Riesgos de Gestión'!$AJ$39="Muy Baja",'Riesgos de Gestión'!$AL$39="Leve"),CONCATENATE("R5C",'Riesgos de Gestión'!$W$39),"")</f>
        <v/>
      </c>
      <c r="P50" s="59" t="str">
        <f>IF(AND('Riesgos de Gestión'!$AJ$34="Muy Baja",'Riesgos de Gestión'!$AL$34="Menor"),CONCATENATE("R5C",'Riesgos de Gestión'!$W$34),"")</f>
        <v/>
      </c>
      <c r="Q50" s="60" t="str">
        <f>IF(AND('Riesgos de Gestión'!$AJ$35="Muy Baja",'Riesgos de Gestión'!$AL$35="Menor"),CONCATENATE("R5C",'Riesgos de Gestión'!$W$35),"")</f>
        <v/>
      </c>
      <c r="R50" s="60" t="str">
        <f>IF(AND('Riesgos de Gestión'!$AJ$36="Muy Baja",'Riesgos de Gestión'!$AL$36="Menor"),CONCATENATE("R5C",'Riesgos de Gestión'!$W$36),"")</f>
        <v/>
      </c>
      <c r="S50" s="60" t="str">
        <f>IF(AND('Riesgos de Gestión'!$AJ$37="Muy Baja",'Riesgos de Gestión'!$AL$37="Menor"),CONCATENATE("R5C",'Riesgos de Gestión'!$W$37),"")</f>
        <v/>
      </c>
      <c r="T50" s="60" t="str">
        <f>IF(AND('Riesgos de Gestión'!$AJ$38="Muy Baja",'Riesgos de Gestión'!$AL$38="Menor"),CONCATENATE("R5C",'Riesgos de Gestión'!$W$38),"")</f>
        <v/>
      </c>
      <c r="U50" s="61" t="str">
        <f>IF(AND('Riesgos de Gestión'!$AJ$39="Muy Baja",'Riesgos de Gestión'!$AL$39="Menor"),CONCATENATE("R5C",'Riesgos de Gestión'!$W$39),"")</f>
        <v/>
      </c>
      <c r="V50" s="50" t="str">
        <f>IF(AND('Riesgos de Gestión'!$AJ$34="Muy Baja",'Riesgos de Gestión'!$AL$34="Moderado"),CONCATENATE("R5C",'Riesgos de Gestión'!$W$34),"")</f>
        <v/>
      </c>
      <c r="W50" s="51" t="str">
        <f>IF(AND('Riesgos de Gestión'!$AJ$35="Muy Baja",'Riesgos de Gestión'!$AL$35="Moderado"),CONCATENATE("R5C",'Riesgos de Gestión'!$W$35),"")</f>
        <v/>
      </c>
      <c r="X50" s="51" t="str">
        <f>IF(AND('Riesgos de Gestión'!$AJ$36="Muy Baja",'Riesgos de Gestión'!$AL$36="Moderado"),CONCATENATE("R5C",'Riesgos de Gestión'!$W$36),"")</f>
        <v/>
      </c>
      <c r="Y50" s="51" t="str">
        <f>IF(AND('Riesgos de Gestión'!$AJ$37="Muy Baja",'Riesgos de Gestión'!$AL$37="Moderado"),CONCATENATE("R5C",'Riesgos de Gestión'!$W$37),"")</f>
        <v>R5C4</v>
      </c>
      <c r="Z50" s="51" t="str">
        <f>IF(AND('Riesgos de Gestión'!$AJ$38="Muy Baja",'Riesgos de Gestión'!$AL$38="Moderado"),CONCATENATE("R5C",'Riesgos de Gestión'!$W$38),"")</f>
        <v/>
      </c>
      <c r="AA50" s="52" t="str">
        <f>IF(AND('Riesgos de Gestión'!$AJ$39="Muy Baja",'Riesgos de Gestión'!$AL$39="Moderado"),CONCATENATE("R5C",'Riesgos de Gestión'!$W$39),"")</f>
        <v/>
      </c>
      <c r="AB50" s="35" t="str">
        <f>IF(AND('Riesgos de Gestión'!$AJ$34="Muy Baja",'Riesgos de Gestión'!$AL$34="Mayor"),CONCATENATE("R5C",'Riesgos de Gestión'!$W$34),"")</f>
        <v/>
      </c>
      <c r="AC50" s="36" t="str">
        <f>IF(AND('Riesgos de Gestión'!$AJ$35="Muy Baja",'Riesgos de Gestión'!$AL$35="Mayor"),CONCATENATE("R5C",'Riesgos de Gestión'!$W$35),"")</f>
        <v/>
      </c>
      <c r="AD50" s="36" t="str">
        <f>IF(AND('Riesgos de Gestión'!$AJ$36="Muy Baja",'Riesgos de Gestión'!$AL$36="Mayor"),CONCATENATE("R5C",'Riesgos de Gestión'!$W$36),"")</f>
        <v/>
      </c>
      <c r="AE50" s="36" t="str">
        <f>IF(AND('Riesgos de Gestión'!$AJ$37="Muy Baja",'Riesgos de Gestión'!$AL$37="Mayor"),CONCATENATE("R5C",'Riesgos de Gestión'!$W$37),"")</f>
        <v/>
      </c>
      <c r="AF50" s="36" t="str">
        <f>IF(AND('Riesgos de Gestión'!$AJ$38="Muy Baja",'Riesgos de Gestión'!$AL$38="Mayor"),CONCATENATE("R5C",'Riesgos de Gestión'!$W$38),"")</f>
        <v/>
      </c>
      <c r="AG50" s="37" t="str">
        <f>IF(AND('Riesgos de Gestión'!$AJ$39="Muy Baja",'Riesgos de Gestión'!$AL$39="Mayor"),CONCATENATE("R5C",'Riesgos de Gestión'!$W$39),"")</f>
        <v/>
      </c>
      <c r="AH50" s="38" t="str">
        <f>IF(AND('Riesgos de Gestión'!$AJ$34="Muy Baja",'Riesgos de Gestión'!$AL$34="Catastrófico"),CONCATENATE("R5C",'Riesgos de Gestión'!$W$34),"")</f>
        <v/>
      </c>
      <c r="AI50" s="39" t="str">
        <f>IF(AND('Riesgos de Gestión'!$AJ$35="Muy Baja",'Riesgos de Gestión'!$AL$35="Catastrófico"),CONCATENATE("R5C",'Riesgos de Gestión'!$W$35),"")</f>
        <v/>
      </c>
      <c r="AJ50" s="39" t="str">
        <f>IF(AND('Riesgos de Gestión'!$AJ$36="Muy Baja",'Riesgos de Gestión'!$AL$36="Catastrófico"),CONCATENATE("R5C",'Riesgos de Gestión'!$W$36),"")</f>
        <v/>
      </c>
      <c r="AK50" s="39" t="str">
        <f>IF(AND('Riesgos de Gestión'!$AJ$37="Muy Baja",'Riesgos de Gestión'!$AL$37="Catastrófico"),CONCATENATE("R5C",'Riesgos de Gestión'!$W$37),"")</f>
        <v/>
      </c>
      <c r="AL50" s="39" t="str">
        <f>IF(AND('Riesgos de Gestión'!$AJ$38="Muy Baja",'Riesgos de Gestión'!$AL$38="Catastrófico"),CONCATENATE("R5C",'Riesgos de Gestión'!$W$38),"")</f>
        <v/>
      </c>
      <c r="AM50" s="40" t="str">
        <f>IF(AND('Riesgos de Gestión'!$AJ$39="Muy Baja",'Riesgos de Gestión'!$AL$39="Catastrófico"),CONCATENATE("R5C",'Riesgos de Gestión'!$W$39),"")</f>
        <v/>
      </c>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row>
    <row r="51" spans="1:80" ht="15" customHeight="1" x14ac:dyDescent="0.25">
      <c r="A51" s="66"/>
      <c r="B51" s="496"/>
      <c r="C51" s="496"/>
      <c r="D51" s="497"/>
      <c r="E51" s="595"/>
      <c r="F51" s="594"/>
      <c r="G51" s="594"/>
      <c r="H51" s="594"/>
      <c r="I51" s="610"/>
      <c r="J51" s="59" t="str">
        <f>IF(AND('Riesgos de Gestión'!$AJ$40="Muy Baja",'Riesgos de Gestión'!$AL$40="Leve"),CONCATENATE("R6C",'Riesgos de Gestión'!$W$40),"")</f>
        <v/>
      </c>
      <c r="K51" s="60" t="str">
        <f>IF(AND('Riesgos de Gestión'!$AJ$41="Muy Baja",'Riesgos de Gestión'!$AL$41="Leve"),CONCATENATE("R6C",'Riesgos de Gestión'!$W$41),"")</f>
        <v/>
      </c>
      <c r="L51" s="60" t="str">
        <f>IF(AND('Riesgos de Gestión'!$AJ$42="Muy Baja",'Riesgos de Gestión'!$AL$42="Leve"),CONCATENATE("R6C",'Riesgos de Gestión'!$W$42),"")</f>
        <v/>
      </c>
      <c r="M51" s="60" t="str">
        <f>IF(AND('Riesgos de Gestión'!$AJ$43="Muy Baja",'Riesgos de Gestión'!$AL$43="Leve"),CONCATENATE("R6C",'Riesgos de Gestión'!$W$43),"")</f>
        <v/>
      </c>
      <c r="N51" s="60" t="str">
        <f>IF(AND('Riesgos de Gestión'!$AJ$44="Muy Baja",'Riesgos de Gestión'!$AL$44="Leve"),CONCATENATE("R6C",'Riesgos de Gestión'!$W$44),"")</f>
        <v/>
      </c>
      <c r="O51" s="61" t="str">
        <f>IF(AND('Riesgos de Gestión'!$AJ$45="Muy Baja",'Riesgos de Gestión'!$AL$45="Leve"),CONCATENATE("R6C",'Riesgos de Gestión'!$W$45),"")</f>
        <v/>
      </c>
      <c r="P51" s="59" t="str">
        <f>IF(AND('Riesgos de Gestión'!$AJ$40="Muy Baja",'Riesgos de Gestión'!$AL$40="Menor"),CONCATENATE("R6C",'Riesgos de Gestión'!$W$40),"")</f>
        <v/>
      </c>
      <c r="Q51" s="60" t="str">
        <f>IF(AND('Riesgos de Gestión'!$AJ$41="Muy Baja",'Riesgos de Gestión'!$AL$41="Menor"),CONCATENATE("R6C",'Riesgos de Gestión'!$W$41),"")</f>
        <v/>
      </c>
      <c r="R51" s="60" t="str">
        <f>IF(AND('Riesgos de Gestión'!$AJ$42="Muy Baja",'Riesgos de Gestión'!$AL$42="Menor"),CONCATENATE("R6C",'Riesgos de Gestión'!$W$42),"")</f>
        <v/>
      </c>
      <c r="S51" s="60" t="str">
        <f>IF(AND('Riesgos de Gestión'!$AJ$43="Muy Baja",'Riesgos de Gestión'!$AL$43="Menor"),CONCATENATE("R6C",'Riesgos de Gestión'!$W$43),"")</f>
        <v/>
      </c>
      <c r="T51" s="60" t="str">
        <f>IF(AND('Riesgos de Gestión'!$AJ$44="Muy Baja",'Riesgos de Gestión'!$AL$44="Menor"),CONCATENATE("R6C",'Riesgos de Gestión'!$W$44),"")</f>
        <v/>
      </c>
      <c r="U51" s="61" t="str">
        <f>IF(AND('Riesgos de Gestión'!$AJ$45="Muy Baja",'Riesgos de Gestión'!$AL$45="Menor"),CONCATENATE("R6C",'Riesgos de Gestión'!$W$45),"")</f>
        <v/>
      </c>
      <c r="V51" s="50" t="str">
        <f>IF(AND('Riesgos de Gestión'!$AJ$40="Muy Baja",'Riesgos de Gestión'!$AL$40="Moderado"),CONCATENATE("R6C",'Riesgos de Gestión'!$W$40),"")</f>
        <v/>
      </c>
      <c r="W51" s="51" t="str">
        <f>IF(AND('Riesgos de Gestión'!$AJ$41="Muy Baja",'Riesgos de Gestión'!$AL$41="Moderado"),CONCATENATE("R6C",'Riesgos de Gestión'!$W$41),"")</f>
        <v/>
      </c>
      <c r="X51" s="51" t="str">
        <f>IF(AND('Riesgos de Gestión'!$AJ$42="Muy Baja",'Riesgos de Gestión'!$AL$42="Moderado"),CONCATENATE("R6C",'Riesgos de Gestión'!$W$42),"")</f>
        <v/>
      </c>
      <c r="Y51" s="51" t="str">
        <f>IF(AND('Riesgos de Gestión'!$AJ$43="Muy Baja",'Riesgos de Gestión'!$AL$43="Moderado"),CONCATENATE("R6C",'Riesgos de Gestión'!$W$43),"")</f>
        <v/>
      </c>
      <c r="Z51" s="51" t="str">
        <f>IF(AND('Riesgos de Gestión'!$AJ$44="Muy Baja",'Riesgos de Gestión'!$AL$44="Moderado"),CONCATENATE("R6C",'Riesgos de Gestión'!$W$44),"")</f>
        <v/>
      </c>
      <c r="AA51" s="52" t="str">
        <f>IF(AND('Riesgos de Gestión'!$AJ$45="Muy Baja",'Riesgos de Gestión'!$AL$45="Moderado"),CONCATENATE("R6C",'Riesgos de Gestión'!$W$45),"")</f>
        <v/>
      </c>
      <c r="AB51" s="35" t="str">
        <f>IF(AND('Riesgos de Gestión'!$AJ$40="Muy Baja",'Riesgos de Gestión'!$AL$40="Mayor"),CONCATENATE("R6C",'Riesgos de Gestión'!$W$40),"")</f>
        <v/>
      </c>
      <c r="AC51" s="36" t="str">
        <f>IF(AND('Riesgos de Gestión'!$AJ$41="Muy Baja",'Riesgos de Gestión'!$AL$41="Mayor"),CONCATENATE("R6C",'Riesgos de Gestión'!$W$41),"")</f>
        <v/>
      </c>
      <c r="AD51" s="36" t="str">
        <f>IF(AND('Riesgos de Gestión'!$AJ$42="Muy Baja",'Riesgos de Gestión'!$AL$42="Mayor"),CONCATENATE("R6C",'Riesgos de Gestión'!$W$42),"")</f>
        <v/>
      </c>
      <c r="AE51" s="36" t="str">
        <f>IF(AND('Riesgos de Gestión'!$AJ$43="Muy Baja",'Riesgos de Gestión'!$AL$43="Mayor"),CONCATENATE("R6C",'Riesgos de Gestión'!$W$43),"")</f>
        <v/>
      </c>
      <c r="AF51" s="36" t="str">
        <f>IF(AND('Riesgos de Gestión'!$AJ$44="Muy Baja",'Riesgos de Gestión'!$AL$44="Mayor"),CONCATENATE("R6C",'Riesgos de Gestión'!$W$44),"")</f>
        <v/>
      </c>
      <c r="AG51" s="37" t="str">
        <f>IF(AND('Riesgos de Gestión'!$AJ$45="Muy Baja",'Riesgos de Gestión'!$AL$45="Mayor"),CONCATENATE("R6C",'Riesgos de Gestión'!$W$45),"")</f>
        <v/>
      </c>
      <c r="AH51" s="38" t="str">
        <f>IF(AND('Riesgos de Gestión'!$AJ$40="Muy Baja",'Riesgos de Gestión'!$AL$40="Catastrófico"),CONCATENATE("R6C",'Riesgos de Gestión'!$W$40),"")</f>
        <v/>
      </c>
      <c r="AI51" s="39" t="str">
        <f>IF(AND('Riesgos de Gestión'!$AJ$41="Muy Baja",'Riesgos de Gestión'!$AL$41="Catastrófico"),CONCATENATE("R6C",'Riesgos de Gestión'!$W$41),"")</f>
        <v/>
      </c>
      <c r="AJ51" s="39" t="str">
        <f>IF(AND('Riesgos de Gestión'!$AJ$42="Muy Baja",'Riesgos de Gestión'!$AL$42="Catastrófico"),CONCATENATE("R6C",'Riesgos de Gestión'!$W$42),"")</f>
        <v/>
      </c>
      <c r="AK51" s="39" t="str">
        <f>IF(AND('Riesgos de Gestión'!$AJ$43="Muy Baja",'Riesgos de Gestión'!$AL$43="Catastrófico"),CONCATENATE("R6C",'Riesgos de Gestión'!$W$43),"")</f>
        <v/>
      </c>
      <c r="AL51" s="39" t="str">
        <f>IF(AND('Riesgos de Gestión'!$AJ$44="Muy Baja",'Riesgos de Gestión'!$AL$44="Catastrófico"),CONCATENATE("R6C",'Riesgos de Gestión'!$W$44),"")</f>
        <v/>
      </c>
      <c r="AM51" s="40" t="str">
        <f>IF(AND('Riesgos de Gestión'!$AJ$45="Muy Baja",'Riesgos de Gestión'!$AL$45="Catastrófico"),CONCATENATE("R6C",'Riesgos de Gestión'!$W$45),"")</f>
        <v/>
      </c>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row>
    <row r="52" spans="1:80" ht="15" customHeight="1" x14ac:dyDescent="0.25">
      <c r="A52" s="66"/>
      <c r="B52" s="496"/>
      <c r="C52" s="496"/>
      <c r="D52" s="497"/>
      <c r="E52" s="595"/>
      <c r="F52" s="594"/>
      <c r="G52" s="594"/>
      <c r="H52" s="594"/>
      <c r="I52" s="610"/>
      <c r="J52" s="59" t="str">
        <f>IF(AND('Riesgos de Gestión'!$AJ$46="Muy Baja",'Riesgos de Gestión'!$AL$46="Leve"),CONCATENATE("R7C",'Riesgos de Gestión'!$W$46),"")</f>
        <v/>
      </c>
      <c r="K52" s="60" t="str">
        <f>IF(AND('Riesgos de Gestión'!$AJ$47="Muy Baja",'Riesgos de Gestión'!$AL$47="Leve"),CONCATENATE("R7C",'Riesgos de Gestión'!$W$47),"")</f>
        <v/>
      </c>
      <c r="L52" s="60" t="str">
        <f>IF(AND('Riesgos de Gestión'!$AJ$48="Muy Baja",'Riesgos de Gestión'!$AL$48="Leve"),CONCATENATE("R7C",'Riesgos de Gestión'!$W$48),"")</f>
        <v/>
      </c>
      <c r="M52" s="60" t="str">
        <f>IF(AND('Riesgos de Gestión'!$AJ$49="Muy Baja",'Riesgos de Gestión'!$AL$49="Leve"),CONCATENATE("R7C",'Riesgos de Gestión'!$W$49),"")</f>
        <v/>
      </c>
      <c r="N52" s="60" t="str">
        <f>IF(AND('Riesgos de Gestión'!$AJ$50="Muy Baja",'Riesgos de Gestión'!$AL$50="Leve"),CONCATENATE("R7C",'Riesgos de Gestión'!$W$50),"")</f>
        <v/>
      </c>
      <c r="O52" s="61" t="str">
        <f>IF(AND('Riesgos de Gestión'!$AJ$51="Muy Baja",'Riesgos de Gestión'!$AL$51="Leve"),CONCATENATE("R7C",'Riesgos de Gestión'!$W$51),"")</f>
        <v/>
      </c>
      <c r="P52" s="59" t="str">
        <f>IF(AND('Riesgos de Gestión'!$AJ$46="Muy Baja",'Riesgos de Gestión'!$AL$46="Menor"),CONCATENATE("R7C",'Riesgos de Gestión'!$W$46),"")</f>
        <v/>
      </c>
      <c r="Q52" s="60" t="str">
        <f>IF(AND('Riesgos de Gestión'!$AJ$47="Muy Baja",'Riesgos de Gestión'!$AL$47="Menor"),CONCATENATE("R7C",'Riesgos de Gestión'!$W$47),"")</f>
        <v/>
      </c>
      <c r="R52" s="60" t="str">
        <f>IF(AND('Riesgos de Gestión'!$AJ$48="Muy Baja",'Riesgos de Gestión'!$AL$48="Menor"),CONCATENATE("R7C",'Riesgos de Gestión'!$W$48),"")</f>
        <v/>
      </c>
      <c r="S52" s="60" t="str">
        <f>IF(AND('Riesgos de Gestión'!$AJ$49="Muy Baja",'Riesgos de Gestión'!$AL$49="Menor"),CONCATENATE("R7C",'Riesgos de Gestión'!$W$49),"")</f>
        <v/>
      </c>
      <c r="T52" s="60" t="str">
        <f>IF(AND('Riesgos de Gestión'!$AJ$50="Muy Baja",'Riesgos de Gestión'!$AL$50="Menor"),CONCATENATE("R7C",'Riesgos de Gestión'!$W$50),"")</f>
        <v/>
      </c>
      <c r="U52" s="61" t="str">
        <f>IF(AND('Riesgos de Gestión'!$AJ$51="Muy Baja",'Riesgos de Gestión'!$AL$51="Menor"),CONCATENATE("R7C",'Riesgos de Gestión'!$W$51),"")</f>
        <v/>
      </c>
      <c r="V52" s="50" t="str">
        <f>IF(AND('Riesgos de Gestión'!$AJ$46="Muy Baja",'Riesgos de Gestión'!$AL$46="Moderado"),CONCATENATE("R7C",'Riesgos de Gestión'!$W$46),"")</f>
        <v/>
      </c>
      <c r="W52" s="51" t="str">
        <f>IF(AND('Riesgos de Gestión'!$AJ$47="Muy Baja",'Riesgos de Gestión'!$AL$47="Moderado"),CONCATENATE("R7C",'Riesgos de Gestión'!$W$47),"")</f>
        <v/>
      </c>
      <c r="X52" s="51" t="str">
        <f>IF(AND('Riesgos de Gestión'!$AJ$48="Muy Baja",'Riesgos de Gestión'!$AL$48="Moderado"),CONCATENATE("R7C",'Riesgos de Gestión'!$W$48),"")</f>
        <v/>
      </c>
      <c r="Y52" s="51" t="str">
        <f>IF(AND('Riesgos de Gestión'!$AJ$49="Muy Baja",'Riesgos de Gestión'!$AL$49="Moderado"),CONCATENATE("R7C",'Riesgos de Gestión'!$W$49),"")</f>
        <v/>
      </c>
      <c r="Z52" s="51" t="str">
        <f>IF(AND('Riesgos de Gestión'!$AJ$50="Muy Baja",'Riesgos de Gestión'!$AL$50="Moderado"),CONCATENATE("R7C",'Riesgos de Gestión'!$W$50),"")</f>
        <v/>
      </c>
      <c r="AA52" s="52" t="str">
        <f>IF(AND('Riesgos de Gestión'!$AJ$51="Muy Baja",'Riesgos de Gestión'!$AL$51="Moderado"),CONCATENATE("R7C",'Riesgos de Gestión'!$W$51),"")</f>
        <v/>
      </c>
      <c r="AB52" s="35" t="str">
        <f>IF(AND('Riesgos de Gestión'!$AJ$46="Muy Baja",'Riesgos de Gestión'!$AL$46="Mayor"),CONCATENATE("R7C",'Riesgos de Gestión'!$W$46),"")</f>
        <v/>
      </c>
      <c r="AC52" s="36" t="str">
        <f>IF(AND('Riesgos de Gestión'!$AJ$47="Muy Baja",'Riesgos de Gestión'!$AL$47="Mayor"),CONCATENATE("R7C",'Riesgos de Gestión'!$W$47),"")</f>
        <v/>
      </c>
      <c r="AD52" s="36" t="str">
        <f>IF(AND('Riesgos de Gestión'!$AJ$48="Muy Baja",'Riesgos de Gestión'!$AL$48="Mayor"),CONCATENATE("R7C",'Riesgos de Gestión'!$W$48),"")</f>
        <v/>
      </c>
      <c r="AE52" s="36" t="str">
        <f>IF(AND('Riesgos de Gestión'!$AJ$49="Muy Baja",'Riesgos de Gestión'!$AL$49="Mayor"),CONCATENATE("R7C",'Riesgos de Gestión'!$W$49),"")</f>
        <v/>
      </c>
      <c r="AF52" s="36" t="str">
        <f>IF(AND('Riesgos de Gestión'!$AJ$50="Muy Baja",'Riesgos de Gestión'!$AL$50="Mayor"),CONCATENATE("R7C",'Riesgos de Gestión'!$W$50),"")</f>
        <v/>
      </c>
      <c r="AG52" s="37" t="str">
        <f>IF(AND('Riesgos de Gestión'!$AJ$51="Muy Baja",'Riesgos de Gestión'!$AL$51="Mayor"),CONCATENATE("R7C",'Riesgos de Gestión'!$W$51),"")</f>
        <v/>
      </c>
      <c r="AH52" s="38" t="str">
        <f>IF(AND('Riesgos de Gestión'!$AJ$46="Muy Baja",'Riesgos de Gestión'!$AL$46="Catastrófico"),CONCATENATE("R7C",'Riesgos de Gestión'!$W$46),"")</f>
        <v/>
      </c>
      <c r="AI52" s="39" t="str">
        <f>IF(AND('Riesgos de Gestión'!$AJ$47="Muy Baja",'Riesgos de Gestión'!$AL$47="Catastrófico"),CONCATENATE("R7C",'Riesgos de Gestión'!$W$47),"")</f>
        <v/>
      </c>
      <c r="AJ52" s="39" t="str">
        <f>IF(AND('Riesgos de Gestión'!$AJ$48="Muy Baja",'Riesgos de Gestión'!$AL$48="Catastrófico"),CONCATENATE("R7C",'Riesgos de Gestión'!$W$48),"")</f>
        <v/>
      </c>
      <c r="AK52" s="39" t="str">
        <f>IF(AND('Riesgos de Gestión'!$AJ$49="Muy Baja",'Riesgos de Gestión'!$AL$49="Catastrófico"),CONCATENATE("R7C",'Riesgos de Gestión'!$W$49),"")</f>
        <v/>
      </c>
      <c r="AL52" s="39" t="str">
        <f>IF(AND('Riesgos de Gestión'!$AJ$50="Muy Baja",'Riesgos de Gestión'!$AL$50="Catastrófico"),CONCATENATE("R7C",'Riesgos de Gestión'!$W$50),"")</f>
        <v/>
      </c>
      <c r="AM52" s="40" t="str">
        <f>IF(AND('Riesgos de Gestión'!$AJ$51="Muy Baja",'Riesgos de Gestión'!$AL$51="Catastrófico"),CONCATENATE("R7C",'Riesgos de Gestión'!$W$51),"")</f>
        <v/>
      </c>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row>
    <row r="53" spans="1:80" ht="15" customHeight="1" x14ac:dyDescent="0.25">
      <c r="A53" s="66"/>
      <c r="B53" s="496"/>
      <c r="C53" s="496"/>
      <c r="D53" s="497"/>
      <c r="E53" s="595"/>
      <c r="F53" s="594"/>
      <c r="G53" s="594"/>
      <c r="H53" s="594"/>
      <c r="I53" s="610"/>
      <c r="J53" s="59" t="str">
        <f>IF(AND('Riesgos de Gestión'!$AJ$52="Muy Baja",'Riesgos de Gestión'!$AL$52="Leve"),CONCATENATE("R8C",'Riesgos de Gestión'!$W$52),"")</f>
        <v/>
      </c>
      <c r="K53" s="60" t="str">
        <f>IF(AND('Riesgos de Gestión'!$AJ$53="Muy Baja",'Riesgos de Gestión'!$AL$53="Leve"),CONCATENATE("R8C",'Riesgos de Gestión'!$W$53),"")</f>
        <v/>
      </c>
      <c r="L53" s="60" t="str">
        <f>IF(AND('Riesgos de Gestión'!$AJ$54="Muy Baja",'Riesgos de Gestión'!$AL$54="Leve"),CONCATENATE("R8C",'Riesgos de Gestión'!$W$54),"")</f>
        <v/>
      </c>
      <c r="M53" s="60" t="str">
        <f>IF(AND('Riesgos de Gestión'!$AJ$55="Muy Baja",'Riesgos de Gestión'!$AL$55="Leve"),CONCATENATE("R8C",'Riesgos de Gestión'!$W$55),"")</f>
        <v/>
      </c>
      <c r="N53" s="60" t="str">
        <f>IF(AND('Riesgos de Gestión'!$AJ$56="Muy Baja",'Riesgos de Gestión'!$AL$56="Leve"),CONCATENATE("R8C",'Riesgos de Gestión'!$W$56),"")</f>
        <v/>
      </c>
      <c r="O53" s="61" t="str">
        <f>IF(AND('Riesgos de Gestión'!$AJ$57="Muy Baja",'Riesgos de Gestión'!$AL$57="Leve"),CONCATENATE("R8C",'Riesgos de Gestión'!$W$57),"")</f>
        <v/>
      </c>
      <c r="P53" s="59" t="str">
        <f>IF(AND('Riesgos de Gestión'!$AJ$52="Muy Baja",'Riesgos de Gestión'!$AL$52="Menor"),CONCATENATE("R8C",'Riesgos de Gestión'!$W$52),"")</f>
        <v/>
      </c>
      <c r="Q53" s="60" t="str">
        <f>IF(AND('Riesgos de Gestión'!$AJ$53="Muy Baja",'Riesgos de Gestión'!$AL$53="Menor"),CONCATENATE("R8C",'Riesgos de Gestión'!$W$53),"")</f>
        <v/>
      </c>
      <c r="R53" s="60" t="str">
        <f>IF(AND('Riesgos de Gestión'!$AJ$54="Muy Baja",'Riesgos de Gestión'!$AL$54="Menor"),CONCATENATE("R8C",'Riesgos de Gestión'!$W$54),"")</f>
        <v/>
      </c>
      <c r="S53" s="60" t="str">
        <f>IF(AND('Riesgos de Gestión'!$AJ$55="Muy Baja",'Riesgos de Gestión'!$AL$55="Menor"),CONCATENATE("R8C",'Riesgos de Gestión'!$W$55),"")</f>
        <v/>
      </c>
      <c r="T53" s="60" t="str">
        <f>IF(AND('Riesgos de Gestión'!$AJ$56="Muy Baja",'Riesgos de Gestión'!$AL$56="Menor"),CONCATENATE("R8C",'Riesgos de Gestión'!$W$56),"")</f>
        <v/>
      </c>
      <c r="U53" s="61" t="str">
        <f>IF(AND('Riesgos de Gestión'!$AJ$57="Muy Baja",'Riesgos de Gestión'!$AL$57="Menor"),CONCATENATE("R8C",'Riesgos de Gestión'!$W$57),"")</f>
        <v/>
      </c>
      <c r="V53" s="50" t="str">
        <f>IF(AND('Riesgos de Gestión'!$AJ$52="Muy Baja",'Riesgos de Gestión'!$AL$52="Moderado"),CONCATENATE("R8C",'Riesgos de Gestión'!$W$52),"")</f>
        <v/>
      </c>
      <c r="W53" s="51" t="str">
        <f>IF(AND('Riesgos de Gestión'!$AJ$53="Muy Baja",'Riesgos de Gestión'!$AL$53="Moderado"),CONCATENATE("R8C",'Riesgos de Gestión'!$W$53),"")</f>
        <v/>
      </c>
      <c r="X53" s="51" t="str">
        <f>IF(AND('Riesgos de Gestión'!$AJ$54="Muy Baja",'Riesgos de Gestión'!$AL$54="Moderado"),CONCATENATE("R8C",'Riesgos de Gestión'!$W$54),"")</f>
        <v/>
      </c>
      <c r="Y53" s="51" t="str">
        <f>IF(AND('Riesgos de Gestión'!$AJ$55="Muy Baja",'Riesgos de Gestión'!$AL$55="Moderado"),CONCATENATE("R8C",'Riesgos de Gestión'!$W$55),"")</f>
        <v/>
      </c>
      <c r="Z53" s="51" t="str">
        <f>IF(AND('Riesgos de Gestión'!$AJ$56="Muy Baja",'Riesgos de Gestión'!$AL$56="Moderado"),CONCATENATE("R8C",'Riesgos de Gestión'!$W$56),"")</f>
        <v/>
      </c>
      <c r="AA53" s="52" t="str">
        <f>IF(AND('Riesgos de Gestión'!$AJ$57="Muy Baja",'Riesgos de Gestión'!$AL$57="Moderado"),CONCATENATE("R8C",'Riesgos de Gestión'!$W$57),"")</f>
        <v/>
      </c>
      <c r="AB53" s="35" t="str">
        <f>IF(AND('Riesgos de Gestión'!$AJ$52="Muy Baja",'Riesgos de Gestión'!$AL$52="Mayor"),CONCATENATE("R8C",'Riesgos de Gestión'!$W$52),"")</f>
        <v/>
      </c>
      <c r="AC53" s="36" t="str">
        <f>IF(AND('Riesgos de Gestión'!$AJ$53="Muy Baja",'Riesgos de Gestión'!$AL$53="Mayor"),CONCATENATE("R8C",'Riesgos de Gestión'!$W$53),"")</f>
        <v/>
      </c>
      <c r="AD53" s="36" t="str">
        <f>IF(AND('Riesgos de Gestión'!$AJ$54="Muy Baja",'Riesgos de Gestión'!$AL$54="Mayor"),CONCATENATE("R8C",'Riesgos de Gestión'!$W$54),"")</f>
        <v/>
      </c>
      <c r="AE53" s="36" t="str">
        <f>IF(AND('Riesgos de Gestión'!$AJ$55="Muy Baja",'Riesgos de Gestión'!$AL$55="Mayor"),CONCATENATE("R8C",'Riesgos de Gestión'!$W$55),"")</f>
        <v/>
      </c>
      <c r="AF53" s="36" t="str">
        <f>IF(AND('Riesgos de Gestión'!$AJ$56="Muy Baja",'Riesgos de Gestión'!$AL$56="Mayor"),CONCATENATE("R8C",'Riesgos de Gestión'!$W$56),"")</f>
        <v/>
      </c>
      <c r="AG53" s="37" t="str">
        <f>IF(AND('Riesgos de Gestión'!$AJ$57="Muy Baja",'Riesgos de Gestión'!$AL$57="Mayor"),CONCATENATE("R8C",'Riesgos de Gestión'!$W$57),"")</f>
        <v/>
      </c>
      <c r="AH53" s="38" t="str">
        <f>IF(AND('Riesgos de Gestión'!$AJ$52="Muy Baja",'Riesgos de Gestión'!$AL$52="Catastrófico"),CONCATENATE("R8C",'Riesgos de Gestión'!$W$52),"")</f>
        <v/>
      </c>
      <c r="AI53" s="39" t="str">
        <f>IF(AND('Riesgos de Gestión'!$AJ$53="Muy Baja",'Riesgos de Gestión'!$AL$53="Catastrófico"),CONCATENATE("R8C",'Riesgos de Gestión'!$W$53),"")</f>
        <v/>
      </c>
      <c r="AJ53" s="39" t="str">
        <f>IF(AND('Riesgos de Gestión'!$AJ$54="Muy Baja",'Riesgos de Gestión'!$AL$54="Catastrófico"),CONCATENATE("R8C",'Riesgos de Gestión'!$W$54),"")</f>
        <v/>
      </c>
      <c r="AK53" s="39" t="str">
        <f>IF(AND('Riesgos de Gestión'!$AJ$55="Muy Baja",'Riesgos de Gestión'!$AL$55="Catastrófico"),CONCATENATE("R8C",'Riesgos de Gestión'!$W$55),"")</f>
        <v/>
      </c>
      <c r="AL53" s="39" t="str">
        <f>IF(AND('Riesgos de Gestión'!$AJ$56="Muy Baja",'Riesgos de Gestión'!$AL$56="Catastrófico"),CONCATENATE("R8C",'Riesgos de Gestión'!$W$56),"")</f>
        <v/>
      </c>
      <c r="AM53" s="40" t="str">
        <f>IF(AND('Riesgos de Gestión'!$AJ$57="Muy Baja",'Riesgos de Gestión'!$AL$57="Catastrófico"),CONCATENATE("R8C",'Riesgos de Gestión'!$W$57),"")</f>
        <v/>
      </c>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row>
    <row r="54" spans="1:80" ht="15" customHeight="1" x14ac:dyDescent="0.25">
      <c r="A54" s="66"/>
      <c r="B54" s="496"/>
      <c r="C54" s="496"/>
      <c r="D54" s="497"/>
      <c r="E54" s="595"/>
      <c r="F54" s="594"/>
      <c r="G54" s="594"/>
      <c r="H54" s="594"/>
      <c r="I54" s="610"/>
      <c r="J54" s="59" t="str">
        <f>IF(AND('Riesgos de Gestión'!$AJ$58="Muy Baja",'Riesgos de Gestión'!$AL$58="Leve"),CONCATENATE("R9C",'Riesgos de Gestión'!$W$58),"")</f>
        <v/>
      </c>
      <c r="K54" s="60" t="str">
        <f>IF(AND('Riesgos de Gestión'!$AJ$59="Muy Baja",'Riesgos de Gestión'!$AL$59="Leve"),CONCATENATE("R9C",'Riesgos de Gestión'!$W$59),"")</f>
        <v/>
      </c>
      <c r="L54" s="60" t="str">
        <f>IF(AND('Riesgos de Gestión'!$AJ$60="Muy Baja",'Riesgos de Gestión'!$AL$60="Leve"),CONCATENATE("R9C",'Riesgos de Gestión'!$W$60),"")</f>
        <v/>
      </c>
      <c r="M54" s="60" t="str">
        <f>IF(AND('Riesgos de Gestión'!$AJ$61="Muy Baja",'Riesgos de Gestión'!$AL$61="Leve"),CONCATENATE("R9C",'Riesgos de Gestión'!$W$61),"")</f>
        <v/>
      </c>
      <c r="N54" s="60" t="str">
        <f>IF(AND('Riesgos de Gestión'!$AJ$62="Muy Baja",'Riesgos de Gestión'!$AL$62="Leve"),CONCATENATE("R9C",'Riesgos de Gestión'!$W$62),"")</f>
        <v/>
      </c>
      <c r="O54" s="61" t="str">
        <f>IF(AND('Riesgos de Gestión'!$AJ$65="Muy Baja",'Riesgos de Gestión'!$AL$65="Leve"),CONCATENATE("R9C",'Riesgos de Gestión'!$W$65),"")</f>
        <v/>
      </c>
      <c r="P54" s="59" t="str">
        <f>IF(AND('Riesgos de Gestión'!$AJ$58="Muy Baja",'Riesgos de Gestión'!$AL$58="Menor"),CONCATENATE("R9C",'Riesgos de Gestión'!$W$58),"")</f>
        <v/>
      </c>
      <c r="Q54" s="60" t="str">
        <f>IF(AND('Riesgos de Gestión'!$AJ$59="Muy Baja",'Riesgos de Gestión'!$AL$59="Menor"),CONCATENATE("R9C",'Riesgos de Gestión'!$W$59),"")</f>
        <v/>
      </c>
      <c r="R54" s="60" t="str">
        <f>IF(AND('Riesgos de Gestión'!$AJ$60="Muy Baja",'Riesgos de Gestión'!$AL$60="Menor"),CONCATENATE("R9C",'Riesgos de Gestión'!$W$60),"")</f>
        <v/>
      </c>
      <c r="S54" s="60" t="str">
        <f>IF(AND('Riesgos de Gestión'!$AJ$61="Muy Baja",'Riesgos de Gestión'!$AL$61="Menor"),CONCATENATE("R9C",'Riesgos de Gestión'!$W$61),"")</f>
        <v>R9C4</v>
      </c>
      <c r="T54" s="60" t="str">
        <f>IF(AND('Riesgos de Gestión'!$AJ$62="Muy Baja",'Riesgos de Gestión'!$AL$62="Menor"),CONCATENATE("R9C",'Riesgos de Gestión'!$W$62),"")</f>
        <v>R9C5</v>
      </c>
      <c r="U54" s="61" t="str">
        <f>IF(AND('Riesgos de Gestión'!$AJ$65="Muy Baja",'Riesgos de Gestión'!$AL$65="Menor"),CONCATENATE("R9C",'Riesgos de Gestión'!$W$65),"")</f>
        <v>R9C8</v>
      </c>
      <c r="V54" s="50" t="str">
        <f>IF(AND('Riesgos de Gestión'!$AJ$58="Muy Baja",'Riesgos de Gestión'!$AL$58="Moderado"),CONCATENATE("R9C",'Riesgos de Gestión'!$W$58),"")</f>
        <v/>
      </c>
      <c r="W54" s="51" t="str">
        <f>IF(AND('Riesgos de Gestión'!$AJ$59="Muy Baja",'Riesgos de Gestión'!$AL$59="Moderado"),CONCATENATE("R9C",'Riesgos de Gestión'!$W$59),"")</f>
        <v/>
      </c>
      <c r="X54" s="51" t="str">
        <f>IF(AND('Riesgos de Gestión'!$AJ$60="Muy Baja",'Riesgos de Gestión'!$AL$60="Moderado"),CONCATENATE("R9C",'Riesgos de Gestión'!$W$60),"")</f>
        <v/>
      </c>
      <c r="Y54" s="51" t="str">
        <f>IF(AND('Riesgos de Gestión'!$AJ$61="Muy Baja",'Riesgos de Gestión'!$AL$61="Moderado"),CONCATENATE("R9C",'Riesgos de Gestión'!$W$61),"")</f>
        <v/>
      </c>
      <c r="Z54" s="51" t="str">
        <f>IF(AND('Riesgos de Gestión'!$AJ$62="Muy Baja",'Riesgos de Gestión'!$AL$62="Moderado"),CONCATENATE("R9C",'Riesgos de Gestión'!$W$62),"")</f>
        <v/>
      </c>
      <c r="AA54" s="52" t="str">
        <f>IF(AND('Riesgos de Gestión'!$AJ$65="Muy Baja",'Riesgos de Gestión'!$AL$65="Moderado"),CONCATENATE("R9C",'Riesgos de Gestión'!$W$65),"")</f>
        <v/>
      </c>
      <c r="AB54" s="35" t="str">
        <f>IF(AND('Riesgos de Gestión'!$AJ$58="Muy Baja",'Riesgos de Gestión'!$AL$58="Mayor"),CONCATENATE("R9C",'Riesgos de Gestión'!$W$58),"")</f>
        <v/>
      </c>
      <c r="AC54" s="36" t="str">
        <f>IF(AND('Riesgos de Gestión'!$AJ$59="Muy Baja",'Riesgos de Gestión'!$AL$59="Mayor"),CONCATENATE("R9C",'Riesgos de Gestión'!$W$59),"")</f>
        <v/>
      </c>
      <c r="AD54" s="36" t="str">
        <f>IF(AND('Riesgos de Gestión'!$AJ$60="Muy Baja",'Riesgos de Gestión'!$AL$60="Mayor"),CONCATENATE("R9C",'Riesgos de Gestión'!$W$60),"")</f>
        <v/>
      </c>
      <c r="AE54" s="36" t="str">
        <f>IF(AND('Riesgos de Gestión'!$AJ$61="Muy Baja",'Riesgos de Gestión'!$AL$61="Mayor"),CONCATENATE("R9C",'Riesgos de Gestión'!$W$61),"")</f>
        <v/>
      </c>
      <c r="AF54" s="36" t="str">
        <f>IF(AND('Riesgos de Gestión'!$AJ$62="Muy Baja",'Riesgos de Gestión'!$AL$62="Mayor"),CONCATENATE("R9C",'Riesgos de Gestión'!$W$62),"")</f>
        <v/>
      </c>
      <c r="AG54" s="37" t="str">
        <f>IF(AND('Riesgos de Gestión'!$AJ$65="Muy Baja",'Riesgos de Gestión'!$AL$65="Mayor"),CONCATENATE("R9C",'Riesgos de Gestión'!$W$65),"")</f>
        <v/>
      </c>
      <c r="AH54" s="38" t="str">
        <f>IF(AND('Riesgos de Gestión'!$AJ$58="Muy Baja",'Riesgos de Gestión'!$AL$58="Catastrófico"),CONCATENATE("R9C",'Riesgos de Gestión'!$W$58),"")</f>
        <v/>
      </c>
      <c r="AI54" s="39" t="str">
        <f>IF(AND('Riesgos de Gestión'!$AJ$59="Muy Baja",'Riesgos de Gestión'!$AL$59="Catastrófico"),CONCATENATE("R9C",'Riesgos de Gestión'!$W$59),"")</f>
        <v/>
      </c>
      <c r="AJ54" s="39" t="str">
        <f>IF(AND('Riesgos de Gestión'!$AJ$60="Muy Baja",'Riesgos de Gestión'!$AL$60="Catastrófico"),CONCATENATE("R9C",'Riesgos de Gestión'!$W$60),"")</f>
        <v/>
      </c>
      <c r="AK54" s="39" t="str">
        <f>IF(AND('Riesgos de Gestión'!$AJ$61="Muy Baja",'Riesgos de Gestión'!$AL$61="Catastrófico"),CONCATENATE("R9C",'Riesgos de Gestión'!$W$61),"")</f>
        <v/>
      </c>
      <c r="AL54" s="39" t="str">
        <f>IF(AND('Riesgos de Gestión'!$AJ$62="Muy Baja",'Riesgos de Gestión'!$AL$62="Catastrófico"),CONCATENATE("R9C",'Riesgos de Gestión'!$W$62),"")</f>
        <v/>
      </c>
      <c r="AM54" s="40" t="str">
        <f>IF(AND('Riesgos de Gestión'!$AJ$65="Muy Baja",'Riesgos de Gestión'!$AL$65="Catastrófico"),CONCATENATE("R9C",'Riesgos de Gestión'!$W$65),"")</f>
        <v/>
      </c>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row>
    <row r="55" spans="1:80" ht="15.75" customHeight="1" thickBot="1" x14ac:dyDescent="0.3">
      <c r="A55" s="66"/>
      <c r="B55" s="496"/>
      <c r="C55" s="496"/>
      <c r="D55" s="497"/>
      <c r="E55" s="596"/>
      <c r="F55" s="597"/>
      <c r="G55" s="597"/>
      <c r="H55" s="597"/>
      <c r="I55" s="611"/>
      <c r="J55" s="62" t="str">
        <f>IF(AND('Riesgos de Gestión'!$AJ$66="Muy Baja",'Riesgos de Gestión'!$AL$66="Leve"),CONCATENATE("R10C",'Riesgos de Gestión'!$W$66),"")</f>
        <v/>
      </c>
      <c r="K55" s="63" t="str">
        <f>IF(AND('Riesgos de Gestión'!$AJ$67="Muy Baja",'Riesgos de Gestión'!$AL$67="Leve"),CONCATENATE("R10C",'Riesgos de Gestión'!$W$67),"")</f>
        <v/>
      </c>
      <c r="L55" s="63" t="str">
        <f>IF(AND('Riesgos de Gestión'!$AJ$68="Muy Baja",'Riesgos de Gestión'!$AL$68="Leve"),CONCATENATE("R10C",'Riesgos de Gestión'!$W$68),"")</f>
        <v/>
      </c>
      <c r="M55" s="63" t="str">
        <f>IF(AND('Riesgos de Gestión'!$AJ$69="Muy Baja",'Riesgos de Gestión'!$AL$69="Leve"),CONCATENATE("R10C",'Riesgos de Gestión'!$W$69),"")</f>
        <v/>
      </c>
      <c r="N55" s="63" t="str">
        <f>IF(AND('Riesgos de Gestión'!$AJ$70="Muy Baja",'Riesgos de Gestión'!$AL$70="Leve"),CONCATENATE("R10C",'Riesgos de Gestión'!$W$70),"")</f>
        <v/>
      </c>
      <c r="O55" s="64" t="str">
        <f>IF(AND('Riesgos de Gestión'!$AJ$71="Muy Baja",'Riesgos de Gestión'!$AL$71="Leve"),CONCATENATE("R10C",'Riesgos de Gestión'!$W$71),"")</f>
        <v/>
      </c>
      <c r="P55" s="62" t="str">
        <f>IF(AND('Riesgos de Gestión'!$AJ$66="Muy Baja",'Riesgos de Gestión'!$AL$66="Menor"),CONCATENATE("R10C",'Riesgos de Gestión'!$W$66),"")</f>
        <v/>
      </c>
      <c r="Q55" s="63" t="str">
        <f>IF(AND('Riesgos de Gestión'!$AJ$67="Muy Baja",'Riesgos de Gestión'!$AL$67="Menor"),CONCATENATE("R10C",'Riesgos de Gestión'!$W$67),"")</f>
        <v/>
      </c>
      <c r="R55" s="63" t="str">
        <f>IF(AND('Riesgos de Gestión'!$AJ$68="Muy Baja",'Riesgos de Gestión'!$AL$68="Menor"),CONCATENATE("R10C",'Riesgos de Gestión'!$W$68),"")</f>
        <v>R10C3</v>
      </c>
      <c r="S55" s="63" t="str">
        <f>IF(AND('Riesgos de Gestión'!$AJ$69="Muy Baja",'Riesgos de Gestión'!$AL$69="Menor"),CONCATENATE("R10C",'Riesgos de Gestión'!$W$69),"")</f>
        <v>R10C4</v>
      </c>
      <c r="T55" s="63" t="str">
        <f>IF(AND('Riesgos de Gestión'!$AJ$70="Muy Baja",'Riesgos de Gestión'!$AL$70="Menor"),CONCATENATE("R10C",'Riesgos de Gestión'!$W$70),"")</f>
        <v/>
      </c>
      <c r="U55" s="64" t="str">
        <f>IF(AND('Riesgos de Gestión'!$AJ$71="Muy Baja",'Riesgos de Gestión'!$AL$71="Menor"),CONCATENATE("R10C",'Riesgos de Gestión'!$W$71),"")</f>
        <v/>
      </c>
      <c r="V55" s="53" t="str">
        <f>IF(AND('Riesgos de Gestión'!$AJ$66="Muy Baja",'Riesgos de Gestión'!$AL$66="Moderado"),CONCATENATE("R10C",'Riesgos de Gestión'!$W$66),"")</f>
        <v/>
      </c>
      <c r="W55" s="54" t="str">
        <f>IF(AND('Riesgos de Gestión'!$AJ$67="Muy Baja",'Riesgos de Gestión'!$AL$67="Moderado"),CONCATENATE("R10C",'Riesgos de Gestión'!$W$67),"")</f>
        <v/>
      </c>
      <c r="X55" s="54" t="str">
        <f>IF(AND('Riesgos de Gestión'!$AJ$68="Muy Baja",'Riesgos de Gestión'!$AL$68="Moderado"),CONCATENATE("R10C",'Riesgos de Gestión'!$W$68),"")</f>
        <v/>
      </c>
      <c r="Y55" s="54" t="str">
        <f>IF(AND('Riesgos de Gestión'!$AJ$69="Muy Baja",'Riesgos de Gestión'!$AL$69="Moderado"),CONCATENATE("R10C",'Riesgos de Gestión'!$W$69),"")</f>
        <v/>
      </c>
      <c r="Z55" s="54" t="str">
        <f>IF(AND('Riesgos de Gestión'!$AJ$70="Muy Baja",'Riesgos de Gestión'!$AL$70="Moderado"),CONCATENATE("R10C",'Riesgos de Gestión'!$W$70),"")</f>
        <v/>
      </c>
      <c r="AA55" s="55" t="str">
        <f>IF(AND('Riesgos de Gestión'!$AJ$71="Muy Baja",'Riesgos de Gestión'!$AL$71="Moderado"),CONCATENATE("R10C",'Riesgos de Gestión'!$W$71),"")</f>
        <v/>
      </c>
      <c r="AB55" s="41" t="str">
        <f>IF(AND('Riesgos de Gestión'!$AJ$66="Muy Baja",'Riesgos de Gestión'!$AL$66="Mayor"),CONCATENATE("R10C",'Riesgos de Gestión'!$W$66),"")</f>
        <v/>
      </c>
      <c r="AC55" s="42" t="str">
        <f>IF(AND('Riesgos de Gestión'!$AJ$67="Muy Baja",'Riesgos de Gestión'!$AL$67="Mayor"),CONCATENATE("R10C",'Riesgos de Gestión'!$W$67),"")</f>
        <v/>
      </c>
      <c r="AD55" s="42" t="str">
        <f>IF(AND('Riesgos de Gestión'!$AJ$68="Muy Baja",'Riesgos de Gestión'!$AL$68="Mayor"),CONCATENATE("R10C",'Riesgos de Gestión'!$W$68),"")</f>
        <v/>
      </c>
      <c r="AE55" s="42" t="str">
        <f>IF(AND('Riesgos de Gestión'!$AJ$69="Muy Baja",'Riesgos de Gestión'!$AL$69="Mayor"),CONCATENATE("R10C",'Riesgos de Gestión'!$W$69),"")</f>
        <v/>
      </c>
      <c r="AF55" s="42" t="str">
        <f>IF(AND('Riesgos de Gestión'!$AJ$70="Muy Baja",'Riesgos de Gestión'!$AL$70="Mayor"),CONCATENATE("R10C",'Riesgos de Gestión'!$W$70),"")</f>
        <v/>
      </c>
      <c r="AG55" s="43" t="str">
        <f>IF(AND('Riesgos de Gestión'!$AJ$71="Muy Baja",'Riesgos de Gestión'!$AL$71="Mayor"),CONCATENATE("R10C",'Riesgos de Gestión'!$W$71),"")</f>
        <v/>
      </c>
      <c r="AH55" s="44" t="str">
        <f>IF(AND('Riesgos de Gestión'!$AJ$66="Muy Baja",'Riesgos de Gestión'!$AL$66="Catastrófico"),CONCATENATE("R10C",'Riesgos de Gestión'!$W$66),"")</f>
        <v/>
      </c>
      <c r="AI55" s="45" t="str">
        <f>IF(AND('Riesgos de Gestión'!$AJ$67="Muy Baja",'Riesgos de Gestión'!$AL$67="Catastrófico"),CONCATENATE("R10C",'Riesgos de Gestión'!$W$67),"")</f>
        <v/>
      </c>
      <c r="AJ55" s="45" t="str">
        <f>IF(AND('Riesgos de Gestión'!$AJ$68="Muy Baja",'Riesgos de Gestión'!$AL$68="Catastrófico"),CONCATENATE("R10C",'Riesgos de Gestión'!$W$68),"")</f>
        <v/>
      </c>
      <c r="AK55" s="45" t="str">
        <f>IF(AND('Riesgos de Gestión'!$AJ$69="Muy Baja",'Riesgos de Gestión'!$AL$69="Catastrófico"),CONCATENATE("R10C",'Riesgos de Gestión'!$W$69),"")</f>
        <v/>
      </c>
      <c r="AL55" s="45" t="str">
        <f>IF(AND('Riesgos de Gestión'!$AJ$70="Muy Baja",'Riesgos de Gestión'!$AL$70="Catastrófico"),CONCATENATE("R10C",'Riesgos de Gestión'!$W$70),"")</f>
        <v/>
      </c>
      <c r="AM55" s="46" t="str">
        <f>IF(AND('Riesgos de Gestión'!$AJ$71="Muy Baja",'Riesgos de Gestión'!$AL$71="Catastrófico"),CONCATENATE("R10C",'Riesgos de Gestión'!$W$71),"")</f>
        <v/>
      </c>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row>
    <row r="56" spans="1:80" x14ac:dyDescent="0.25">
      <c r="A56" s="66"/>
      <c r="B56" s="66"/>
      <c r="C56" s="66"/>
      <c r="D56" s="66"/>
      <c r="E56" s="66"/>
      <c r="F56" s="66"/>
      <c r="G56" s="66"/>
      <c r="H56" s="66"/>
      <c r="I56" s="66"/>
      <c r="J56" s="591" t="s">
        <v>410</v>
      </c>
      <c r="K56" s="592"/>
      <c r="L56" s="592"/>
      <c r="M56" s="592"/>
      <c r="N56" s="592"/>
      <c r="O56" s="609"/>
      <c r="P56" s="591" t="s">
        <v>411</v>
      </c>
      <c r="Q56" s="592"/>
      <c r="R56" s="592"/>
      <c r="S56" s="592"/>
      <c r="T56" s="592"/>
      <c r="U56" s="609"/>
      <c r="V56" s="591" t="s">
        <v>412</v>
      </c>
      <c r="W56" s="592"/>
      <c r="X56" s="592"/>
      <c r="Y56" s="592"/>
      <c r="Z56" s="592"/>
      <c r="AA56" s="609"/>
      <c r="AB56" s="591" t="s">
        <v>413</v>
      </c>
      <c r="AC56" s="630"/>
      <c r="AD56" s="592"/>
      <c r="AE56" s="592"/>
      <c r="AF56" s="592"/>
      <c r="AG56" s="609"/>
      <c r="AH56" s="591" t="s">
        <v>414</v>
      </c>
      <c r="AI56" s="592"/>
      <c r="AJ56" s="592"/>
      <c r="AK56" s="592"/>
      <c r="AL56" s="592"/>
      <c r="AM56" s="609"/>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row>
    <row r="57" spans="1:80" x14ac:dyDescent="0.25">
      <c r="A57" s="66"/>
      <c r="B57" s="66"/>
      <c r="C57" s="66"/>
      <c r="D57" s="66"/>
      <c r="E57" s="66"/>
      <c r="F57" s="66"/>
      <c r="G57" s="66"/>
      <c r="H57" s="66"/>
      <c r="I57" s="66"/>
      <c r="J57" s="595"/>
      <c r="K57" s="594"/>
      <c r="L57" s="594"/>
      <c r="M57" s="594"/>
      <c r="N57" s="594"/>
      <c r="O57" s="610"/>
      <c r="P57" s="595"/>
      <c r="Q57" s="594"/>
      <c r="R57" s="594"/>
      <c r="S57" s="594"/>
      <c r="T57" s="594"/>
      <c r="U57" s="610"/>
      <c r="V57" s="595"/>
      <c r="W57" s="594"/>
      <c r="X57" s="594"/>
      <c r="Y57" s="594"/>
      <c r="Z57" s="594"/>
      <c r="AA57" s="610"/>
      <c r="AB57" s="595"/>
      <c r="AC57" s="594"/>
      <c r="AD57" s="594"/>
      <c r="AE57" s="594"/>
      <c r="AF57" s="594"/>
      <c r="AG57" s="610"/>
      <c r="AH57" s="595"/>
      <c r="AI57" s="594"/>
      <c r="AJ57" s="594"/>
      <c r="AK57" s="594"/>
      <c r="AL57" s="594"/>
      <c r="AM57" s="610"/>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row>
    <row r="58" spans="1:80" x14ac:dyDescent="0.25">
      <c r="A58" s="66"/>
      <c r="B58" s="66"/>
      <c r="C58" s="66"/>
      <c r="D58" s="66"/>
      <c r="E58" s="66"/>
      <c r="F58" s="66"/>
      <c r="G58" s="66"/>
      <c r="H58" s="66"/>
      <c r="I58" s="66"/>
      <c r="J58" s="595"/>
      <c r="K58" s="594"/>
      <c r="L58" s="594"/>
      <c r="M58" s="594"/>
      <c r="N58" s="594"/>
      <c r="O58" s="610"/>
      <c r="P58" s="595"/>
      <c r="Q58" s="594"/>
      <c r="R58" s="594"/>
      <c r="S58" s="594"/>
      <c r="T58" s="594"/>
      <c r="U58" s="610"/>
      <c r="V58" s="595"/>
      <c r="W58" s="594"/>
      <c r="X58" s="594"/>
      <c r="Y58" s="594"/>
      <c r="Z58" s="594"/>
      <c r="AA58" s="610"/>
      <c r="AB58" s="595"/>
      <c r="AC58" s="594"/>
      <c r="AD58" s="594"/>
      <c r="AE58" s="594"/>
      <c r="AF58" s="594"/>
      <c r="AG58" s="610"/>
      <c r="AH58" s="595"/>
      <c r="AI58" s="594"/>
      <c r="AJ58" s="594"/>
      <c r="AK58" s="594"/>
      <c r="AL58" s="594"/>
      <c r="AM58" s="610"/>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row>
    <row r="59" spans="1:80" x14ac:dyDescent="0.25">
      <c r="A59" s="66"/>
      <c r="B59" s="66"/>
      <c r="C59" s="66"/>
      <c r="D59" s="66"/>
      <c r="E59" s="66"/>
      <c r="F59" s="66"/>
      <c r="G59" s="66"/>
      <c r="H59" s="66"/>
      <c r="I59" s="66"/>
      <c r="J59" s="595"/>
      <c r="K59" s="594"/>
      <c r="L59" s="594"/>
      <c r="M59" s="594"/>
      <c r="N59" s="594"/>
      <c r="O59" s="610"/>
      <c r="P59" s="595"/>
      <c r="Q59" s="594"/>
      <c r="R59" s="594"/>
      <c r="S59" s="594"/>
      <c r="T59" s="594"/>
      <c r="U59" s="610"/>
      <c r="V59" s="595"/>
      <c r="W59" s="594"/>
      <c r="X59" s="594"/>
      <c r="Y59" s="594"/>
      <c r="Z59" s="594"/>
      <c r="AA59" s="610"/>
      <c r="AB59" s="595"/>
      <c r="AC59" s="594"/>
      <c r="AD59" s="594"/>
      <c r="AE59" s="594"/>
      <c r="AF59" s="594"/>
      <c r="AG59" s="610"/>
      <c r="AH59" s="595"/>
      <c r="AI59" s="594"/>
      <c r="AJ59" s="594"/>
      <c r="AK59" s="594"/>
      <c r="AL59" s="594"/>
      <c r="AM59" s="610"/>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row>
    <row r="60" spans="1:80" x14ac:dyDescent="0.25">
      <c r="A60" s="66"/>
      <c r="B60" s="66"/>
      <c r="C60" s="66"/>
      <c r="D60" s="66"/>
      <c r="E60" s="66"/>
      <c r="F60" s="66"/>
      <c r="G60" s="66"/>
      <c r="H60" s="66"/>
      <c r="I60" s="66"/>
      <c r="J60" s="595"/>
      <c r="K60" s="594"/>
      <c r="L60" s="594"/>
      <c r="M60" s="594"/>
      <c r="N60" s="594"/>
      <c r="O60" s="610"/>
      <c r="P60" s="595"/>
      <c r="Q60" s="594"/>
      <c r="R60" s="594"/>
      <c r="S60" s="594"/>
      <c r="T60" s="594"/>
      <c r="U60" s="610"/>
      <c r="V60" s="595"/>
      <c r="W60" s="594"/>
      <c r="X60" s="594"/>
      <c r="Y60" s="594"/>
      <c r="Z60" s="594"/>
      <c r="AA60" s="610"/>
      <c r="AB60" s="595"/>
      <c r="AC60" s="594"/>
      <c r="AD60" s="594"/>
      <c r="AE60" s="594"/>
      <c r="AF60" s="594"/>
      <c r="AG60" s="610"/>
      <c r="AH60" s="595"/>
      <c r="AI60" s="594"/>
      <c r="AJ60" s="594"/>
      <c r="AK60" s="594"/>
      <c r="AL60" s="594"/>
      <c r="AM60" s="610"/>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row>
    <row r="61" spans="1:80" ht="15.75" thickBot="1" x14ac:dyDescent="0.3">
      <c r="A61" s="66"/>
      <c r="B61" s="66"/>
      <c r="C61" s="66"/>
      <c r="D61" s="66"/>
      <c r="E61" s="66"/>
      <c r="F61" s="66"/>
      <c r="G61" s="66"/>
      <c r="H61" s="66"/>
      <c r="I61" s="66"/>
      <c r="J61" s="596"/>
      <c r="K61" s="597"/>
      <c r="L61" s="597"/>
      <c r="M61" s="597"/>
      <c r="N61" s="597"/>
      <c r="O61" s="611"/>
      <c r="P61" s="596"/>
      <c r="Q61" s="597"/>
      <c r="R61" s="597"/>
      <c r="S61" s="597"/>
      <c r="T61" s="597"/>
      <c r="U61" s="611"/>
      <c r="V61" s="596"/>
      <c r="W61" s="597"/>
      <c r="X61" s="597"/>
      <c r="Y61" s="597"/>
      <c r="Z61" s="597"/>
      <c r="AA61" s="611"/>
      <c r="AB61" s="596"/>
      <c r="AC61" s="597"/>
      <c r="AD61" s="597"/>
      <c r="AE61" s="597"/>
      <c r="AF61" s="597"/>
      <c r="AG61" s="611"/>
      <c r="AH61" s="596"/>
      <c r="AI61" s="597"/>
      <c r="AJ61" s="597"/>
      <c r="AK61" s="597"/>
      <c r="AL61" s="597"/>
      <c r="AM61" s="611"/>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row>
    <row r="62" spans="1:80" x14ac:dyDescent="0.25">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row>
    <row r="63" spans="1:80" ht="15" customHeight="1" x14ac:dyDescent="0.25">
      <c r="A63" s="66"/>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6"/>
      <c r="AV63" s="66"/>
      <c r="AW63" s="66"/>
      <c r="AX63" s="66"/>
      <c r="AY63" s="66"/>
      <c r="AZ63" s="66"/>
      <c r="BA63" s="66"/>
      <c r="BB63" s="66"/>
      <c r="BC63" s="66"/>
      <c r="BD63" s="66"/>
      <c r="BE63" s="66"/>
      <c r="BF63" s="66"/>
      <c r="BG63" s="66"/>
      <c r="BH63" s="66"/>
    </row>
    <row r="64" spans="1:80" ht="15" customHeight="1" x14ac:dyDescent="0.25">
      <c r="A64" s="66"/>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6"/>
      <c r="AV64" s="66"/>
      <c r="AW64" s="66"/>
      <c r="AX64" s="66"/>
      <c r="AY64" s="66"/>
      <c r="AZ64" s="66"/>
      <c r="BA64" s="66"/>
      <c r="BB64" s="66"/>
      <c r="BC64" s="66"/>
      <c r="BD64" s="66"/>
      <c r="BE64" s="66"/>
      <c r="BF64" s="66"/>
      <c r="BG64" s="66"/>
      <c r="BH64" s="66"/>
    </row>
    <row r="65" spans="1:60" x14ac:dyDescent="0.25">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row>
    <row r="66" spans="1:60" x14ac:dyDescent="0.25">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row>
    <row r="67" spans="1:60" x14ac:dyDescent="0.25">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row>
    <row r="68" spans="1:60" x14ac:dyDescent="0.25">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row>
    <row r="69" spans="1:60" x14ac:dyDescent="0.25">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row>
    <row r="70" spans="1:60" x14ac:dyDescent="0.25">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row>
    <row r="71" spans="1:60" x14ac:dyDescent="0.25">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row>
    <row r="72" spans="1:60" x14ac:dyDescent="0.25">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row>
    <row r="73" spans="1:60" x14ac:dyDescent="0.25">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row>
    <row r="74" spans="1:60" x14ac:dyDescent="0.25">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row>
    <row r="75" spans="1:60" x14ac:dyDescent="0.25">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row>
    <row r="76" spans="1:60" x14ac:dyDescent="0.25">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row>
    <row r="77" spans="1:60" x14ac:dyDescent="0.25">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row>
    <row r="78" spans="1:60" x14ac:dyDescent="0.25">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row>
    <row r="79" spans="1:60" x14ac:dyDescent="0.25">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row>
    <row r="80" spans="1:60" x14ac:dyDescent="0.25">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row>
    <row r="81" spans="1:60" x14ac:dyDescent="0.25">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row>
    <row r="82" spans="1:60" x14ac:dyDescent="0.25">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row>
    <row r="83" spans="1:60" x14ac:dyDescent="0.25">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row>
    <row r="84" spans="1:60" x14ac:dyDescent="0.25">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row>
    <row r="85" spans="1:60" x14ac:dyDescent="0.25">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row>
    <row r="86" spans="1:60" x14ac:dyDescent="0.25">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c r="BD86" s="66"/>
      <c r="BE86" s="66"/>
      <c r="BF86" s="66"/>
      <c r="BG86" s="66"/>
      <c r="BH86" s="66"/>
    </row>
    <row r="87" spans="1:60" x14ac:dyDescent="0.25">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row>
    <row r="88" spans="1:60" x14ac:dyDescent="0.25">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row>
    <row r="89" spans="1:60" x14ac:dyDescent="0.25">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row>
    <row r="90" spans="1:60" x14ac:dyDescent="0.25">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row>
    <row r="91" spans="1:60" x14ac:dyDescent="0.25">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row>
    <row r="92" spans="1:60" x14ac:dyDescent="0.25">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row>
    <row r="93" spans="1:60" x14ac:dyDescent="0.25">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row>
    <row r="94" spans="1:60" x14ac:dyDescent="0.25">
      <c r="A94" s="66"/>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row>
    <row r="95" spans="1:60" x14ac:dyDescent="0.25">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row>
    <row r="96" spans="1:60" x14ac:dyDescent="0.25">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row>
    <row r="97" spans="1:60" x14ac:dyDescent="0.25">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row>
    <row r="98" spans="1:60" x14ac:dyDescent="0.25">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row>
    <row r="99" spans="1:60" x14ac:dyDescent="0.25">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row>
    <row r="100" spans="1:60" x14ac:dyDescent="0.25">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row>
    <row r="101" spans="1:60" x14ac:dyDescent="0.25">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row>
    <row r="102" spans="1:60" x14ac:dyDescent="0.25">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row>
    <row r="103" spans="1:60" x14ac:dyDescent="0.25">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row>
    <row r="104" spans="1:60" x14ac:dyDescent="0.25">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row>
    <row r="105" spans="1:60" x14ac:dyDescent="0.25">
      <c r="A105" s="66"/>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row>
    <row r="106" spans="1:60" x14ac:dyDescent="0.2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row>
    <row r="107" spans="1:60" x14ac:dyDescent="0.25">
      <c r="A107" s="66"/>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row>
    <row r="108" spans="1:60" x14ac:dyDescent="0.25">
      <c r="A108" s="66"/>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row>
    <row r="109" spans="1:60" x14ac:dyDescent="0.25">
      <c r="A109" s="66"/>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row>
    <row r="110" spans="1:60" x14ac:dyDescent="0.25">
      <c r="A110" s="66"/>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row>
    <row r="111" spans="1:60" x14ac:dyDescent="0.25">
      <c r="A111" s="66"/>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row>
    <row r="112" spans="1:60" x14ac:dyDescent="0.25">
      <c r="A112" s="66"/>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row>
    <row r="113" spans="1:60" x14ac:dyDescent="0.25">
      <c r="A113" s="66"/>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row>
    <row r="114" spans="1:60" x14ac:dyDescent="0.25">
      <c r="A114" s="66"/>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row>
    <row r="115" spans="1:60" x14ac:dyDescent="0.25">
      <c r="A115" s="66"/>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row>
    <row r="116" spans="1:60" x14ac:dyDescent="0.25">
      <c r="A116" s="66"/>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row>
    <row r="117" spans="1:60" x14ac:dyDescent="0.25">
      <c r="A117" s="66"/>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row>
    <row r="118" spans="1:60" x14ac:dyDescent="0.25">
      <c r="A118" s="66"/>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row>
    <row r="119" spans="1:60" x14ac:dyDescent="0.25">
      <c r="A119" s="66"/>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row>
    <row r="120" spans="1:60" x14ac:dyDescent="0.25">
      <c r="A120" s="66"/>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row>
    <row r="121" spans="1:60" x14ac:dyDescent="0.25">
      <c r="A121" s="66"/>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row>
    <row r="122" spans="1:60" x14ac:dyDescent="0.25">
      <c r="A122" s="66"/>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row>
    <row r="123" spans="1:60" x14ac:dyDescent="0.25">
      <c r="A123" s="66"/>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row>
    <row r="124" spans="1:60" x14ac:dyDescent="0.25">
      <c r="A124" s="66"/>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row>
    <row r="125" spans="1:60" x14ac:dyDescent="0.25">
      <c r="A125" s="66"/>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row>
    <row r="126" spans="1:60" x14ac:dyDescent="0.25">
      <c r="A126" s="66"/>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row>
    <row r="127" spans="1:60" x14ac:dyDescent="0.25">
      <c r="A127" s="66"/>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row>
    <row r="128" spans="1:60" x14ac:dyDescent="0.25">
      <c r="A128" s="66"/>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row>
    <row r="129" spans="1:60" x14ac:dyDescent="0.25">
      <c r="A129" s="66"/>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row>
    <row r="130" spans="1:60" x14ac:dyDescent="0.25">
      <c r="A130" s="66"/>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row>
    <row r="131" spans="1:60" x14ac:dyDescent="0.25">
      <c r="A131" s="66"/>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row>
    <row r="132" spans="1:60" x14ac:dyDescent="0.25">
      <c r="A132" s="66"/>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row>
    <row r="133" spans="1:60" x14ac:dyDescent="0.25">
      <c r="A133" s="66"/>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row>
    <row r="134" spans="1:60" x14ac:dyDescent="0.25">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row>
    <row r="135" spans="1:60" x14ac:dyDescent="0.25">
      <c r="A135" s="66"/>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row>
    <row r="136" spans="1:60" x14ac:dyDescent="0.25">
      <c r="A136" s="66"/>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row>
    <row r="137" spans="1:60" x14ac:dyDescent="0.25">
      <c r="A137" s="66"/>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c r="AA137" s="66"/>
      <c r="AB137" s="66"/>
      <c r="AC137" s="66"/>
      <c r="AD137" s="66"/>
      <c r="AE137" s="66"/>
      <c r="AF137" s="66"/>
      <c r="AG137" s="66"/>
      <c r="AH137" s="66"/>
      <c r="AI137" s="66"/>
      <c r="AJ137" s="66"/>
      <c r="AK137" s="66"/>
      <c r="AL137" s="66"/>
      <c r="AM137" s="66"/>
      <c r="AN137" s="66"/>
      <c r="AO137" s="66"/>
      <c r="AP137" s="66"/>
      <c r="AQ137" s="66"/>
      <c r="AR137" s="66"/>
      <c r="AS137" s="66"/>
      <c r="AT137" s="66"/>
      <c r="AU137" s="66"/>
      <c r="AV137" s="66"/>
      <c r="AW137" s="66"/>
      <c r="AX137" s="66"/>
      <c r="AY137" s="66"/>
      <c r="AZ137" s="66"/>
      <c r="BA137" s="66"/>
      <c r="BB137" s="66"/>
      <c r="BC137" s="66"/>
      <c r="BD137" s="66"/>
      <c r="BE137" s="66"/>
      <c r="BF137" s="66"/>
      <c r="BG137" s="66"/>
      <c r="BH137" s="66"/>
    </row>
    <row r="138" spans="1:60" x14ac:dyDescent="0.25">
      <c r="A138" s="66"/>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c r="BB138" s="66"/>
      <c r="BC138" s="66"/>
      <c r="BD138" s="66"/>
      <c r="BE138" s="66"/>
      <c r="BF138" s="66"/>
      <c r="BG138" s="66"/>
      <c r="BH138" s="66"/>
    </row>
    <row r="139" spans="1:60" x14ac:dyDescent="0.25">
      <c r="A139" s="66"/>
      <c r="B139" s="66"/>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c r="AA139" s="66"/>
      <c r="AB139" s="66"/>
      <c r="AC139" s="66"/>
      <c r="AD139" s="66"/>
      <c r="AE139" s="66"/>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c r="BB139" s="66"/>
      <c r="BC139" s="66"/>
      <c r="BD139" s="66"/>
      <c r="BE139" s="66"/>
      <c r="BF139" s="66"/>
      <c r="BG139" s="66"/>
      <c r="BH139" s="66"/>
    </row>
    <row r="140" spans="1:60" x14ac:dyDescent="0.25">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c r="AA140" s="66"/>
      <c r="AB140" s="66"/>
      <c r="AC140" s="66"/>
      <c r="AD140" s="66"/>
      <c r="AE140" s="66"/>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c r="BB140" s="66"/>
      <c r="BC140" s="66"/>
      <c r="BD140" s="66"/>
      <c r="BE140" s="66"/>
      <c r="BF140" s="66"/>
      <c r="BG140" s="66"/>
      <c r="BH140" s="66"/>
    </row>
    <row r="141" spans="1:60" x14ac:dyDescent="0.25">
      <c r="A141" s="66"/>
      <c r="B141" s="66"/>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c r="AA141" s="66"/>
      <c r="AB141" s="66"/>
      <c r="AC141" s="66"/>
      <c r="AD141" s="66"/>
      <c r="AE141" s="66"/>
      <c r="AF141" s="66"/>
      <c r="AG141" s="66"/>
      <c r="AH141" s="66"/>
      <c r="AI141" s="66"/>
      <c r="AJ141" s="66"/>
      <c r="AK141" s="66"/>
      <c r="AL141" s="66"/>
      <c r="AM141" s="66"/>
      <c r="AN141" s="66"/>
      <c r="AO141" s="66"/>
      <c r="AP141" s="66"/>
      <c r="AQ141" s="66"/>
      <c r="AR141" s="66"/>
      <c r="AS141" s="66"/>
      <c r="AT141" s="66"/>
      <c r="AU141" s="66"/>
      <c r="AV141" s="66"/>
      <c r="AW141" s="66"/>
      <c r="AX141" s="66"/>
      <c r="AY141" s="66"/>
      <c r="AZ141" s="66"/>
      <c r="BA141" s="66"/>
      <c r="BB141" s="66"/>
      <c r="BC141" s="66"/>
      <c r="BD141" s="66"/>
      <c r="BE141" s="66"/>
      <c r="BF141" s="66"/>
      <c r="BG141" s="66"/>
      <c r="BH141" s="66"/>
    </row>
    <row r="142" spans="1:60" x14ac:dyDescent="0.25">
      <c r="A142" s="66"/>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c r="AA142" s="66"/>
      <c r="AB142" s="66"/>
      <c r="AC142" s="66"/>
      <c r="AD142" s="66"/>
      <c r="AE142" s="66"/>
      <c r="AF142" s="66"/>
      <c r="AG142" s="66"/>
      <c r="AH142" s="66"/>
      <c r="AI142" s="66"/>
      <c r="AJ142" s="66"/>
      <c r="AK142" s="66"/>
      <c r="AL142" s="66"/>
      <c r="AM142" s="66"/>
      <c r="AN142" s="66"/>
      <c r="AO142" s="66"/>
      <c r="AP142" s="66"/>
      <c r="AQ142" s="66"/>
      <c r="AR142" s="66"/>
      <c r="AS142" s="66"/>
      <c r="AT142" s="66"/>
      <c r="AU142" s="66"/>
      <c r="AV142" s="66"/>
      <c r="AW142" s="66"/>
      <c r="AX142" s="66"/>
      <c r="AY142" s="66"/>
      <c r="AZ142" s="66"/>
      <c r="BA142" s="66"/>
      <c r="BB142" s="66"/>
      <c r="BC142" s="66"/>
      <c r="BD142" s="66"/>
      <c r="BE142" s="66"/>
      <c r="BF142" s="66"/>
      <c r="BG142" s="66"/>
      <c r="BH142" s="66"/>
    </row>
    <row r="143" spans="1:60" x14ac:dyDescent="0.25">
      <c r="A143" s="66"/>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row>
    <row r="144" spans="1:60" x14ac:dyDescent="0.25">
      <c r="A144" s="66"/>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row>
    <row r="145" spans="1:60" x14ac:dyDescent="0.25">
      <c r="A145" s="66"/>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row>
    <row r="146" spans="1:60" x14ac:dyDescent="0.25">
      <c r="A146" s="66"/>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row>
    <row r="147" spans="1:60" x14ac:dyDescent="0.25">
      <c r="A147" s="66"/>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c r="AA147" s="66"/>
      <c r="AB147" s="66"/>
      <c r="AC147" s="66"/>
      <c r="AD147" s="66"/>
      <c r="AE147" s="66"/>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c r="BB147" s="66"/>
      <c r="BC147" s="66"/>
      <c r="BD147" s="66"/>
      <c r="BE147" s="66"/>
      <c r="BF147" s="66"/>
      <c r="BG147" s="66"/>
      <c r="BH147" s="66"/>
    </row>
    <row r="148" spans="1:60" x14ac:dyDescent="0.25">
      <c r="A148" s="66"/>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c r="BB148" s="66"/>
      <c r="BC148" s="66"/>
      <c r="BD148" s="66"/>
      <c r="BE148" s="66"/>
      <c r="BF148" s="66"/>
      <c r="BG148" s="66"/>
      <c r="BH148" s="66"/>
    </row>
    <row r="149" spans="1:60" x14ac:dyDescent="0.25">
      <c r="A149" s="66"/>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c r="BB149" s="66"/>
      <c r="BC149" s="66"/>
      <c r="BD149" s="66"/>
      <c r="BE149" s="66"/>
      <c r="BF149" s="66"/>
      <c r="BG149" s="66"/>
      <c r="BH149" s="66"/>
    </row>
    <row r="150" spans="1:60" x14ac:dyDescent="0.25">
      <c r="A150" s="66"/>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c r="AA150" s="66"/>
      <c r="AB150" s="66"/>
      <c r="AC150" s="66"/>
      <c r="AD150" s="66"/>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row>
    <row r="151" spans="1:60" x14ac:dyDescent="0.25">
      <c r="A151" s="66"/>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c r="AA151" s="66"/>
      <c r="AB151" s="66"/>
      <c r="AC151" s="66"/>
      <c r="AD151" s="66"/>
      <c r="AE151" s="66"/>
      <c r="AF151" s="66"/>
      <c r="AG151" s="66"/>
      <c r="AH151" s="66"/>
      <c r="AI151" s="66"/>
      <c r="AJ151" s="66"/>
      <c r="AK151" s="66"/>
      <c r="AL151" s="66"/>
      <c r="AM151" s="66"/>
      <c r="AN151" s="66"/>
      <c r="AO151" s="66"/>
      <c r="AP151" s="66"/>
      <c r="AQ151" s="66"/>
      <c r="AR151" s="66"/>
      <c r="AS151" s="66"/>
      <c r="AT151" s="66"/>
      <c r="AU151" s="66"/>
      <c r="AV151" s="66"/>
      <c r="AW151" s="66"/>
      <c r="AX151" s="66"/>
      <c r="AY151" s="66"/>
      <c r="AZ151" s="66"/>
      <c r="BA151" s="66"/>
      <c r="BB151" s="66"/>
      <c r="BC151" s="66"/>
      <c r="BD151" s="66"/>
      <c r="BE151" s="66"/>
      <c r="BF151" s="66"/>
      <c r="BG151" s="66"/>
      <c r="BH151" s="66"/>
    </row>
    <row r="152" spans="1:60" x14ac:dyDescent="0.25">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row>
    <row r="153" spans="1:60" x14ac:dyDescent="0.25">
      <c r="A153" s="66"/>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c r="AA153" s="66"/>
      <c r="AB153" s="66"/>
      <c r="AC153" s="66"/>
      <c r="AD153" s="66"/>
      <c r="AE153" s="66"/>
      <c r="AF153" s="66"/>
      <c r="AG153" s="66"/>
      <c r="AH153" s="66"/>
      <c r="AI153" s="66"/>
      <c r="AJ153" s="66"/>
      <c r="AK153" s="66"/>
      <c r="AL153" s="66"/>
      <c r="AM153" s="66"/>
      <c r="AN153" s="66"/>
      <c r="AO153" s="66"/>
      <c r="AP153" s="66"/>
      <c r="AQ153" s="66"/>
      <c r="AR153" s="66"/>
      <c r="AS153" s="66"/>
      <c r="AT153" s="66"/>
      <c r="AU153" s="66"/>
      <c r="AV153" s="66"/>
      <c r="AW153" s="66"/>
      <c r="AX153" s="66"/>
      <c r="AY153" s="66"/>
      <c r="AZ153" s="66"/>
      <c r="BA153" s="66"/>
      <c r="BB153" s="66"/>
      <c r="BC153" s="66"/>
      <c r="BD153" s="66"/>
      <c r="BE153" s="66"/>
      <c r="BF153" s="66"/>
      <c r="BG153" s="66"/>
      <c r="BH153" s="66"/>
    </row>
    <row r="154" spans="1:60" x14ac:dyDescent="0.25">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c r="AW154" s="66"/>
      <c r="AX154" s="66"/>
      <c r="AY154" s="66"/>
      <c r="AZ154" s="66"/>
      <c r="BA154" s="66"/>
      <c r="BB154" s="66"/>
      <c r="BC154" s="66"/>
      <c r="BD154" s="66"/>
      <c r="BE154" s="66"/>
      <c r="BF154" s="66"/>
      <c r="BG154" s="66"/>
      <c r="BH154" s="66"/>
    </row>
    <row r="155" spans="1:60" x14ac:dyDescent="0.25">
      <c r="A155" s="66"/>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c r="AW155" s="66"/>
      <c r="AX155" s="66"/>
      <c r="AY155" s="66"/>
      <c r="AZ155" s="66"/>
      <c r="BA155" s="66"/>
      <c r="BB155" s="66"/>
      <c r="BC155" s="66"/>
      <c r="BD155" s="66"/>
      <c r="BE155" s="66"/>
      <c r="BF155" s="66"/>
      <c r="BG155" s="66"/>
      <c r="BH155" s="66"/>
    </row>
    <row r="156" spans="1:60" x14ac:dyDescent="0.25">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c r="AA156" s="66"/>
      <c r="AB156" s="66"/>
      <c r="AC156" s="66"/>
      <c r="AD156" s="66"/>
      <c r="AE156" s="66"/>
      <c r="AF156" s="66"/>
      <c r="AG156" s="66"/>
      <c r="AH156" s="66"/>
      <c r="AI156" s="66"/>
      <c r="AJ156" s="66"/>
      <c r="AK156" s="66"/>
      <c r="AL156" s="66"/>
      <c r="AM156" s="66"/>
      <c r="AN156" s="66"/>
      <c r="AO156" s="66"/>
      <c r="AP156" s="66"/>
      <c r="AQ156" s="66"/>
      <c r="AR156" s="66"/>
      <c r="AS156" s="66"/>
      <c r="AT156" s="66"/>
      <c r="AU156" s="66"/>
      <c r="AV156" s="66"/>
      <c r="AW156" s="66"/>
      <c r="AX156" s="66"/>
      <c r="AY156" s="66"/>
      <c r="AZ156" s="66"/>
      <c r="BA156" s="66"/>
      <c r="BB156" s="66"/>
      <c r="BC156" s="66"/>
      <c r="BD156" s="66"/>
      <c r="BE156" s="66"/>
      <c r="BF156" s="66"/>
      <c r="BG156" s="66"/>
      <c r="BH156" s="66"/>
    </row>
    <row r="157" spans="1:60" x14ac:dyDescent="0.25">
      <c r="A157" s="66"/>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c r="AA157" s="66"/>
      <c r="AB157" s="66"/>
      <c r="AC157" s="66"/>
      <c r="AD157" s="66"/>
      <c r="AE157" s="66"/>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c r="BB157" s="66"/>
      <c r="BC157" s="66"/>
      <c r="BD157" s="66"/>
      <c r="BE157" s="66"/>
      <c r="BF157" s="66"/>
      <c r="BG157" s="66"/>
      <c r="BH157" s="66"/>
    </row>
    <row r="158" spans="1:60" x14ac:dyDescent="0.25">
      <c r="A158" s="66"/>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c r="AA158" s="66"/>
      <c r="AB158" s="66"/>
      <c r="AC158" s="66"/>
      <c r="AD158" s="66"/>
      <c r="AE158" s="66"/>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c r="BB158" s="66"/>
      <c r="BC158" s="66"/>
      <c r="BD158" s="66"/>
      <c r="BE158" s="66"/>
      <c r="BF158" s="66"/>
      <c r="BG158" s="66"/>
      <c r="BH158" s="66"/>
    </row>
    <row r="159" spans="1:60" x14ac:dyDescent="0.25">
      <c r="A159" s="66"/>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c r="AA159" s="66"/>
      <c r="AB159" s="66"/>
      <c r="AC159" s="66"/>
      <c r="AD159" s="66"/>
      <c r="AE159" s="66"/>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c r="BB159" s="66"/>
      <c r="BC159" s="66"/>
      <c r="BD159" s="66"/>
      <c r="BE159" s="66"/>
      <c r="BF159" s="66"/>
      <c r="BG159" s="66"/>
      <c r="BH159" s="66"/>
    </row>
    <row r="160" spans="1:60" x14ac:dyDescent="0.25">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row>
    <row r="161" spans="1:60" x14ac:dyDescent="0.25">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row>
    <row r="162" spans="1:60" x14ac:dyDescent="0.25">
      <c r="A162" s="66"/>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row>
    <row r="163" spans="1:60" x14ac:dyDescent="0.25">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row>
    <row r="164" spans="1:60" x14ac:dyDescent="0.25">
      <c r="A164" s="66"/>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row>
    <row r="165" spans="1:60" x14ac:dyDescent="0.25">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row>
    <row r="166" spans="1:60" x14ac:dyDescent="0.25">
      <c r="A166" s="66"/>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row>
    <row r="167" spans="1:60" x14ac:dyDescent="0.25">
      <c r="A167" s="66"/>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row>
    <row r="168" spans="1:60" x14ac:dyDescent="0.25">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row>
    <row r="169" spans="1:60" x14ac:dyDescent="0.25">
      <c r="A169" s="66"/>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row>
    <row r="170" spans="1:60" x14ac:dyDescent="0.25">
      <c r="A170" s="66"/>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row>
    <row r="171" spans="1:60" x14ac:dyDescent="0.25">
      <c r="A171" s="66"/>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row>
    <row r="172" spans="1:60" x14ac:dyDescent="0.25">
      <c r="A172" s="66"/>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row>
    <row r="173" spans="1:60" x14ac:dyDescent="0.25">
      <c r="A173" s="66"/>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row>
    <row r="174" spans="1:60" x14ac:dyDescent="0.25">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row>
    <row r="175" spans="1:60" x14ac:dyDescent="0.25">
      <c r="A175" s="66"/>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row>
    <row r="176" spans="1:60" x14ac:dyDescent="0.25">
      <c r="A176" s="66"/>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row>
    <row r="177" spans="1:60" x14ac:dyDescent="0.25">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row>
    <row r="178" spans="1:60" x14ac:dyDescent="0.25">
      <c r="A178" s="66"/>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row>
    <row r="179" spans="1:60" x14ac:dyDescent="0.25">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row>
    <row r="180" spans="1:60" x14ac:dyDescent="0.25">
      <c r="A180" s="66"/>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row>
    <row r="181" spans="1:60" x14ac:dyDescent="0.25">
      <c r="A181" s="66"/>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row>
    <row r="182" spans="1:60" x14ac:dyDescent="0.25">
      <c r="A182" s="66"/>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row>
    <row r="183" spans="1:60" x14ac:dyDescent="0.25">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row>
    <row r="184" spans="1:60" x14ac:dyDescent="0.25">
      <c r="A184" s="66"/>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row>
    <row r="185" spans="1:60" x14ac:dyDescent="0.25">
      <c r="A185" s="66"/>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row>
    <row r="186" spans="1:60" x14ac:dyDescent="0.25">
      <c r="A186" s="66"/>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row>
    <row r="187" spans="1:60" x14ac:dyDescent="0.25">
      <c r="A187" s="66"/>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row>
    <row r="188" spans="1:60" x14ac:dyDescent="0.25">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row>
    <row r="189" spans="1:60" x14ac:dyDescent="0.25">
      <c r="A189" s="66"/>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row>
    <row r="190" spans="1:60" x14ac:dyDescent="0.25">
      <c r="A190" s="66"/>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row>
    <row r="191" spans="1:60" x14ac:dyDescent="0.25">
      <c r="A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row>
    <row r="192" spans="1:60" x14ac:dyDescent="0.25">
      <c r="A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row>
    <row r="193" spans="1:60" x14ac:dyDescent="0.25">
      <c r="A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row>
    <row r="194" spans="1:60" x14ac:dyDescent="0.25">
      <c r="A194" s="66"/>
      <c r="J194" s="66"/>
      <c r="K194" s="66"/>
      <c r="L194" s="66"/>
      <c r="M194" s="66"/>
      <c r="N194" s="66"/>
      <c r="O194" s="66"/>
      <c r="P194" s="66"/>
      <c r="Q194" s="66"/>
      <c r="R194" s="66"/>
      <c r="S194" s="66"/>
      <c r="T194" s="66"/>
      <c r="U194" s="66"/>
      <c r="V194" s="66"/>
      <c r="W194" s="66"/>
      <c r="X194" s="66"/>
      <c r="Y194" s="66"/>
      <c r="Z194" s="66"/>
      <c r="AA194" s="66"/>
      <c r="AB194" s="66"/>
      <c r="AC194" s="66"/>
      <c r="AD194" s="66"/>
      <c r="AE194" s="66"/>
      <c r="AF194" s="66"/>
      <c r="AG194" s="66"/>
      <c r="AH194" s="66"/>
      <c r="AI194" s="66"/>
      <c r="AJ194" s="66"/>
      <c r="AK194" s="66"/>
      <c r="AL194" s="66"/>
      <c r="AM194" s="66"/>
      <c r="AN194" s="66"/>
      <c r="AO194" s="66"/>
      <c r="AP194" s="66"/>
      <c r="AQ194" s="66"/>
      <c r="AR194" s="66"/>
      <c r="AS194" s="66"/>
      <c r="AT194" s="66"/>
      <c r="AU194" s="66"/>
      <c r="AV194" s="66"/>
      <c r="AW194" s="66"/>
      <c r="AX194" s="66"/>
      <c r="AY194" s="66"/>
      <c r="AZ194" s="66"/>
      <c r="BA194" s="66"/>
      <c r="BB194" s="66"/>
      <c r="BC194" s="66"/>
      <c r="BD194" s="66"/>
      <c r="BE194" s="66"/>
      <c r="BF194" s="66"/>
      <c r="BG194" s="66"/>
      <c r="BH194" s="66"/>
    </row>
    <row r="195" spans="1:60" x14ac:dyDescent="0.25">
      <c r="A195" s="66"/>
      <c r="J195" s="66"/>
      <c r="K195" s="66"/>
      <c r="L195" s="66"/>
      <c r="M195" s="66"/>
      <c r="N195" s="66"/>
      <c r="O195" s="66"/>
      <c r="P195" s="66"/>
      <c r="Q195" s="66"/>
      <c r="R195" s="66"/>
      <c r="S195" s="66"/>
      <c r="T195" s="66"/>
      <c r="U195" s="66"/>
      <c r="V195" s="66"/>
      <c r="W195" s="66"/>
      <c r="X195" s="66"/>
      <c r="Y195" s="66"/>
      <c r="Z195" s="66"/>
      <c r="AA195" s="66"/>
      <c r="AB195" s="66"/>
      <c r="AC195" s="66"/>
      <c r="AD195" s="66"/>
      <c r="AE195" s="66"/>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c r="BB195" s="66"/>
      <c r="BC195" s="66"/>
      <c r="BD195" s="66"/>
      <c r="BE195" s="66"/>
      <c r="BF195" s="66"/>
      <c r="BG195" s="66"/>
      <c r="BH195" s="66"/>
    </row>
    <row r="196" spans="1:60" x14ac:dyDescent="0.25">
      <c r="A196" s="66"/>
      <c r="J196" s="66"/>
      <c r="K196" s="66"/>
      <c r="L196" s="66"/>
      <c r="M196" s="66"/>
      <c r="N196" s="66"/>
      <c r="O196" s="66"/>
      <c r="P196" s="66"/>
      <c r="Q196" s="66"/>
      <c r="R196" s="66"/>
      <c r="S196" s="66"/>
      <c r="T196" s="66"/>
      <c r="U196" s="66"/>
      <c r="V196" s="66"/>
      <c r="W196" s="66"/>
      <c r="X196" s="66"/>
      <c r="Y196" s="66"/>
      <c r="Z196" s="66"/>
      <c r="AA196" s="66"/>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row>
    <row r="197" spans="1:60" x14ac:dyDescent="0.25">
      <c r="A197" s="66"/>
      <c r="J197" s="66"/>
      <c r="K197" s="66"/>
      <c r="L197" s="66"/>
      <c r="M197" s="66"/>
      <c r="N197" s="66"/>
      <c r="O197" s="66"/>
      <c r="P197" s="66"/>
      <c r="Q197" s="66"/>
      <c r="R197" s="66"/>
      <c r="S197" s="66"/>
      <c r="T197" s="66"/>
      <c r="U197" s="66"/>
      <c r="V197" s="66"/>
      <c r="W197" s="66"/>
      <c r="X197" s="66"/>
      <c r="Y197" s="66"/>
      <c r="Z197" s="66"/>
      <c r="AA197" s="66"/>
      <c r="AB197" s="66"/>
      <c r="AC197" s="66"/>
      <c r="AD197" s="66"/>
      <c r="AE197" s="66"/>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row>
    <row r="198" spans="1:60" x14ac:dyDescent="0.25">
      <c r="A198" s="66"/>
      <c r="J198" s="66"/>
      <c r="K198" s="66"/>
      <c r="L198" s="66"/>
      <c r="M198" s="66"/>
      <c r="N198" s="66"/>
      <c r="O198" s="66"/>
      <c r="P198" s="66"/>
      <c r="Q198" s="66"/>
      <c r="R198" s="66"/>
      <c r="S198" s="66"/>
      <c r="T198" s="66"/>
      <c r="U198" s="66"/>
      <c r="V198" s="66"/>
      <c r="W198" s="66"/>
      <c r="X198" s="66"/>
      <c r="Y198" s="66"/>
      <c r="Z198" s="66"/>
      <c r="AA198" s="66"/>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row>
    <row r="199" spans="1:60" x14ac:dyDescent="0.25">
      <c r="A199" s="66"/>
      <c r="J199" s="66"/>
      <c r="K199" s="66"/>
      <c r="L199" s="66"/>
      <c r="M199" s="66"/>
      <c r="N199" s="66"/>
      <c r="O199" s="66"/>
      <c r="P199" s="66"/>
      <c r="Q199" s="66"/>
      <c r="R199" s="66"/>
      <c r="S199" s="66"/>
      <c r="T199" s="66"/>
      <c r="U199" s="66"/>
      <c r="V199" s="66"/>
      <c r="W199" s="66"/>
      <c r="X199" s="66"/>
      <c r="Y199" s="66"/>
      <c r="Z199" s="66"/>
      <c r="AA199" s="66"/>
      <c r="AB199" s="66"/>
      <c r="AC199" s="66"/>
      <c r="AD199" s="66"/>
      <c r="AE199" s="66"/>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c r="BB199" s="66"/>
      <c r="BC199" s="66"/>
      <c r="BD199" s="66"/>
      <c r="BE199" s="66"/>
      <c r="BF199" s="66"/>
      <c r="BG199" s="66"/>
      <c r="BH199" s="66"/>
    </row>
    <row r="200" spans="1:60" x14ac:dyDescent="0.25">
      <c r="A200" s="66"/>
      <c r="J200" s="66"/>
      <c r="K200" s="66"/>
      <c r="L200" s="66"/>
      <c r="M200" s="66"/>
      <c r="N200" s="66"/>
      <c r="O200" s="66"/>
      <c r="P200" s="66"/>
      <c r="Q200" s="66"/>
      <c r="R200" s="66"/>
      <c r="S200" s="66"/>
      <c r="T200" s="66"/>
      <c r="U200" s="66"/>
      <c r="V200" s="66"/>
      <c r="W200" s="66"/>
      <c r="X200" s="66"/>
      <c r="Y200" s="66"/>
      <c r="Z200" s="66"/>
      <c r="AA200" s="66"/>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66"/>
      <c r="BC200" s="66"/>
      <c r="BD200" s="66"/>
      <c r="BE200" s="66"/>
      <c r="BF200" s="66"/>
      <c r="BG200" s="66"/>
      <c r="BH200" s="66"/>
    </row>
    <row r="201" spans="1:60" x14ac:dyDescent="0.25">
      <c r="A201" s="66"/>
      <c r="J201" s="66"/>
      <c r="K201" s="66"/>
      <c r="L201" s="66"/>
      <c r="M201" s="66"/>
      <c r="N201" s="66"/>
      <c r="O201" s="66"/>
      <c r="P201" s="66"/>
      <c r="Q201" s="66"/>
      <c r="R201" s="66"/>
      <c r="S201" s="66"/>
      <c r="T201" s="66"/>
      <c r="U201" s="66"/>
      <c r="V201" s="66"/>
      <c r="W201" s="66"/>
      <c r="X201" s="66"/>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66"/>
      <c r="BC201" s="66"/>
      <c r="BD201" s="66"/>
      <c r="BE201" s="66"/>
      <c r="BF201" s="66"/>
      <c r="BG201" s="66"/>
      <c r="BH201" s="66"/>
    </row>
    <row r="202" spans="1:60" x14ac:dyDescent="0.25">
      <c r="A202" s="66"/>
      <c r="J202" s="66"/>
      <c r="K202" s="66"/>
      <c r="L202" s="66"/>
      <c r="M202" s="66"/>
      <c r="N202" s="66"/>
      <c r="O202" s="66"/>
      <c r="P202" s="66"/>
      <c r="Q202" s="66"/>
      <c r="R202" s="66"/>
      <c r="S202" s="66"/>
      <c r="T202" s="66"/>
      <c r="U202" s="66"/>
      <c r="V202" s="66"/>
      <c r="W202" s="66"/>
      <c r="X202" s="66"/>
      <c r="Y202" s="66"/>
      <c r="Z202" s="66"/>
      <c r="AA202" s="66"/>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66"/>
      <c r="BC202" s="66"/>
      <c r="BD202" s="66"/>
      <c r="BE202" s="66"/>
      <c r="BF202" s="66"/>
      <c r="BG202" s="66"/>
      <c r="BH202" s="66"/>
    </row>
    <row r="203" spans="1:60" x14ac:dyDescent="0.25">
      <c r="A203" s="66"/>
      <c r="J203" s="66"/>
      <c r="K203" s="66"/>
      <c r="L203" s="66"/>
      <c r="M203" s="66"/>
      <c r="N203" s="66"/>
      <c r="O203" s="66"/>
      <c r="P203" s="66"/>
      <c r="Q203" s="66"/>
      <c r="R203" s="66"/>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row>
    <row r="204" spans="1:60" x14ac:dyDescent="0.25">
      <c r="A204" s="66"/>
      <c r="J204" s="66"/>
      <c r="K204" s="66"/>
      <c r="L204" s="66"/>
      <c r="M204" s="66"/>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row>
    <row r="205" spans="1:60" x14ac:dyDescent="0.25">
      <c r="A205" s="66"/>
      <c r="J205" s="66"/>
      <c r="K205" s="66"/>
      <c r="L205" s="66"/>
      <c r="M205" s="66"/>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66"/>
      <c r="BC205" s="66"/>
      <c r="BD205" s="66"/>
      <c r="BE205" s="66"/>
      <c r="BF205" s="66"/>
      <c r="BG205" s="66"/>
      <c r="BH205" s="66"/>
    </row>
    <row r="206" spans="1:60" x14ac:dyDescent="0.25">
      <c r="A206" s="66"/>
      <c r="J206" s="66"/>
      <c r="K206" s="66"/>
      <c r="L206" s="66"/>
      <c r="M206" s="66"/>
      <c r="N206" s="66"/>
      <c r="O206" s="66"/>
      <c r="P206" s="66"/>
      <c r="Q206" s="66"/>
      <c r="R206" s="66"/>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row>
    <row r="207" spans="1:60" x14ac:dyDescent="0.25">
      <c r="A207" s="66"/>
      <c r="J207" s="66"/>
      <c r="K207" s="66"/>
      <c r="L207" s="66"/>
      <c r="M207" s="66"/>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row>
    <row r="208" spans="1:60" x14ac:dyDescent="0.25">
      <c r="A208" s="66"/>
      <c r="J208" s="66"/>
      <c r="K208" s="66"/>
      <c r="L208" s="66"/>
      <c r="M208" s="66"/>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row>
    <row r="209" spans="1:60" x14ac:dyDescent="0.25">
      <c r="A209" s="66"/>
      <c r="J209" s="66"/>
      <c r="K209" s="66"/>
      <c r="L209" s="66"/>
      <c r="M209" s="66"/>
      <c r="N209" s="66"/>
      <c r="O209" s="66"/>
      <c r="P209" s="66"/>
      <c r="Q209" s="66"/>
      <c r="R209" s="66"/>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row>
    <row r="210" spans="1:60" x14ac:dyDescent="0.25">
      <c r="A210" s="66"/>
      <c r="J210" s="66"/>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row>
    <row r="211" spans="1:60" x14ac:dyDescent="0.25">
      <c r="A211" s="66"/>
      <c r="J211" s="66"/>
      <c r="K211" s="66"/>
      <c r="L211" s="66"/>
      <c r="M211" s="66"/>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row>
    <row r="212" spans="1:60" x14ac:dyDescent="0.25">
      <c r="A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row>
    <row r="213" spans="1:60" x14ac:dyDescent="0.25">
      <c r="A213" s="66"/>
      <c r="J213" s="66"/>
      <c r="K213" s="66"/>
      <c r="L213" s="66"/>
      <c r="M213" s="66"/>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row>
    <row r="214" spans="1:60" x14ac:dyDescent="0.25">
      <c r="A214" s="66"/>
      <c r="J214" s="66"/>
      <c r="K214" s="66"/>
      <c r="L214" s="66"/>
      <c r="M214" s="66"/>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row>
    <row r="215" spans="1:60" x14ac:dyDescent="0.25">
      <c r="A215" s="66"/>
      <c r="J215" s="66"/>
      <c r="K215" s="66"/>
      <c r="L215" s="66"/>
      <c r="M215" s="66"/>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row>
    <row r="216" spans="1:60" x14ac:dyDescent="0.25">
      <c r="A216" s="66"/>
      <c r="J216" s="66"/>
      <c r="K216" s="66"/>
      <c r="L216" s="66"/>
      <c r="M216" s="66"/>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row>
    <row r="217" spans="1:60" x14ac:dyDescent="0.25">
      <c r="A217" s="66"/>
      <c r="J217" s="66"/>
      <c r="K217" s="66"/>
      <c r="L217" s="66"/>
      <c r="M217" s="66"/>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row>
    <row r="218" spans="1:60" x14ac:dyDescent="0.25">
      <c r="A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row>
    <row r="219" spans="1:60" x14ac:dyDescent="0.25">
      <c r="A219" s="66"/>
      <c r="J219" s="66"/>
      <c r="K219" s="66"/>
      <c r="L219" s="66"/>
      <c r="M219" s="66"/>
      <c r="N219" s="66"/>
      <c r="O219" s="66"/>
      <c r="P219" s="66"/>
      <c r="Q219" s="66"/>
      <c r="R219" s="66"/>
      <c r="S219" s="66"/>
      <c r="T219" s="66"/>
      <c r="U219" s="66"/>
      <c r="V219" s="66"/>
      <c r="W219" s="66"/>
      <c r="X219" s="66"/>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66"/>
      <c r="BC219" s="66"/>
      <c r="BD219" s="66"/>
      <c r="BE219" s="66"/>
      <c r="BF219" s="66"/>
      <c r="BG219" s="66"/>
      <c r="BH219" s="66"/>
    </row>
    <row r="220" spans="1:60" x14ac:dyDescent="0.25">
      <c r="A220" s="66"/>
      <c r="J220" s="66"/>
      <c r="K220" s="66"/>
      <c r="L220" s="66"/>
      <c r="M220" s="66"/>
      <c r="N220" s="66"/>
      <c r="O220" s="66"/>
      <c r="P220" s="66"/>
      <c r="Q220" s="66"/>
      <c r="R220" s="66"/>
      <c r="S220" s="66"/>
      <c r="T220" s="66"/>
      <c r="U220" s="66"/>
      <c r="V220" s="66"/>
      <c r="W220" s="66"/>
      <c r="X220" s="66"/>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66"/>
      <c r="BC220" s="66"/>
      <c r="BD220" s="66"/>
      <c r="BE220" s="66"/>
      <c r="BF220" s="66"/>
      <c r="BG220" s="66"/>
      <c r="BH220" s="66"/>
    </row>
    <row r="221" spans="1:60" x14ac:dyDescent="0.25">
      <c r="A221" s="66"/>
      <c r="J221" s="66"/>
      <c r="K221" s="66"/>
      <c r="L221" s="66"/>
      <c r="M221" s="66"/>
      <c r="N221" s="66"/>
      <c r="O221" s="66"/>
      <c r="P221" s="66"/>
      <c r="Q221" s="66"/>
      <c r="R221" s="66"/>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66"/>
      <c r="BC221" s="66"/>
      <c r="BD221" s="66"/>
      <c r="BE221" s="66"/>
      <c r="BF221" s="66"/>
      <c r="BG221" s="66"/>
      <c r="BH221" s="66"/>
    </row>
    <row r="222" spans="1:60" x14ac:dyDescent="0.25">
      <c r="A222" s="66"/>
      <c r="J222" s="66"/>
      <c r="K222" s="66"/>
      <c r="L222" s="66"/>
      <c r="M222" s="66"/>
      <c r="N222" s="66"/>
      <c r="O222" s="66"/>
      <c r="P222" s="66"/>
      <c r="Q222" s="66"/>
      <c r="R222" s="66"/>
      <c r="S222" s="66"/>
      <c r="T222" s="66"/>
      <c r="U222" s="66"/>
      <c r="V222" s="66"/>
      <c r="W222" s="66"/>
      <c r="X222" s="66"/>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66"/>
      <c r="BC222" s="66"/>
      <c r="BD222" s="66"/>
      <c r="BE222" s="66"/>
      <c r="BF222" s="66"/>
      <c r="BG222" s="66"/>
      <c r="BH222" s="66"/>
    </row>
    <row r="223" spans="1:60" x14ac:dyDescent="0.25">
      <c r="A223" s="66"/>
      <c r="J223" s="66"/>
      <c r="K223" s="66"/>
      <c r="L223" s="66"/>
      <c r="M223" s="66"/>
      <c r="N223" s="66"/>
      <c r="O223" s="66"/>
      <c r="P223" s="66"/>
      <c r="Q223" s="66"/>
      <c r="R223" s="66"/>
      <c r="S223" s="66"/>
      <c r="T223" s="66"/>
      <c r="U223" s="66"/>
      <c r="V223" s="66"/>
      <c r="W223" s="66"/>
      <c r="X223" s="66"/>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66"/>
      <c r="BC223" s="66"/>
      <c r="BD223" s="66"/>
      <c r="BE223" s="66"/>
      <c r="BF223" s="66"/>
      <c r="BG223" s="66"/>
      <c r="BH223" s="66"/>
    </row>
    <row r="224" spans="1:60" x14ac:dyDescent="0.25">
      <c r="A224" s="66"/>
      <c r="J224" s="66"/>
      <c r="K224" s="66"/>
      <c r="L224" s="66"/>
      <c r="M224" s="66"/>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row>
    <row r="225" spans="1:60" x14ac:dyDescent="0.25">
      <c r="A225" s="66"/>
      <c r="J225" s="66"/>
      <c r="K225" s="66"/>
      <c r="L225" s="66"/>
      <c r="M225" s="66"/>
      <c r="N225" s="66"/>
      <c r="O225" s="66"/>
      <c r="P225" s="66"/>
      <c r="Q225" s="66"/>
      <c r="R225" s="66"/>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66"/>
      <c r="BC225" s="66"/>
      <c r="BD225" s="66"/>
      <c r="BE225" s="66"/>
      <c r="BF225" s="66"/>
      <c r="BG225" s="66"/>
      <c r="BH225" s="66"/>
    </row>
    <row r="226" spans="1:60" x14ac:dyDescent="0.25">
      <c r="A226" s="66"/>
      <c r="J226" s="66"/>
      <c r="K226" s="66"/>
      <c r="L226" s="66"/>
      <c r="M226" s="66"/>
      <c r="N226" s="66"/>
      <c r="O226" s="66"/>
      <c r="P226" s="66"/>
      <c r="Q226" s="66"/>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66"/>
      <c r="BC226" s="66"/>
      <c r="BD226" s="66"/>
      <c r="BE226" s="66"/>
      <c r="BF226" s="66"/>
      <c r="BG226" s="66"/>
      <c r="BH226" s="66"/>
    </row>
    <row r="227" spans="1:60" x14ac:dyDescent="0.25">
      <c r="A227" s="66"/>
      <c r="J227" s="66"/>
      <c r="K227" s="66"/>
      <c r="L227" s="66"/>
      <c r="M227" s="66"/>
      <c r="N227" s="66"/>
      <c r="O227" s="66"/>
      <c r="P227" s="66"/>
      <c r="Q227" s="66"/>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66"/>
      <c r="BC227" s="66"/>
      <c r="BD227" s="66"/>
      <c r="BE227" s="66"/>
      <c r="BF227" s="66"/>
      <c r="BG227" s="66"/>
      <c r="BH227" s="66"/>
    </row>
    <row r="228" spans="1:60" x14ac:dyDescent="0.25">
      <c r="A228" s="66"/>
      <c r="J228" s="66"/>
      <c r="K228" s="66"/>
      <c r="L228" s="66"/>
      <c r="M228" s="66"/>
      <c r="N228" s="66"/>
      <c r="O228" s="66"/>
      <c r="P228" s="66"/>
      <c r="Q228" s="66"/>
      <c r="R228" s="66"/>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66"/>
      <c r="BC228" s="66"/>
      <c r="BD228" s="66"/>
      <c r="BE228" s="66"/>
      <c r="BF228" s="66"/>
      <c r="BG228" s="66"/>
      <c r="BH228" s="66"/>
    </row>
    <row r="229" spans="1:60" x14ac:dyDescent="0.25">
      <c r="A229" s="66"/>
      <c r="J229" s="66"/>
      <c r="K229" s="66"/>
      <c r="L229" s="66"/>
      <c r="M229" s="66"/>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66"/>
      <c r="BC229" s="66"/>
      <c r="BD229" s="66"/>
      <c r="BE229" s="66"/>
      <c r="BF229" s="66"/>
      <c r="BG229" s="66"/>
      <c r="BH229" s="66"/>
    </row>
    <row r="230" spans="1:60" x14ac:dyDescent="0.25">
      <c r="A230" s="66"/>
      <c r="J230" s="66"/>
      <c r="K230" s="66"/>
      <c r="L230" s="66"/>
      <c r="M230" s="66"/>
      <c r="N230" s="66"/>
      <c r="O230" s="66"/>
      <c r="P230" s="66"/>
      <c r="Q230" s="66"/>
      <c r="R230" s="66"/>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row>
    <row r="231" spans="1:60" x14ac:dyDescent="0.25">
      <c r="A231" s="66"/>
      <c r="J231" s="66"/>
      <c r="K231" s="66"/>
      <c r="L231" s="66"/>
      <c r="M231" s="66"/>
      <c r="N231" s="66"/>
      <c r="O231" s="66"/>
      <c r="P231" s="66"/>
      <c r="Q231" s="66"/>
      <c r="R231" s="66"/>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66"/>
      <c r="BC231" s="66"/>
      <c r="BD231" s="66"/>
      <c r="BE231" s="66"/>
      <c r="BF231" s="66"/>
      <c r="BG231" s="66"/>
      <c r="BH231" s="66"/>
    </row>
    <row r="232" spans="1:60" x14ac:dyDescent="0.25">
      <c r="A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row>
    <row r="233" spans="1:60" x14ac:dyDescent="0.25">
      <c r="A233" s="66"/>
      <c r="J233" s="66"/>
      <c r="K233" s="66"/>
      <c r="L233" s="66"/>
      <c r="M233" s="66"/>
      <c r="N233" s="66"/>
      <c r="O233" s="66"/>
      <c r="P233" s="66"/>
      <c r="Q233" s="66"/>
      <c r="R233" s="66"/>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66"/>
      <c r="BC233" s="66"/>
      <c r="BD233" s="66"/>
      <c r="BE233" s="66"/>
      <c r="BF233" s="66"/>
      <c r="BG233" s="66"/>
      <c r="BH233" s="66"/>
    </row>
    <row r="234" spans="1:60" x14ac:dyDescent="0.25">
      <c r="A234" s="66"/>
      <c r="J234" s="66"/>
      <c r="K234" s="66"/>
      <c r="L234" s="66"/>
      <c r="M234" s="66"/>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row>
    <row r="235" spans="1:60" x14ac:dyDescent="0.25">
      <c r="A235" s="66"/>
      <c r="J235" s="66"/>
      <c r="K235" s="66"/>
      <c r="L235" s="66"/>
      <c r="M235" s="66"/>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row>
    <row r="236" spans="1:60" x14ac:dyDescent="0.25">
      <c r="A236" s="66"/>
      <c r="J236" s="66"/>
      <c r="K236" s="66"/>
      <c r="L236" s="66"/>
      <c r="M236" s="66"/>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row>
    <row r="237" spans="1:60" x14ac:dyDescent="0.25">
      <c r="A237" s="66"/>
      <c r="J237" s="66"/>
      <c r="K237" s="66"/>
      <c r="L237" s="66"/>
      <c r="M237" s="66"/>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row>
    <row r="238" spans="1:60" x14ac:dyDescent="0.25">
      <c r="A238" s="66"/>
      <c r="J238" s="66"/>
      <c r="K238" s="66"/>
      <c r="L238" s="66"/>
      <c r="M238" s="66"/>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row>
    <row r="239" spans="1:60" x14ac:dyDescent="0.25">
      <c r="A239" s="66"/>
      <c r="J239" s="66"/>
      <c r="K239" s="66"/>
      <c r="L239" s="66"/>
      <c r="M239" s="66"/>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row>
    <row r="240" spans="1:60" x14ac:dyDescent="0.25">
      <c r="A240" s="66"/>
      <c r="J240" s="66"/>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row>
    <row r="241" spans="1:60" x14ac:dyDescent="0.25">
      <c r="A241" s="66"/>
      <c r="J241" s="66"/>
      <c r="K241" s="66"/>
      <c r="L241" s="66"/>
      <c r="M241" s="66"/>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row>
    <row r="242" spans="1:60" x14ac:dyDescent="0.25">
      <c r="A242" s="66"/>
      <c r="J242" s="66"/>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row>
    <row r="243" spans="1:60" x14ac:dyDescent="0.25">
      <c r="A243" s="66"/>
      <c r="J243" s="66"/>
      <c r="K243" s="66"/>
      <c r="L243" s="66"/>
      <c r="M243" s="66"/>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row>
    <row r="244" spans="1:60" x14ac:dyDescent="0.25">
      <c r="A244" s="66"/>
      <c r="J244" s="66"/>
      <c r="K244" s="66"/>
      <c r="L244" s="66"/>
      <c r="M244" s="66"/>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row>
    <row r="245" spans="1:60" x14ac:dyDescent="0.25">
      <c r="A245" s="66"/>
    </row>
    <row r="246" spans="1:60" x14ac:dyDescent="0.25">
      <c r="A246" s="66"/>
    </row>
    <row r="247" spans="1:60" x14ac:dyDescent="0.25">
      <c r="A247" s="66"/>
    </row>
    <row r="248" spans="1:60" x14ac:dyDescent="0.25">
      <c r="A248" s="66"/>
    </row>
  </sheetData>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81AC6-F315-474C-A1BD-6E05C418B5A1}">
  <sheetPr>
    <tabColor rgb="FFBFBFBF"/>
  </sheetPr>
  <dimension ref="A1:AMD76"/>
  <sheetViews>
    <sheetView topLeftCell="AC7" zoomScale="60" zoomScaleNormal="60" workbookViewId="0">
      <selection activeCell="AU11" sqref="AU11:AW12"/>
    </sheetView>
  </sheetViews>
  <sheetFormatPr baseColWidth="10" defaultColWidth="11.42578125" defaultRowHeight="15.75" x14ac:dyDescent="0.25"/>
  <cols>
    <col min="1" max="1" width="6.5703125" style="280" customWidth="1"/>
    <col min="2" max="2" width="22.7109375" style="280" customWidth="1"/>
    <col min="3" max="3" width="27.140625" style="280" customWidth="1"/>
    <col min="4" max="5" width="25.28515625" style="280" customWidth="1"/>
    <col min="6" max="6" width="51.140625" style="280" customWidth="1"/>
    <col min="7" max="13" width="19.7109375" style="280" customWidth="1"/>
    <col min="14" max="14" width="16.7109375" style="281" customWidth="1"/>
    <col min="15" max="15" width="16.7109375" style="247" customWidth="1"/>
    <col min="16" max="16" width="8.5703125" style="247" customWidth="1"/>
    <col min="17" max="17" width="17.42578125" style="247" customWidth="1"/>
    <col min="18" max="18" width="8.140625" style="247" customWidth="1"/>
    <col min="19" max="19" width="33.28515625" style="247" customWidth="1"/>
    <col min="20" max="20" width="9.42578125" style="247" customWidth="1"/>
    <col min="21" max="21" width="13.140625" style="247" customWidth="1"/>
    <col min="22" max="22" width="19" style="247" customWidth="1"/>
    <col min="23" max="23" width="17.5703125" style="247" customWidth="1"/>
    <col min="24" max="24" width="15" style="247" customWidth="1"/>
    <col min="25" max="25" width="5.140625" style="247" customWidth="1"/>
    <col min="26" max="26" width="29.85546875" style="247" customWidth="1"/>
    <col min="27" max="27" width="11.7109375" style="247" customWidth="1"/>
    <col min="28" max="28" width="33.5703125" style="247" customWidth="1"/>
    <col min="29" max="29" width="32.7109375" style="247" customWidth="1"/>
    <col min="30" max="32" width="19.7109375" style="247" customWidth="1"/>
    <col min="33" max="33" width="8.140625" style="247" customWidth="1"/>
    <col min="34" max="34" width="6.85546875" style="247" customWidth="1"/>
    <col min="35" max="35" width="5" style="247" hidden="1" customWidth="1"/>
    <col min="36" max="36" width="5.5703125" style="247" customWidth="1"/>
    <col min="37" max="37" width="7.140625" style="247" customWidth="1"/>
    <col min="38" max="38" width="6.7109375" style="247" customWidth="1"/>
    <col min="39" max="39" width="9.28515625" style="247" customWidth="1"/>
    <col min="40" max="40" width="8.5703125" style="247" customWidth="1"/>
    <col min="41" max="45" width="10.85546875" style="247" customWidth="1"/>
    <col min="46" max="46" width="33.28515625" style="275" customWidth="1"/>
    <col min="47" max="47" width="23" style="247" customWidth="1"/>
    <col min="48" max="48" width="18.85546875" style="247" customWidth="1"/>
    <col min="49" max="49" width="23.7109375" style="247" customWidth="1"/>
    <col min="50" max="50" width="22.42578125" style="247" customWidth="1"/>
    <col min="51" max="51" width="16.42578125" style="247" customWidth="1"/>
    <col min="52" max="52" width="20.5703125" style="247" customWidth="1"/>
    <col min="53" max="1018" width="11.42578125" style="247"/>
    <col min="1019" max="16384" width="11.42578125" style="282"/>
  </cols>
  <sheetData>
    <row r="1" spans="1:280" s="240" customFormat="1" ht="21" thickBot="1" x14ac:dyDescent="0.35">
      <c r="A1" s="631"/>
      <c r="B1" s="631"/>
      <c r="C1" s="631"/>
      <c r="D1" s="632" t="s">
        <v>338</v>
      </c>
      <c r="E1" s="632"/>
      <c r="F1" s="632"/>
      <c r="G1" s="632"/>
      <c r="H1" s="632"/>
      <c r="I1" s="632"/>
      <c r="J1" s="632"/>
      <c r="K1" s="632"/>
      <c r="L1" s="632"/>
      <c r="M1" s="632"/>
      <c r="N1" s="632"/>
      <c r="O1" s="632"/>
      <c r="P1" s="632"/>
      <c r="Q1" s="632"/>
      <c r="R1" s="632"/>
      <c r="S1" s="632"/>
      <c r="T1" s="632"/>
      <c r="U1" s="632"/>
      <c r="V1" s="632"/>
      <c r="W1" s="632"/>
      <c r="X1" s="238"/>
      <c r="Y1" s="238"/>
      <c r="Z1" s="238"/>
      <c r="AA1" s="238"/>
      <c r="AB1" s="238"/>
      <c r="AC1" s="238"/>
      <c r="AD1" s="238"/>
      <c r="AE1" s="238"/>
      <c r="AF1" s="633"/>
      <c r="AG1" s="633"/>
      <c r="AH1" s="633"/>
      <c r="AI1" s="633"/>
      <c r="AJ1" s="633"/>
      <c r="AK1" s="633"/>
      <c r="AL1" s="633"/>
      <c r="AM1" s="633"/>
      <c r="AN1" s="633"/>
      <c r="AO1" s="633"/>
      <c r="AP1" s="633"/>
      <c r="AQ1" s="633"/>
      <c r="AR1" s="633"/>
      <c r="AS1" s="633"/>
      <c r="AT1" s="633"/>
      <c r="AU1" s="633"/>
      <c r="AV1" s="633"/>
      <c r="AW1" s="633"/>
      <c r="AX1" s="633"/>
      <c r="AY1" s="633"/>
      <c r="AZ1" s="633"/>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row>
    <row r="2" spans="1:280" s="240" customFormat="1" ht="21" thickBot="1" x14ac:dyDescent="0.35">
      <c r="A2" s="631"/>
      <c r="B2" s="631"/>
      <c r="C2" s="631"/>
      <c r="D2" s="632"/>
      <c r="E2" s="632"/>
      <c r="F2" s="632"/>
      <c r="G2" s="632"/>
      <c r="H2" s="632"/>
      <c r="I2" s="632"/>
      <c r="J2" s="632"/>
      <c r="K2" s="632"/>
      <c r="L2" s="632"/>
      <c r="M2" s="632"/>
      <c r="N2" s="632"/>
      <c r="O2" s="632"/>
      <c r="P2" s="632"/>
      <c r="Q2" s="632"/>
      <c r="R2" s="632"/>
      <c r="S2" s="632"/>
      <c r="T2" s="632"/>
      <c r="U2" s="632"/>
      <c r="V2" s="632"/>
      <c r="W2" s="632"/>
      <c r="X2" s="238"/>
      <c r="Y2" s="238"/>
      <c r="Z2" s="238"/>
      <c r="AA2" s="238"/>
      <c r="AB2" s="238"/>
      <c r="AC2" s="238"/>
      <c r="AD2" s="238"/>
      <c r="AE2" s="238"/>
      <c r="AF2" s="633"/>
      <c r="AG2" s="633"/>
      <c r="AH2" s="633"/>
      <c r="AI2" s="633"/>
      <c r="AJ2" s="633"/>
      <c r="AK2" s="633"/>
      <c r="AL2" s="633"/>
      <c r="AM2" s="633"/>
      <c r="AN2" s="633"/>
      <c r="AO2" s="633"/>
      <c r="AP2" s="633"/>
      <c r="AQ2" s="633"/>
      <c r="AR2" s="633"/>
      <c r="AS2" s="633"/>
      <c r="AT2" s="633"/>
      <c r="AU2" s="633"/>
      <c r="AV2" s="633"/>
      <c r="AW2" s="633"/>
      <c r="AX2" s="633"/>
      <c r="AY2" s="633"/>
      <c r="AZ2" s="633"/>
      <c r="BA2" s="239"/>
      <c r="BB2" s="239"/>
      <c r="BC2" s="239"/>
      <c r="BD2" s="239"/>
      <c r="BE2" s="239"/>
      <c r="BF2" s="239"/>
      <c r="BG2" s="239"/>
      <c r="BH2" s="239"/>
      <c r="BI2" s="239"/>
      <c r="BJ2" s="239"/>
      <c r="BK2" s="239"/>
      <c r="BL2" s="239"/>
      <c r="BM2" s="239"/>
      <c r="BN2" s="239"/>
      <c r="BO2" s="239"/>
      <c r="BP2" s="239"/>
      <c r="BQ2" s="239"/>
      <c r="BR2" s="239"/>
      <c r="BS2" s="239"/>
      <c r="BT2" s="239"/>
      <c r="BU2" s="239"/>
      <c r="BV2" s="239"/>
      <c r="BW2" s="239"/>
      <c r="BX2" s="239"/>
    </row>
    <row r="3" spans="1:280" s="240" customFormat="1" ht="27.75" customHeight="1" thickBot="1" x14ac:dyDescent="0.35">
      <c r="A3" s="631"/>
      <c r="B3" s="631"/>
      <c r="C3" s="631"/>
      <c r="D3" s="634" t="s">
        <v>339</v>
      </c>
      <c r="E3" s="634"/>
      <c r="F3" s="634"/>
      <c r="G3" s="634"/>
      <c r="H3" s="634"/>
      <c r="I3" s="634"/>
      <c r="J3" s="634"/>
      <c r="K3" s="634"/>
      <c r="L3" s="634"/>
      <c r="M3" s="634"/>
      <c r="N3" s="635" t="s">
        <v>340</v>
      </c>
      <c r="O3" s="636"/>
      <c r="P3" s="636"/>
      <c r="Q3" s="636"/>
      <c r="R3" s="636"/>
      <c r="S3" s="636"/>
      <c r="T3" s="636"/>
      <c r="U3" s="636"/>
      <c r="V3" s="636"/>
      <c r="W3" s="637"/>
      <c r="X3" s="238"/>
      <c r="Y3" s="241"/>
      <c r="Z3" s="241"/>
      <c r="AA3" s="241"/>
      <c r="AB3" s="241"/>
      <c r="AC3" s="238"/>
      <c r="AD3" s="238"/>
      <c r="AE3" s="238"/>
      <c r="AF3" s="638"/>
      <c r="AG3" s="638"/>
      <c r="AH3" s="638"/>
      <c r="AI3" s="638"/>
      <c r="AJ3" s="638"/>
      <c r="AK3" s="638"/>
      <c r="AL3" s="638"/>
      <c r="AM3" s="638"/>
      <c r="AN3" s="638"/>
      <c r="AO3" s="638"/>
      <c r="AP3" s="638"/>
      <c r="AQ3" s="638"/>
      <c r="AR3" s="638"/>
      <c r="AS3" s="638"/>
      <c r="AT3" s="638"/>
      <c r="AU3" s="638"/>
      <c r="AV3" s="638"/>
      <c r="AW3" s="638"/>
      <c r="AX3" s="638"/>
      <c r="AY3" s="638"/>
      <c r="AZ3" s="638"/>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row>
    <row r="4" spans="1:280" s="240" customFormat="1" ht="27.75" customHeight="1" thickBot="1" x14ac:dyDescent="0.35">
      <c r="A4" s="631"/>
      <c r="B4" s="631"/>
      <c r="C4" s="631"/>
      <c r="D4" s="634" t="s">
        <v>341</v>
      </c>
      <c r="E4" s="634"/>
      <c r="F4" s="634"/>
      <c r="G4" s="634"/>
      <c r="H4" s="634"/>
      <c r="I4" s="634"/>
      <c r="J4" s="634"/>
      <c r="K4" s="634"/>
      <c r="L4" s="634"/>
      <c r="M4" s="634"/>
      <c r="N4" s="634"/>
      <c r="O4" s="634"/>
      <c r="P4" s="634"/>
      <c r="Q4" s="634"/>
      <c r="R4" s="634"/>
      <c r="S4" s="634"/>
      <c r="T4" s="634"/>
      <c r="U4" s="634"/>
      <c r="V4" s="634"/>
      <c r="W4" s="634"/>
      <c r="X4" s="238"/>
      <c r="Y4" s="238"/>
      <c r="Z4" s="238"/>
      <c r="AA4" s="238"/>
      <c r="AB4" s="238"/>
      <c r="AC4" s="238"/>
      <c r="AD4" s="238"/>
      <c r="AE4" s="238"/>
      <c r="AF4" s="638"/>
      <c r="AG4" s="638"/>
      <c r="AH4" s="638"/>
      <c r="AI4" s="638"/>
      <c r="AJ4" s="638"/>
      <c r="AK4" s="638"/>
      <c r="AL4" s="638"/>
      <c r="AM4" s="638"/>
      <c r="AN4" s="638"/>
      <c r="AO4" s="638"/>
      <c r="AP4" s="638"/>
      <c r="AQ4" s="638"/>
      <c r="AR4" s="638"/>
      <c r="AS4" s="638"/>
      <c r="AT4" s="638"/>
      <c r="AU4" s="638"/>
      <c r="AV4" s="638"/>
      <c r="AW4" s="638"/>
      <c r="AX4" s="638"/>
      <c r="AY4" s="638"/>
      <c r="AZ4" s="638"/>
      <c r="BA4" s="239"/>
      <c r="BB4" s="239"/>
      <c r="BC4" s="239"/>
      <c r="BD4" s="239"/>
      <c r="BE4" s="239"/>
      <c r="BF4" s="239"/>
      <c r="BG4" s="239"/>
      <c r="BH4" s="239"/>
      <c r="BI4" s="239"/>
      <c r="BJ4" s="239"/>
      <c r="BK4" s="239"/>
      <c r="BL4" s="239"/>
      <c r="BM4" s="239"/>
      <c r="BN4" s="239"/>
      <c r="BO4" s="239"/>
      <c r="BP4" s="239"/>
      <c r="BQ4" s="239"/>
      <c r="BR4" s="239"/>
      <c r="BS4" s="239"/>
      <c r="BT4" s="239"/>
      <c r="BU4" s="239"/>
      <c r="BV4" s="239"/>
      <c r="BW4" s="239"/>
      <c r="BX4" s="239"/>
    </row>
    <row r="5" spans="1:280" ht="16.5" thickBot="1" x14ac:dyDescent="0.3">
      <c r="A5" s="242"/>
      <c r="B5" s="243"/>
      <c r="C5" s="242"/>
      <c r="D5" s="242"/>
      <c r="E5" s="242"/>
      <c r="F5" s="242"/>
      <c r="G5" s="242"/>
      <c r="H5" s="242"/>
      <c r="I5" s="242"/>
      <c r="J5" s="242"/>
      <c r="K5" s="242"/>
      <c r="L5" s="242"/>
      <c r="M5" s="242"/>
      <c r="N5" s="245"/>
      <c r="O5" s="244"/>
      <c r="P5" s="244"/>
      <c r="Q5" s="244"/>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6"/>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row>
    <row r="6" spans="1:280" ht="27" customHeight="1" thickBot="1" x14ac:dyDescent="0.3">
      <c r="A6" s="647" t="s">
        <v>342</v>
      </c>
      <c r="B6" s="647"/>
      <c r="C6" s="648" t="s">
        <v>430</v>
      </c>
      <c r="D6" s="648"/>
      <c r="E6" s="648"/>
      <c r="F6" s="648"/>
      <c r="G6" s="648"/>
      <c r="H6" s="648"/>
      <c r="I6" s="648"/>
      <c r="J6" s="648"/>
      <c r="K6" s="648"/>
      <c r="L6" s="648"/>
      <c r="M6" s="648"/>
      <c r="N6" s="648"/>
      <c r="O6" s="648"/>
      <c r="P6" s="648"/>
      <c r="Q6" s="648"/>
      <c r="R6" s="648"/>
      <c r="S6" s="648"/>
      <c r="T6" s="648"/>
      <c r="U6" s="648"/>
      <c r="V6" s="648"/>
      <c r="W6" s="648"/>
      <c r="X6" s="248"/>
      <c r="Y6" s="248"/>
      <c r="Z6" s="248"/>
      <c r="AA6" s="248"/>
      <c r="AB6" s="248"/>
      <c r="AC6" s="649"/>
      <c r="AD6" s="649"/>
      <c r="AE6" s="649"/>
      <c r="AF6" s="649"/>
      <c r="AG6" s="649"/>
      <c r="AH6" s="641"/>
      <c r="AI6" s="641"/>
      <c r="AJ6" s="641"/>
      <c r="AK6" s="641"/>
      <c r="AL6" s="641"/>
      <c r="AM6" s="641"/>
      <c r="AN6" s="641"/>
      <c r="AO6" s="641"/>
      <c r="AP6" s="641"/>
      <c r="AQ6" s="641"/>
      <c r="AR6" s="641"/>
      <c r="AS6" s="641"/>
      <c r="AT6" s="641"/>
      <c r="AU6" s="641"/>
      <c r="AV6" s="641"/>
      <c r="AW6" s="641"/>
      <c r="AX6" s="641"/>
      <c r="AY6" s="641"/>
      <c r="AZ6" s="641"/>
      <c r="BA6" s="244"/>
      <c r="BB6" s="244"/>
      <c r="BC6" s="244"/>
      <c r="BD6" s="244"/>
      <c r="BE6" s="244"/>
      <c r="BF6" s="244"/>
      <c r="BG6" s="244"/>
      <c r="BH6" s="244"/>
      <c r="BI6" s="244"/>
      <c r="BJ6" s="244"/>
      <c r="BK6" s="244"/>
      <c r="BL6" s="244"/>
      <c r="BM6" s="244"/>
      <c r="BN6" s="244"/>
      <c r="BO6" s="244"/>
      <c r="BP6" s="244"/>
      <c r="BQ6" s="244"/>
      <c r="BR6" s="244"/>
      <c r="BS6" s="244"/>
      <c r="BT6" s="244"/>
      <c r="BU6" s="244"/>
      <c r="BV6" s="244"/>
      <c r="BW6" s="244"/>
      <c r="BX6" s="244"/>
    </row>
    <row r="7" spans="1:280" ht="27" customHeight="1" thickBot="1" x14ac:dyDescent="0.3">
      <c r="A7" s="650" t="s">
        <v>343</v>
      </c>
      <c r="B7" s="650"/>
      <c r="C7" s="640"/>
      <c r="D7" s="640"/>
      <c r="E7" s="640"/>
      <c r="F7" s="640"/>
      <c r="G7" s="640"/>
      <c r="H7" s="640"/>
      <c r="I7" s="640"/>
      <c r="J7" s="640"/>
      <c r="K7" s="640"/>
      <c r="L7" s="640"/>
      <c r="M7" s="640"/>
      <c r="N7" s="640"/>
      <c r="O7" s="640"/>
      <c r="P7" s="640"/>
      <c r="Q7" s="640"/>
      <c r="R7" s="640"/>
      <c r="S7" s="640"/>
      <c r="T7" s="640"/>
      <c r="U7" s="640"/>
      <c r="V7" s="640"/>
      <c r="W7" s="640"/>
      <c r="X7" s="249"/>
      <c r="Y7" s="249"/>
      <c r="Z7" s="249"/>
      <c r="AA7" s="249"/>
      <c r="AB7" s="249"/>
      <c r="AC7" s="250"/>
      <c r="AD7" s="250"/>
      <c r="AE7" s="250"/>
      <c r="AF7" s="250"/>
      <c r="AG7" s="250"/>
      <c r="AH7" s="641"/>
      <c r="AI7" s="641"/>
      <c r="AJ7" s="641"/>
      <c r="AK7" s="641"/>
      <c r="AL7" s="641"/>
      <c r="AM7" s="641"/>
      <c r="AN7" s="641"/>
      <c r="AO7" s="641"/>
      <c r="AP7" s="641"/>
      <c r="AQ7" s="641"/>
      <c r="AR7" s="641"/>
      <c r="AS7" s="641"/>
      <c r="AT7" s="641"/>
      <c r="AU7" s="641"/>
      <c r="AV7" s="641"/>
      <c r="AW7" s="641"/>
      <c r="AX7" s="641"/>
      <c r="AY7" s="641"/>
      <c r="AZ7" s="641"/>
      <c r="BA7" s="244"/>
      <c r="BB7" s="244"/>
      <c r="BC7" s="244"/>
      <c r="BD7" s="244"/>
      <c r="BE7" s="244"/>
      <c r="BF7" s="244"/>
      <c r="BG7" s="244"/>
      <c r="BH7" s="244"/>
      <c r="BI7" s="244"/>
      <c r="BJ7" s="244"/>
      <c r="BK7" s="244"/>
      <c r="BL7" s="244"/>
      <c r="BM7" s="244"/>
      <c r="BN7" s="244"/>
      <c r="BO7" s="244"/>
      <c r="BP7" s="244"/>
      <c r="BQ7" s="244"/>
      <c r="BR7" s="244"/>
      <c r="BS7" s="244"/>
      <c r="BT7" s="244"/>
      <c r="BU7" s="244"/>
      <c r="BV7" s="244"/>
      <c r="BW7" s="244"/>
      <c r="BX7" s="244"/>
    </row>
    <row r="8" spans="1:280" ht="27" customHeight="1" thickBot="1" x14ac:dyDescent="0.3">
      <c r="A8" s="639" t="s">
        <v>344</v>
      </c>
      <c r="B8" s="639"/>
      <c r="C8" s="640"/>
      <c r="D8" s="640"/>
      <c r="E8" s="640"/>
      <c r="F8" s="640"/>
      <c r="G8" s="640"/>
      <c r="H8" s="640"/>
      <c r="I8" s="640"/>
      <c r="J8" s="640"/>
      <c r="K8" s="640"/>
      <c r="L8" s="640"/>
      <c r="M8" s="640"/>
      <c r="N8" s="640"/>
      <c r="O8" s="640"/>
      <c r="P8" s="640"/>
      <c r="Q8" s="640"/>
      <c r="R8" s="640"/>
      <c r="S8" s="640"/>
      <c r="T8" s="640"/>
      <c r="U8" s="640"/>
      <c r="V8" s="640"/>
      <c r="W8" s="640"/>
      <c r="X8" s="249"/>
      <c r="Y8" s="249"/>
      <c r="Z8" s="249"/>
      <c r="AA8" s="249"/>
      <c r="AB8" s="249"/>
      <c r="AC8" s="250"/>
      <c r="AD8" s="250"/>
      <c r="AE8" s="250"/>
      <c r="AF8" s="250"/>
      <c r="AG8" s="250"/>
      <c r="AH8" s="641"/>
      <c r="AI8" s="641"/>
      <c r="AJ8" s="641"/>
      <c r="AK8" s="641"/>
      <c r="AL8" s="641"/>
      <c r="AM8" s="641"/>
      <c r="AN8" s="641"/>
      <c r="AO8" s="641"/>
      <c r="AP8" s="641"/>
      <c r="AQ8" s="641"/>
      <c r="AR8" s="641"/>
      <c r="AS8" s="641"/>
      <c r="AT8" s="641"/>
      <c r="AU8" s="641"/>
      <c r="AV8" s="641"/>
      <c r="AW8" s="641"/>
      <c r="AX8" s="641"/>
      <c r="AY8" s="641"/>
      <c r="AZ8" s="641"/>
      <c r="BA8" s="244"/>
      <c r="BB8" s="244"/>
      <c r="BC8" s="244"/>
      <c r="BD8" s="244"/>
      <c r="BE8" s="244"/>
      <c r="BF8" s="244"/>
      <c r="BG8" s="244"/>
      <c r="BH8" s="244"/>
      <c r="BI8" s="244"/>
      <c r="BJ8" s="244"/>
      <c r="BK8" s="244"/>
      <c r="BL8" s="244"/>
      <c r="BM8" s="244"/>
      <c r="BN8" s="244"/>
      <c r="BO8" s="244"/>
      <c r="BP8" s="244"/>
      <c r="BQ8" s="244"/>
      <c r="BR8" s="244"/>
      <c r="BS8" s="244"/>
      <c r="BT8" s="244"/>
      <c r="BU8" s="244"/>
      <c r="BV8" s="244"/>
      <c r="BW8" s="244"/>
      <c r="BX8" s="244"/>
    </row>
    <row r="9" spans="1:280" x14ac:dyDescent="0.25">
      <c r="A9" s="251"/>
      <c r="B9" s="251"/>
      <c r="C9" s="252"/>
      <c r="D9" s="252"/>
      <c r="E9" s="253"/>
      <c r="F9" s="253"/>
      <c r="G9" s="253"/>
      <c r="H9" s="253"/>
      <c r="I9" s="253"/>
      <c r="J9" s="253"/>
      <c r="K9" s="253"/>
      <c r="L9" s="253"/>
      <c r="M9" s="253"/>
      <c r="N9" s="253"/>
      <c r="O9" s="253"/>
      <c r="P9" s="253"/>
      <c r="Q9" s="253"/>
      <c r="R9" s="253"/>
      <c r="S9" s="253"/>
      <c r="T9" s="253"/>
      <c r="U9" s="253"/>
      <c r="V9" s="253"/>
      <c r="W9" s="253"/>
      <c r="X9" s="253"/>
      <c r="Y9" s="253"/>
      <c r="Z9" s="253"/>
      <c r="AA9" s="253"/>
      <c r="AB9" s="253"/>
      <c r="AC9" s="254"/>
      <c r="AD9" s="254"/>
      <c r="AE9" s="254"/>
      <c r="AF9" s="254"/>
      <c r="AG9" s="254"/>
      <c r="AH9" s="255"/>
      <c r="AI9" s="255"/>
      <c r="AJ9" s="255"/>
      <c r="AK9" s="255"/>
      <c r="AL9" s="255"/>
      <c r="AM9" s="255"/>
      <c r="AN9" s="255"/>
      <c r="AO9" s="255"/>
      <c r="AP9" s="255"/>
      <c r="AQ9" s="255"/>
      <c r="AR9" s="255"/>
      <c r="AS9" s="255"/>
      <c r="AT9" s="255"/>
      <c r="AU9" s="255"/>
      <c r="AV9" s="255"/>
      <c r="AW9" s="255"/>
      <c r="AX9" s="255"/>
      <c r="AY9" s="255"/>
      <c r="AZ9" s="255"/>
    </row>
    <row r="10" spans="1:280" ht="27.75" customHeight="1" x14ac:dyDescent="0.25">
      <c r="A10" s="642" t="s">
        <v>345</v>
      </c>
      <c r="B10" s="642"/>
      <c r="C10" s="642"/>
      <c r="D10" s="642"/>
      <c r="E10" s="642"/>
      <c r="F10" s="642"/>
      <c r="G10" s="256"/>
      <c r="H10" s="256"/>
      <c r="I10" s="256"/>
      <c r="J10" s="256"/>
      <c r="K10" s="256"/>
      <c r="L10" s="256"/>
      <c r="M10" s="256"/>
      <c r="N10" s="643" t="s">
        <v>348</v>
      </c>
      <c r="O10" s="643"/>
      <c r="P10" s="643"/>
      <c r="Q10" s="643"/>
      <c r="R10" s="643"/>
      <c r="S10" s="643"/>
      <c r="T10" s="643"/>
      <c r="U10" s="643"/>
      <c r="V10" s="643"/>
      <c r="W10" s="643"/>
      <c r="X10" s="643"/>
      <c r="Y10" s="644" t="s">
        <v>349</v>
      </c>
      <c r="Z10" s="644"/>
      <c r="AA10" s="644"/>
      <c r="AB10" s="644"/>
      <c r="AC10" s="644"/>
      <c r="AD10" s="644"/>
      <c r="AE10" s="644"/>
      <c r="AF10" s="644"/>
      <c r="AG10" s="644"/>
      <c r="AH10" s="644"/>
      <c r="AI10" s="644"/>
      <c r="AJ10" s="644"/>
      <c r="AK10" s="644"/>
      <c r="AL10" s="644"/>
      <c r="AM10" s="644"/>
      <c r="AN10" s="645" t="s">
        <v>350</v>
      </c>
      <c r="AO10" s="645"/>
      <c r="AP10" s="645"/>
      <c r="AQ10" s="645"/>
      <c r="AR10" s="645"/>
      <c r="AS10" s="646" t="s">
        <v>351</v>
      </c>
      <c r="AT10" s="646"/>
      <c r="AU10" s="646"/>
      <c r="AV10" s="646"/>
      <c r="AW10" s="646"/>
      <c r="AX10" s="656" t="s">
        <v>352</v>
      </c>
      <c r="AY10" s="656"/>
      <c r="AZ10" s="656"/>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244"/>
      <c r="BX10" s="244"/>
    </row>
    <row r="11" spans="1:280" ht="15" customHeight="1" x14ac:dyDescent="0.25">
      <c r="A11" s="651" t="s">
        <v>353</v>
      </c>
      <c r="B11" s="652" t="s">
        <v>431</v>
      </c>
      <c r="C11" s="652" t="s">
        <v>432</v>
      </c>
      <c r="D11" s="652" t="s">
        <v>433</v>
      </c>
      <c r="E11" s="652" t="s">
        <v>434</v>
      </c>
      <c r="F11" s="652" t="s">
        <v>435</v>
      </c>
      <c r="G11" s="653" t="s">
        <v>436</v>
      </c>
      <c r="H11" s="653" t="s">
        <v>437</v>
      </c>
      <c r="I11" s="653" t="s">
        <v>438</v>
      </c>
      <c r="J11" s="653" t="s">
        <v>439</v>
      </c>
      <c r="K11" s="653" t="s">
        <v>440</v>
      </c>
      <c r="L11" s="653" t="s">
        <v>441</v>
      </c>
      <c r="M11" s="653" t="s">
        <v>442</v>
      </c>
      <c r="N11" s="654" t="s">
        <v>389</v>
      </c>
      <c r="O11" s="654" t="s">
        <v>443</v>
      </c>
      <c r="P11" s="655" t="s">
        <v>364</v>
      </c>
      <c r="Q11" s="654" t="s">
        <v>444</v>
      </c>
      <c r="R11" s="654" t="s">
        <v>364</v>
      </c>
      <c r="S11" s="654" t="s">
        <v>445</v>
      </c>
      <c r="T11" s="654" t="s">
        <v>364</v>
      </c>
      <c r="U11" s="654" t="s">
        <v>446</v>
      </c>
      <c r="V11" s="654" t="s">
        <v>367</v>
      </c>
      <c r="W11" s="655" t="s">
        <v>364</v>
      </c>
      <c r="X11" s="654" t="s">
        <v>368</v>
      </c>
      <c r="Y11" s="658" t="s">
        <v>369</v>
      </c>
      <c r="Z11" s="259"/>
      <c r="AA11" s="259"/>
      <c r="AB11" s="259"/>
      <c r="AC11" s="652" t="s">
        <v>2</v>
      </c>
      <c r="AD11" s="652" t="s">
        <v>447</v>
      </c>
      <c r="AE11" s="652"/>
      <c r="AF11" s="652" t="s">
        <v>3</v>
      </c>
      <c r="AG11" s="652" t="s">
        <v>370</v>
      </c>
      <c r="AH11" s="652"/>
      <c r="AI11" s="652"/>
      <c r="AJ11" s="652"/>
      <c r="AK11" s="652"/>
      <c r="AL11" s="652"/>
      <c r="AM11" s="658" t="s">
        <v>371</v>
      </c>
      <c r="AN11" s="657" t="s">
        <v>372</v>
      </c>
      <c r="AO11" s="657" t="s">
        <v>364</v>
      </c>
      <c r="AP11" s="657" t="s">
        <v>373</v>
      </c>
      <c r="AQ11" s="657" t="s">
        <v>364</v>
      </c>
      <c r="AR11" s="657" t="s">
        <v>374</v>
      </c>
      <c r="AS11" s="658" t="s">
        <v>4</v>
      </c>
      <c r="AT11" s="652" t="s">
        <v>375</v>
      </c>
      <c r="AU11" s="652" t="s">
        <v>376</v>
      </c>
      <c r="AV11" s="652" t="s">
        <v>377</v>
      </c>
      <c r="AW11" s="652" t="s">
        <v>378</v>
      </c>
      <c r="AX11" s="660" t="s">
        <v>379</v>
      </c>
      <c r="AY11" s="660" t="s">
        <v>380</v>
      </c>
      <c r="AZ11" s="660" t="s">
        <v>383</v>
      </c>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row>
    <row r="12" spans="1:280" s="262" customFormat="1" ht="99" x14ac:dyDescent="0.25">
      <c r="A12" s="651"/>
      <c r="B12" s="652"/>
      <c r="C12" s="652"/>
      <c r="D12" s="652"/>
      <c r="E12" s="652"/>
      <c r="F12" s="652"/>
      <c r="G12" s="653"/>
      <c r="H12" s="653"/>
      <c r="I12" s="653"/>
      <c r="J12" s="653"/>
      <c r="K12" s="653"/>
      <c r="L12" s="653"/>
      <c r="M12" s="653"/>
      <c r="N12" s="654"/>
      <c r="O12" s="654"/>
      <c r="P12" s="655"/>
      <c r="Q12" s="654"/>
      <c r="R12" s="654"/>
      <c r="S12" s="654"/>
      <c r="T12" s="654"/>
      <c r="U12" s="654"/>
      <c r="V12" s="654"/>
      <c r="W12" s="654"/>
      <c r="X12" s="654"/>
      <c r="Y12" s="658"/>
      <c r="Z12" s="258" t="s">
        <v>383</v>
      </c>
      <c r="AA12" s="258" t="s">
        <v>379</v>
      </c>
      <c r="AB12" s="258" t="s">
        <v>384</v>
      </c>
      <c r="AC12" s="652"/>
      <c r="AD12" s="257" t="s">
        <v>448</v>
      </c>
      <c r="AE12" s="257" t="s">
        <v>449</v>
      </c>
      <c r="AF12" s="652"/>
      <c r="AG12" s="257" t="s">
        <v>385</v>
      </c>
      <c r="AH12" s="257" t="s">
        <v>386</v>
      </c>
      <c r="AI12" s="257" t="s">
        <v>387</v>
      </c>
      <c r="AJ12" s="257" t="s">
        <v>388</v>
      </c>
      <c r="AK12" s="257" t="s">
        <v>389</v>
      </c>
      <c r="AL12" s="257" t="s">
        <v>390</v>
      </c>
      <c r="AM12" s="658"/>
      <c r="AN12" s="657"/>
      <c r="AO12" s="657"/>
      <c r="AP12" s="657"/>
      <c r="AQ12" s="657"/>
      <c r="AR12" s="657"/>
      <c r="AS12" s="658"/>
      <c r="AT12" s="652"/>
      <c r="AU12" s="652"/>
      <c r="AV12" s="652"/>
      <c r="AW12" s="652"/>
      <c r="AX12" s="660"/>
      <c r="AY12" s="660"/>
      <c r="AZ12" s="6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261"/>
      <c r="CT12" s="261"/>
      <c r="CU12" s="261"/>
      <c r="CV12" s="261"/>
      <c r="CW12" s="261"/>
      <c r="CX12" s="261"/>
      <c r="CY12" s="261"/>
      <c r="CZ12" s="261"/>
      <c r="DA12" s="261"/>
      <c r="DB12" s="261"/>
      <c r="DC12" s="261"/>
      <c r="DD12" s="261"/>
      <c r="DE12" s="261"/>
      <c r="DF12" s="261"/>
      <c r="DG12" s="261"/>
      <c r="DH12" s="261"/>
      <c r="DI12" s="261"/>
      <c r="DJ12" s="261"/>
      <c r="DK12" s="261"/>
      <c r="DL12" s="261"/>
      <c r="DM12" s="261"/>
      <c r="DN12" s="261"/>
      <c r="DO12" s="261"/>
      <c r="DP12" s="261"/>
      <c r="DQ12" s="261"/>
      <c r="DR12" s="261"/>
      <c r="DS12" s="261"/>
      <c r="DT12" s="261"/>
      <c r="DU12" s="261"/>
      <c r="DV12" s="261"/>
      <c r="DW12" s="261"/>
      <c r="DX12" s="261"/>
      <c r="DY12" s="261"/>
      <c r="DZ12" s="261"/>
      <c r="EA12" s="261"/>
      <c r="EB12" s="261"/>
      <c r="EC12" s="261"/>
      <c r="ED12" s="261"/>
      <c r="EE12" s="261"/>
      <c r="EF12" s="261"/>
      <c r="EG12" s="261"/>
      <c r="EH12" s="261"/>
      <c r="EI12" s="261"/>
      <c r="EJ12" s="261"/>
      <c r="EK12" s="261"/>
      <c r="EL12" s="261"/>
      <c r="EM12" s="261"/>
      <c r="EN12" s="261"/>
      <c r="EO12" s="261"/>
      <c r="EP12" s="261"/>
      <c r="EQ12" s="261"/>
      <c r="ER12" s="261"/>
      <c r="ES12" s="261"/>
      <c r="ET12" s="261"/>
      <c r="EU12" s="261"/>
      <c r="EV12" s="261"/>
      <c r="EW12" s="261"/>
      <c r="EX12" s="261"/>
      <c r="EY12" s="261"/>
      <c r="EZ12" s="261"/>
      <c r="FA12" s="261"/>
      <c r="FB12" s="261"/>
      <c r="FC12" s="261"/>
      <c r="FD12" s="261"/>
      <c r="FE12" s="261"/>
      <c r="FF12" s="261"/>
      <c r="FG12" s="261"/>
      <c r="FH12" s="261"/>
      <c r="FI12" s="261"/>
      <c r="FJ12" s="261"/>
      <c r="FK12" s="261"/>
      <c r="FL12" s="261"/>
      <c r="FM12" s="261"/>
      <c r="FN12" s="261"/>
      <c r="FO12" s="261"/>
      <c r="FP12" s="261"/>
      <c r="FQ12" s="261"/>
      <c r="FR12" s="261"/>
      <c r="FS12" s="261"/>
      <c r="FT12" s="261"/>
      <c r="FU12" s="261"/>
      <c r="FV12" s="261"/>
      <c r="FW12" s="261"/>
      <c r="FX12" s="261"/>
      <c r="FY12" s="261"/>
      <c r="FZ12" s="261"/>
      <c r="GA12" s="261"/>
      <c r="GB12" s="261"/>
      <c r="GC12" s="261"/>
      <c r="GD12" s="261"/>
      <c r="GE12" s="261"/>
      <c r="GF12" s="261"/>
      <c r="GG12" s="261"/>
      <c r="GH12" s="261"/>
      <c r="GI12" s="261"/>
      <c r="GJ12" s="261"/>
      <c r="GK12" s="261"/>
      <c r="GL12" s="261"/>
      <c r="GM12" s="261"/>
      <c r="GN12" s="261"/>
      <c r="GO12" s="261"/>
      <c r="GP12" s="261"/>
      <c r="GQ12" s="261"/>
      <c r="GR12" s="261"/>
      <c r="GS12" s="261"/>
      <c r="GT12" s="261"/>
      <c r="GU12" s="261"/>
      <c r="GV12" s="261"/>
      <c r="GW12" s="261"/>
      <c r="GX12" s="261"/>
      <c r="GY12" s="261"/>
      <c r="GZ12" s="261"/>
      <c r="HA12" s="261"/>
      <c r="HB12" s="261"/>
      <c r="HC12" s="261"/>
      <c r="HD12" s="261"/>
      <c r="HE12" s="261"/>
      <c r="HF12" s="261"/>
      <c r="HG12" s="261"/>
      <c r="HH12" s="261"/>
      <c r="HI12" s="261"/>
      <c r="HJ12" s="261"/>
      <c r="HK12" s="261"/>
      <c r="HL12" s="261"/>
      <c r="HM12" s="261"/>
      <c r="HN12" s="261"/>
      <c r="HO12" s="261"/>
      <c r="HP12" s="261"/>
      <c r="HQ12" s="261"/>
      <c r="HR12" s="261"/>
      <c r="HS12" s="261"/>
      <c r="HT12" s="261"/>
      <c r="HU12" s="261"/>
      <c r="HV12" s="261"/>
      <c r="HW12" s="261"/>
      <c r="HX12" s="261"/>
      <c r="HY12" s="261"/>
      <c r="HZ12" s="261"/>
      <c r="IA12" s="261"/>
      <c r="IB12" s="261"/>
      <c r="IC12" s="261"/>
      <c r="ID12" s="261"/>
      <c r="IE12" s="261"/>
      <c r="IF12" s="261"/>
      <c r="IG12" s="261"/>
      <c r="IH12" s="261"/>
      <c r="II12" s="261"/>
      <c r="IJ12" s="261"/>
      <c r="IK12" s="261"/>
      <c r="IL12" s="261"/>
      <c r="IM12" s="261"/>
      <c r="IN12" s="261"/>
      <c r="IO12" s="261"/>
      <c r="IP12" s="261"/>
      <c r="IQ12" s="261"/>
      <c r="IR12" s="261"/>
      <c r="IS12" s="261"/>
      <c r="IT12" s="261"/>
      <c r="IU12" s="261"/>
      <c r="IV12" s="261"/>
      <c r="IW12" s="261"/>
      <c r="IX12" s="261"/>
      <c r="IY12" s="261"/>
      <c r="IZ12" s="261"/>
      <c r="JA12" s="261"/>
      <c r="JB12" s="261"/>
      <c r="JC12" s="261"/>
      <c r="JD12" s="261"/>
      <c r="JE12" s="261"/>
      <c r="JF12" s="261"/>
      <c r="JG12" s="261"/>
      <c r="JH12" s="261"/>
      <c r="JI12" s="261"/>
      <c r="JJ12" s="261"/>
      <c r="JK12" s="261"/>
      <c r="JL12" s="261"/>
      <c r="JM12" s="261"/>
      <c r="JN12" s="261"/>
      <c r="JO12" s="261"/>
      <c r="JP12" s="261"/>
      <c r="JQ12" s="261"/>
      <c r="JR12" s="261"/>
      <c r="JS12" s="261"/>
      <c r="JT12" s="261"/>
    </row>
    <row r="13" spans="1:280" s="273" customFormat="1" ht="43.5" customHeight="1" x14ac:dyDescent="0.25">
      <c r="A13" s="661">
        <v>1</v>
      </c>
      <c r="B13" s="659" t="s">
        <v>36</v>
      </c>
      <c r="C13" s="659" t="s">
        <v>450</v>
      </c>
      <c r="D13" s="659" t="s">
        <v>451</v>
      </c>
      <c r="E13" s="659" t="s">
        <v>452</v>
      </c>
      <c r="F13" s="659" t="str">
        <f>+CONCATENATE("La ",LOWER(B13)," ",LOWER(C13),"en ",LOWER(K13)," debido a ",LOWER(D13))</f>
        <v>La posibilidad de afectación económica por pérdida de la integridad en nomina debido a autenticación débil</v>
      </c>
      <c r="G13" s="659" t="s">
        <v>453</v>
      </c>
      <c r="H13" s="659" t="s">
        <v>454</v>
      </c>
      <c r="I13" s="659" t="s">
        <v>455</v>
      </c>
      <c r="J13" s="659" t="s">
        <v>456</v>
      </c>
      <c r="K13" s="659" t="s">
        <v>457</v>
      </c>
      <c r="L13" s="659" t="s">
        <v>95</v>
      </c>
      <c r="M13" s="659" t="s">
        <v>458</v>
      </c>
      <c r="N13" s="667">
        <v>365</v>
      </c>
      <c r="O13" s="664" t="str">
        <f>IF(N13&lt;=0,"",IF(N13&lt;=2,"Muy Baja",IF(N13&lt;=24,"Baja",IF(N13&lt;=500,"Media",IF(N13&lt;=5000,"Alta","Muy Alta")))))</f>
        <v>Media</v>
      </c>
      <c r="P13" s="663">
        <f>IF(O13="","",IF(O13="Muy Baja",0.2,IF(O13="Baja",0.4,IF(O13="Media",0.6,IF(O13="Alta",0.8,IF(O13="Muy Alta",1,))))))</f>
        <v>0.6</v>
      </c>
      <c r="Q13" s="666" t="s">
        <v>459</v>
      </c>
      <c r="R13" s="663">
        <f>IF(Q13="","",IF(Q13="Afectación menor a 130 SMLMV",0.2,IF(Q13="Entre 130 y 650 SMLMV",0.4,IF(Q13="Entre 650 y 1300 SMLMV",0.6,IF(Q13="Entre 1300 y 6500 SMLMV",0.8,IF(Q13="Mayor a 6500 SMLMV",1,))))))</f>
        <v>1</v>
      </c>
      <c r="S13" s="666" t="s">
        <v>460</v>
      </c>
      <c r="T13" s="663">
        <f>IF(S13="","",IF(S13="El riesgo afecta la imagen de alguna área de la organización",0.2,IF(S13="El riesgo afecta la imagen de la entidad internamente, de conocimiento general, nivel interno, de junta dircetiva y accionistas y/o de provedores",0.4,IF(S13="El riesgo afecta la imagen de la entidad con algunos usuarios de relevancia frente al logro de los objetivos",0.6,IF(S13="El riesgo afecta la imagen de de la entidad con efecto publicitario sostenido a nivel de sector administrativo, nivel departamental o municipal",0.8,IF(S13="El riesgo afecta la imagen de la entidad a nivel nacional, con efecto publicitarios sostenible a nivel país",1,))))))</f>
        <v>0.6</v>
      </c>
      <c r="U13" s="663">
        <f>MAX(R13,T13)</f>
        <v>1</v>
      </c>
      <c r="V13" s="664" t="str">
        <f>IF(U13&lt;=0,"",IF(U13=0.2,"Leve",IF(U13=0.4,"Menor",IF(U13=0.6,"Moderado",IF(U13=0.8,"Mayor",IF(U13=1,"Catastrófico"))))))</f>
        <v>Catastrófico</v>
      </c>
      <c r="W13" s="663">
        <f>IF(V13="","",IF(V13="Leve",0.2,IF(V13="Menor",0.4,IF(V13="Moderado",0.6,IF(V13="Mayor",0.8,IF(V13="Catastrófico",1,))))))</f>
        <v>1</v>
      </c>
      <c r="X13" s="665" t="str">
        <f>IF(OR(AND(O13="Muy Baja",V13="Leve"),AND(O13="Muy Baja",V13="Menor"),AND(O13="Baja",V13="Leve")),"Bajo",IF(OR(AND(O13="Muy baja",V13="Moderado"),AND(O13="Baja",V13="Menor"),AND(O13="Baja",V13="Moderado"),AND(O13="Media",V13="Leve"),AND(O13="Media",V13="Menor"),AND(O13="Media",V13="Moderado"),AND(O13="Alta",V13="Leve"),AND(O13="Alta",V13="Menor")),"Moderado",IF(OR(AND(O13="Muy Baja",V13="Mayor"),AND(O13="Baja",V13="Mayor"),AND(O13="Media",V13="Mayor"),AND(O13="Alta",V13="Moderado"),AND(O13="Alta",V13="Mayor"),AND(O13="Muy Alta",V13="Leve"),AND(O13="Muy Alta",V13="Menor"),AND(O13="Muy Alta",V13="Moderado"),AND(O13="Muy Alta",V13="Mayor")),"Alto",IF(OR(AND(O13="Muy Baja",V13="Catastrófico"),AND(O13="Baja",V13="Catastrófico"),AND(O13="Media",V13="Catastrófico"),AND(O13="Alta",V13="Catastrófico"),AND(O13="Muy Alta",V13="Catastrófico")),"Extremo",""))))</f>
        <v>Extremo</v>
      </c>
      <c r="Y13" s="265">
        <v>1</v>
      </c>
      <c r="Z13" s="266"/>
      <c r="AA13" s="266" t="s">
        <v>41</v>
      </c>
      <c r="AB13" s="266"/>
      <c r="AC13" s="267" t="str">
        <f t="shared" ref="AC13:AC72" si="0">+CONCATENATE(Z13," ",AA13," ",AB13)</f>
        <v xml:space="preserve"> Valida </v>
      </c>
      <c r="AD13" s="268" t="s">
        <v>328</v>
      </c>
      <c r="AE13" s="290" t="str">
        <f>INDEX(Listas!B86:B180,MATCH(TEXT(AD13,"0.00"),Listas!A86:A180,0))</f>
        <v>Separación de entornos de desarrollo, evidencia y producción.</v>
      </c>
      <c r="AF13" s="268" t="str">
        <f t="shared" ref="AF13" si="1">IF(OR(AG13="Preventivo",AG13="Detectivo"),"Probabilidad",IF(AG13="Correctivo","Impacto",""))</f>
        <v>Impacto</v>
      </c>
      <c r="AG13" s="284" t="s">
        <v>419</v>
      </c>
      <c r="AH13" s="285" t="s">
        <v>420</v>
      </c>
      <c r="AI13" s="286" t="str">
        <f t="shared" ref="AI13" si="2">IF(AND(AG13="Preventivo",AH13="Automático"),"50%",IF(AND(AG13="Preventivo",AH13="Manual"),"40%",IF(AND(AG13="Detectivo",AH13="Automático"),"40%",IF(AND(AG13="Detectivo",AH13="Manual"),"30%",IF(AND(AG13="Correctivo",AH13="Automático"),"35%",IF(AND(AG13="Correctivo",AH13="Manual"),"25%",""))))))</f>
        <v>35%</v>
      </c>
      <c r="AJ13" s="285" t="s">
        <v>395</v>
      </c>
      <c r="AK13" s="285" t="s">
        <v>396</v>
      </c>
      <c r="AL13" s="285" t="s">
        <v>422</v>
      </c>
      <c r="AM13" s="287">
        <f>IFERROR(IF(AF13="Probabilidad",(P13-(+P13*AI13)),IF(AF13="Impacto",P13,"")),"")</f>
        <v>0.6</v>
      </c>
      <c r="AN13" s="288" t="str">
        <f t="shared" ref="AN13" si="3">IFERROR(IF(AM13="","",IF(AM13&lt;=0.2,"Muy Baja",IF(AM13&lt;=0.4,"Baja",IF(AM13&lt;=0.6,"Media",IF(AM13&lt;=0.8,"Alta","Muy Alta"))))),"")</f>
        <v>Media</v>
      </c>
      <c r="AO13" s="286">
        <f t="shared" ref="AO13" si="4">+AM13</f>
        <v>0.6</v>
      </c>
      <c r="AP13" s="288" t="str">
        <f t="shared" ref="AP13" si="5">IFERROR(IF(AQ13="","",IF(AQ13&lt;=0.2,"Leve",IF(AQ13&lt;=0.4,"Menor",IF(AQ13&lt;=0.6,"Moderado",IF(AQ13&lt;=0.8,"Mayor","Catastrófico"))))),"")</f>
        <v>Mayor</v>
      </c>
      <c r="AQ13" s="286">
        <f>IFERROR(IF(AF13="Impacto",(W13-(+W13*AI13)),IF(AF13="Probabilidad",W13,"")),"")</f>
        <v>0.65</v>
      </c>
      <c r="AR13" s="289" t="str">
        <f t="shared" ref="AR13" si="6">IFERROR(IF(OR(AND(AN13="Muy Baja",AP13="Leve"),AND(AN13="Muy Baja",AP13="Menor"),AND(AN13="Baja",AP13="Leve")),"Bajo",IF(OR(AND(AN13="Muy baja",AP13="Moderado"),AND(AN13="Baja",AP13="Menor"),AND(AN13="Baja",AP13="Moderado"),AND(AN13="Media",AP13="Leve"),AND(AN13="Media",AP13="Menor"),AND(AN13="Media",AP13="Moderado"),AND(AN13="Alta",AP13="Leve"),AND(AN13="Alta",AP13="Menor")),"Moderado",IF(OR(AND(AN13="Muy Baja",AP13="Mayor"),AND(AN13="Baja",AP13="Mayor"),AND(AN13="Media",AP13="Mayor"),AND(AN13="Alta",AP13="Moderado"),AND(AN13="Alta",AP13="Mayor"),AND(AN13="Muy Alta",AP13="Leve"),AND(AN13="Muy Alta",AP13="Menor"),AND(AN13="Muy Alta",AP13="Moderado"),AND(AN13="Muy Alta",AP13="Mayor")),"Alto",IF(OR(AND(AN13="Muy Baja",AP13="Catastrófico"),AND(AN13="Baja",AP13="Catastrófico"),AND(AN13="Media",AP13="Catastrófico"),AND(AN13="Alta",AP13="Catastrófico"),AND(AN13="Muy Alta",AP13="Catastrófico")),"Extremo","")))),"")</f>
        <v>Alto</v>
      </c>
      <c r="AS13" s="284" t="s">
        <v>43</v>
      </c>
      <c r="AT13" s="263"/>
      <c r="AU13" s="264"/>
      <c r="AV13" s="264"/>
      <c r="AW13" s="272"/>
      <c r="AX13" s="662"/>
      <c r="AY13" s="662"/>
      <c r="AZ13" s="662"/>
    </row>
    <row r="14" spans="1:280" ht="43.5" customHeight="1" x14ac:dyDescent="0.25">
      <c r="A14" s="661"/>
      <c r="B14" s="659"/>
      <c r="C14" s="659"/>
      <c r="D14" s="659"/>
      <c r="E14" s="659"/>
      <c r="F14" s="659"/>
      <c r="G14" s="659"/>
      <c r="H14" s="659"/>
      <c r="I14" s="659"/>
      <c r="J14" s="659"/>
      <c r="K14" s="659"/>
      <c r="L14" s="659"/>
      <c r="M14" s="659"/>
      <c r="N14" s="667"/>
      <c r="O14" s="664"/>
      <c r="P14" s="663"/>
      <c r="Q14" s="666"/>
      <c r="R14" s="663"/>
      <c r="S14" s="666"/>
      <c r="T14" s="663"/>
      <c r="U14" s="663"/>
      <c r="V14" s="664"/>
      <c r="W14" s="663"/>
      <c r="X14" s="665"/>
      <c r="Y14" s="265">
        <v>2</v>
      </c>
      <c r="Z14" s="266"/>
      <c r="AA14" s="265" t="s">
        <v>45</v>
      </c>
      <c r="AB14" s="265"/>
      <c r="AC14" s="267" t="str">
        <f t="shared" si="0"/>
        <v xml:space="preserve"> Coteja </v>
      </c>
      <c r="AD14" s="268" t="s">
        <v>152</v>
      </c>
      <c r="AE14" s="290" t="str">
        <f>INDEX(Listas!B87:B181,MATCH(TEXT(AD14,"0.00"),Listas!A87:A181,0))</f>
        <v>Roles y responsabilidades en la seguridad de la información.</v>
      </c>
      <c r="AF14" s="268" t="str">
        <f t="shared" ref="AF14" si="7">IF(OR(AG14="Preventivo",AG14="Detectivo"),"Probabilidad",IF(AG14="Correctivo","Impacto",""))</f>
        <v>Impacto</v>
      </c>
      <c r="AG14" s="284" t="s">
        <v>419</v>
      </c>
      <c r="AH14" s="285" t="s">
        <v>420</v>
      </c>
      <c r="AI14" s="286" t="str">
        <f t="shared" ref="AI14" si="8">IF(AND(AG14="Preventivo",AH14="Automático"),"50%",IF(AND(AG14="Preventivo",AH14="Manual"),"40%",IF(AND(AG14="Detectivo",AH14="Automático"),"40%",IF(AND(AG14="Detectivo",AH14="Manual"),"30%",IF(AND(AG14="Correctivo",AH14="Automático"),"35%",IF(AND(AG14="Correctivo",AH14="Manual"),"25%",""))))))</f>
        <v>35%</v>
      </c>
      <c r="AJ14" s="285" t="s">
        <v>395</v>
      </c>
      <c r="AK14" s="285" t="s">
        <v>396</v>
      </c>
      <c r="AL14" s="285" t="s">
        <v>422</v>
      </c>
      <c r="AM14" s="287">
        <f t="shared" ref="AM14" si="9">IFERROR(IF(AF14="Probabilidad",(P14-(+P14*AI14)),IF(AF14="Impacto",P14,"")),"")</f>
        <v>0</v>
      </c>
      <c r="AN14" s="288" t="str">
        <f t="shared" ref="AN14" si="10">IFERROR(IF(AM14="","",IF(AM14&lt;=0.2,"Muy Baja",IF(AM14&lt;=0.4,"Baja",IF(AM14&lt;=0.6,"Media",IF(AM14&lt;=0.8,"Alta","Muy Alta"))))),"")</f>
        <v>Muy Baja</v>
      </c>
      <c r="AO14" s="286">
        <f t="shared" ref="AO14" si="11">+AM14</f>
        <v>0</v>
      </c>
      <c r="AP14" s="288" t="str">
        <f t="shared" ref="AP14" si="12">IFERROR(IF(AQ14="","",IF(AQ14&lt;=0.2,"Leve",IF(AQ14&lt;=0.4,"Menor",IF(AQ14&lt;=0.6,"Moderado",IF(AQ14&lt;=0.8,"Mayor","Catastrófico"))))),"")</f>
        <v>Leve</v>
      </c>
      <c r="AQ14" s="286">
        <f t="shared" ref="AQ14" si="13">IFERROR(IF(AF14="Impacto",(W14-(+W14*AI14)),IF(AF14="Probabilidad",W14,"")),"")</f>
        <v>0</v>
      </c>
      <c r="AR14" s="289" t="str">
        <f t="shared" ref="AR14" si="14">IFERROR(IF(OR(AND(AN14="Muy Baja",AP14="Leve"),AND(AN14="Muy Baja",AP14="Menor"),AND(AN14="Baja",AP14="Leve")),"Bajo",IF(OR(AND(AN14="Muy baja",AP14="Moderado"),AND(AN14="Baja",AP14="Menor"),AND(AN14="Baja",AP14="Moderado"),AND(AN14="Media",AP14="Leve"),AND(AN14="Media",AP14="Menor"),AND(AN14="Media",AP14="Moderado"),AND(AN14="Alta",AP14="Leve"),AND(AN14="Alta",AP14="Menor")),"Moderado",IF(OR(AND(AN14="Muy Baja",AP14="Mayor"),AND(AN14="Baja",AP14="Mayor"),AND(AN14="Media",AP14="Mayor"),AND(AN14="Alta",AP14="Moderado"),AND(AN14="Alta",AP14="Mayor"),AND(AN14="Muy Alta",AP14="Leve"),AND(AN14="Muy Alta",AP14="Menor"),AND(AN14="Muy Alta",AP14="Moderado"),AND(AN14="Muy Alta",AP14="Mayor")),"Alto",IF(OR(AND(AN14="Muy Baja",AP14="Catastrófico"),AND(AN14="Baja",AP14="Catastrófico"),AND(AN14="Media",AP14="Catastrófico"),AND(AN14="Alta",AP14="Catastrófico"),AND(AN14="Muy Alta",AP14="Catastrófico")),"Extremo","")))),"")</f>
        <v>Bajo</v>
      </c>
      <c r="AS14" s="284" t="s">
        <v>43</v>
      </c>
      <c r="AT14" s="263"/>
      <c r="AU14" s="264"/>
      <c r="AV14" s="263"/>
      <c r="AW14" s="272"/>
      <c r="AX14" s="662"/>
      <c r="AY14" s="662"/>
      <c r="AZ14" s="662"/>
    </row>
    <row r="15" spans="1:280" ht="43.5" customHeight="1" x14ac:dyDescent="0.25">
      <c r="A15" s="661"/>
      <c r="B15" s="659"/>
      <c r="C15" s="659"/>
      <c r="D15" s="659"/>
      <c r="E15" s="659"/>
      <c r="F15" s="659"/>
      <c r="G15" s="659"/>
      <c r="H15" s="659"/>
      <c r="I15" s="659"/>
      <c r="J15" s="659"/>
      <c r="K15" s="659"/>
      <c r="L15" s="659"/>
      <c r="M15" s="659"/>
      <c r="N15" s="667"/>
      <c r="O15" s="664"/>
      <c r="P15" s="663"/>
      <c r="Q15" s="666"/>
      <c r="R15" s="663"/>
      <c r="S15" s="666"/>
      <c r="T15" s="663"/>
      <c r="U15" s="663"/>
      <c r="V15" s="664"/>
      <c r="W15" s="663"/>
      <c r="X15" s="665"/>
      <c r="Y15" s="265">
        <v>3</v>
      </c>
      <c r="Z15" s="266"/>
      <c r="AA15" s="265"/>
      <c r="AB15" s="265"/>
      <c r="AC15" s="267" t="str">
        <f t="shared" si="0"/>
        <v xml:space="preserve">  </v>
      </c>
      <c r="AD15" s="268"/>
      <c r="AE15" s="269"/>
      <c r="AF15" s="268"/>
      <c r="AG15" s="284"/>
      <c r="AH15" s="285"/>
      <c r="AI15" s="286"/>
      <c r="AJ15" s="285"/>
      <c r="AK15" s="285"/>
      <c r="AL15" s="285"/>
      <c r="AM15" s="287"/>
      <c r="AN15" s="288"/>
      <c r="AO15" s="286"/>
      <c r="AP15" s="288"/>
      <c r="AQ15" s="286"/>
      <c r="AR15" s="289"/>
      <c r="AS15" s="270"/>
      <c r="AT15" s="263"/>
      <c r="AU15" s="264"/>
      <c r="AV15" s="264"/>
      <c r="AW15" s="272"/>
      <c r="AX15" s="662"/>
      <c r="AY15" s="662"/>
      <c r="AZ15" s="662"/>
    </row>
    <row r="16" spans="1:280" ht="43.5" customHeight="1" x14ac:dyDescent="0.25">
      <c r="A16" s="661"/>
      <c r="B16" s="659"/>
      <c r="C16" s="659"/>
      <c r="D16" s="659"/>
      <c r="E16" s="659"/>
      <c r="F16" s="659"/>
      <c r="G16" s="659"/>
      <c r="H16" s="659"/>
      <c r="I16" s="659"/>
      <c r="J16" s="659"/>
      <c r="K16" s="659"/>
      <c r="L16" s="659"/>
      <c r="M16" s="659"/>
      <c r="N16" s="667"/>
      <c r="O16" s="664"/>
      <c r="P16" s="663"/>
      <c r="Q16" s="666"/>
      <c r="R16" s="663"/>
      <c r="S16" s="666"/>
      <c r="T16" s="663"/>
      <c r="U16" s="663"/>
      <c r="V16" s="664"/>
      <c r="W16" s="663"/>
      <c r="X16" s="665"/>
      <c r="Y16" s="265">
        <v>4</v>
      </c>
      <c r="Z16" s="266"/>
      <c r="AA16" s="265"/>
      <c r="AB16" s="265"/>
      <c r="AC16" s="267" t="str">
        <f t="shared" si="0"/>
        <v xml:space="preserve">  </v>
      </c>
      <c r="AD16" s="268"/>
      <c r="AE16" s="269"/>
      <c r="AF16" s="268"/>
      <c r="AG16" s="284"/>
      <c r="AH16" s="285"/>
      <c r="AI16" s="286"/>
      <c r="AJ16" s="285"/>
      <c r="AK16" s="285"/>
      <c r="AL16" s="285"/>
      <c r="AM16" s="287"/>
      <c r="AN16" s="288"/>
      <c r="AO16" s="286"/>
      <c r="AP16" s="288"/>
      <c r="AQ16" s="286"/>
      <c r="AR16" s="289"/>
      <c r="AS16" s="270"/>
      <c r="AT16" s="263"/>
      <c r="AU16" s="264"/>
      <c r="AV16" s="264"/>
      <c r="AW16" s="272"/>
      <c r="AX16" s="662"/>
      <c r="AY16" s="662"/>
      <c r="AZ16" s="662"/>
    </row>
    <row r="17" spans="1:52" ht="43.5" customHeight="1" x14ac:dyDescent="0.25">
      <c r="A17" s="661"/>
      <c r="B17" s="659"/>
      <c r="C17" s="659"/>
      <c r="D17" s="659"/>
      <c r="E17" s="659"/>
      <c r="F17" s="659"/>
      <c r="G17" s="659"/>
      <c r="H17" s="659"/>
      <c r="I17" s="659"/>
      <c r="J17" s="659"/>
      <c r="K17" s="659"/>
      <c r="L17" s="659"/>
      <c r="M17" s="659"/>
      <c r="N17" s="667"/>
      <c r="O17" s="664"/>
      <c r="P17" s="663"/>
      <c r="Q17" s="666"/>
      <c r="R17" s="663"/>
      <c r="S17" s="666"/>
      <c r="T17" s="663"/>
      <c r="U17" s="663"/>
      <c r="V17" s="664"/>
      <c r="W17" s="663"/>
      <c r="X17" s="665"/>
      <c r="Y17" s="265">
        <v>5</v>
      </c>
      <c r="Z17" s="266"/>
      <c r="AA17" s="265"/>
      <c r="AB17" s="265"/>
      <c r="AC17" s="267" t="str">
        <f t="shared" si="0"/>
        <v xml:space="preserve">  </v>
      </c>
      <c r="AD17" s="268"/>
      <c r="AE17" s="269"/>
      <c r="AF17" s="268"/>
      <c r="AG17" s="284"/>
      <c r="AH17" s="285"/>
      <c r="AI17" s="286"/>
      <c r="AJ17" s="285"/>
      <c r="AK17" s="285"/>
      <c r="AL17" s="285"/>
      <c r="AM17" s="287"/>
      <c r="AN17" s="288"/>
      <c r="AO17" s="286"/>
      <c r="AP17" s="288"/>
      <c r="AQ17" s="286"/>
      <c r="AR17" s="289"/>
      <c r="AS17" s="270"/>
      <c r="AT17" s="263"/>
      <c r="AU17" s="264"/>
      <c r="AV17" s="264"/>
      <c r="AW17" s="272"/>
      <c r="AX17" s="662"/>
      <c r="AY17" s="662"/>
      <c r="AZ17" s="662"/>
    </row>
    <row r="18" spans="1:52" ht="43.5" customHeight="1" x14ac:dyDescent="0.25">
      <c r="A18" s="661"/>
      <c r="B18" s="659"/>
      <c r="C18" s="659"/>
      <c r="D18" s="659"/>
      <c r="E18" s="659"/>
      <c r="F18" s="659"/>
      <c r="G18" s="659"/>
      <c r="H18" s="659"/>
      <c r="I18" s="659"/>
      <c r="J18" s="659"/>
      <c r="K18" s="659"/>
      <c r="L18" s="659"/>
      <c r="M18" s="659"/>
      <c r="N18" s="667"/>
      <c r="O18" s="664"/>
      <c r="P18" s="663"/>
      <c r="Q18" s="666"/>
      <c r="R18" s="663"/>
      <c r="S18" s="666"/>
      <c r="T18" s="663"/>
      <c r="U18" s="663"/>
      <c r="V18" s="664"/>
      <c r="W18" s="663"/>
      <c r="X18" s="665"/>
      <c r="Y18" s="265">
        <v>6</v>
      </c>
      <c r="Z18" s="266"/>
      <c r="AA18" s="265"/>
      <c r="AB18" s="265"/>
      <c r="AC18" s="267" t="str">
        <f t="shared" si="0"/>
        <v xml:space="preserve">  </v>
      </c>
      <c r="AD18" s="268"/>
      <c r="AE18" s="269"/>
      <c r="AF18" s="268"/>
      <c r="AG18" s="284"/>
      <c r="AH18" s="285"/>
      <c r="AI18" s="286"/>
      <c r="AJ18" s="285"/>
      <c r="AK18" s="285"/>
      <c r="AL18" s="285"/>
      <c r="AM18" s="287"/>
      <c r="AN18" s="288"/>
      <c r="AO18" s="286"/>
      <c r="AP18" s="288"/>
      <c r="AQ18" s="286"/>
      <c r="AR18" s="289"/>
      <c r="AS18" s="270"/>
      <c r="AT18" s="263"/>
      <c r="AU18" s="264"/>
      <c r="AV18" s="264"/>
      <c r="AW18" s="272"/>
      <c r="AX18" s="662"/>
      <c r="AY18" s="662"/>
      <c r="AZ18" s="662"/>
    </row>
    <row r="19" spans="1:52" x14ac:dyDescent="0.25">
      <c r="A19" s="661">
        <v>2</v>
      </c>
      <c r="B19" s="659" t="s">
        <v>40</v>
      </c>
      <c r="C19" s="659" t="s">
        <v>88</v>
      </c>
      <c r="D19" s="659"/>
      <c r="E19" s="659"/>
      <c r="F19" s="659"/>
      <c r="G19" s="659"/>
      <c r="H19" s="659"/>
      <c r="I19" s="659"/>
      <c r="J19" s="659"/>
      <c r="K19" s="659"/>
      <c r="L19" s="659"/>
      <c r="M19" s="659"/>
      <c r="N19" s="667"/>
      <c r="O19" s="664" t="str">
        <f>IF(N19&lt;=0,"",IF(N19&lt;=2,"Muy Baja",IF(N19&lt;=24,"Baja",IF(N19&lt;=500,"Media",IF(N19&lt;=5000,"Alta","Muy Alta")))))</f>
        <v/>
      </c>
      <c r="P19" s="663" t="str">
        <f>IF(O19="","",IF(O19="Muy Baja",0.2,IF(O19="Baja",0.4,IF(O19="Media",0.6,IF(O19="Alta",0.8,IF(O19="Muy Alta",1,))))))</f>
        <v/>
      </c>
      <c r="Q19" s="666"/>
      <c r="R19" s="663" t="str">
        <f>IF(Q19="","",IF(Q19="Afectación menor a 130 SMLMV",0.2,IF(Q19="Entre 130 y 650 SMLMV",0.4,IF(Q19="Entre 650 y 1300 SMLMV",0.6,IF(Q19="Entre 1300 y 6500 SMLMV",0.8,IF(Q19="Mayor a 6500 SMLMV",1,))))))</f>
        <v/>
      </c>
      <c r="S19" s="666"/>
      <c r="T19" s="663" t="str">
        <f>IF(S19="","",IF(S19="El riesgo afecta la imagen de alguna área de la organización",0.2,IF(S19="El riesgo afecta la imagen de la entidad internamente, de conocimiento general, nivel interno, de junta dircetiva y accionistas y/o de provedores",0.4,IF(S19="El riesgo afecta la imagen de la entidad con algunos usuarios de relevancia frente al logro de los objetivos",0.6,IF(S19="El riesgo afecta la imagen de de la entidad con efecto publicitario sostenido a nivel de sector administrativo, nivel departamental o municipal",0.8,IF(S19="El riesgo afecta la imagen de la entidad a nivel nacional, con efecto publicitarios sostenible a nivel país",1,))))))</f>
        <v/>
      </c>
      <c r="U19" s="663">
        <f>MAX(R19,T19)</f>
        <v>0</v>
      </c>
      <c r="V19" s="664" t="str">
        <f>IF(U19&lt;=0,"",IF(U19=0.2,"Leve",IF(U19=0.4,"Menor",IF(U19=0.6,"Moderado",IF(U19=0.8,"Mayor",IF(U19=1,"Catastrófico"))))))</f>
        <v/>
      </c>
      <c r="W19" s="663" t="str">
        <f>IF(V19="","",IF(V19="Leve",0.2,IF(V19="Menor",0.4,IF(V19="Moderado",0.6,IF(V19="Mayor",0.8,IF(V19="Catastrófico",1,))))))</f>
        <v/>
      </c>
      <c r="X19" s="665" t="str">
        <f>IF(OR(AND(O19="Muy Baja",V19="Leve"),AND(O19="Muy Baja",V19="Menor"),AND(O19="Baja",V19="Leve")),"Bajo",IF(OR(AND(O19="Muy baja",V19="Moderado"),AND(O19="Baja",V19="Menor"),AND(O19="Baja",V19="Moderado"),AND(O19="Media",V19="Leve"),AND(O19="Media",V19="Menor"),AND(O19="Media",V19="Moderado"),AND(O19="Alta",V19="Leve"),AND(O19="Alta",V19="Menor")),"Moderado",IF(OR(AND(O19="Muy Baja",V19="Mayor"),AND(O19="Baja",V19="Mayor"),AND(O19="Media",V19="Mayor"),AND(O19="Alta",V19="Moderado"),AND(O19="Alta",V19="Mayor"),AND(O19="Muy Alta",V19="Leve"),AND(O19="Muy Alta",V19="Menor"),AND(O19="Muy Alta",V19="Moderado"),AND(O19="Muy Alta",V19="Mayor")),"Alto",IF(OR(AND(O19="Muy Baja",V19="Catastrófico"),AND(O19="Baja",V19="Catastrófico"),AND(O19="Media",V19="Catastrófico"),AND(O19="Alta",V19="Catastrófico"),AND(O19="Muy Alta",V19="Catastrófico")),"Extremo",""))))</f>
        <v/>
      </c>
      <c r="Y19" s="265">
        <v>1</v>
      </c>
      <c r="Z19" s="266"/>
      <c r="AA19" s="265"/>
      <c r="AB19" s="265"/>
      <c r="AC19" s="267" t="str">
        <f t="shared" si="0"/>
        <v xml:space="preserve">  </v>
      </c>
      <c r="AD19" s="268"/>
      <c r="AE19" s="269"/>
      <c r="AF19" s="268"/>
      <c r="AG19" s="284"/>
      <c r="AH19" s="285"/>
      <c r="AI19" s="286"/>
      <c r="AJ19" s="285"/>
      <c r="AK19" s="285"/>
      <c r="AL19" s="285"/>
      <c r="AM19" s="287"/>
      <c r="AN19" s="288"/>
      <c r="AO19" s="286"/>
      <c r="AP19" s="288"/>
      <c r="AQ19" s="286"/>
      <c r="AR19" s="289"/>
      <c r="AS19" s="270"/>
      <c r="AT19" s="263"/>
      <c r="AU19" s="264"/>
      <c r="AV19" s="264"/>
      <c r="AW19" s="272"/>
      <c r="AX19" s="668"/>
      <c r="AY19" s="668"/>
      <c r="AZ19" s="668"/>
    </row>
    <row r="20" spans="1:52" x14ac:dyDescent="0.25">
      <c r="A20" s="661"/>
      <c r="B20" s="659"/>
      <c r="C20" s="659"/>
      <c r="D20" s="659"/>
      <c r="E20" s="659"/>
      <c r="F20" s="659"/>
      <c r="G20" s="659"/>
      <c r="H20" s="659"/>
      <c r="I20" s="659"/>
      <c r="J20" s="659"/>
      <c r="K20" s="659"/>
      <c r="L20" s="659"/>
      <c r="M20" s="659"/>
      <c r="N20" s="667"/>
      <c r="O20" s="664"/>
      <c r="P20" s="663"/>
      <c r="Q20" s="666"/>
      <c r="R20" s="663"/>
      <c r="S20" s="666"/>
      <c r="T20" s="663"/>
      <c r="U20" s="663"/>
      <c r="V20" s="664"/>
      <c r="W20" s="663"/>
      <c r="X20" s="665"/>
      <c r="Y20" s="265">
        <v>2</v>
      </c>
      <c r="Z20" s="266"/>
      <c r="AA20" s="265"/>
      <c r="AB20" s="265"/>
      <c r="AC20" s="267" t="str">
        <f t="shared" si="0"/>
        <v xml:space="preserve">  </v>
      </c>
      <c r="AD20" s="268"/>
      <c r="AE20" s="269"/>
      <c r="AF20" s="268"/>
      <c r="AG20" s="284"/>
      <c r="AH20" s="285"/>
      <c r="AI20" s="286"/>
      <c r="AJ20" s="285"/>
      <c r="AK20" s="285"/>
      <c r="AL20" s="285"/>
      <c r="AM20" s="287"/>
      <c r="AN20" s="288"/>
      <c r="AO20" s="286"/>
      <c r="AP20" s="288"/>
      <c r="AQ20" s="286"/>
      <c r="AR20" s="289"/>
      <c r="AS20" s="270"/>
      <c r="AT20" s="263"/>
      <c r="AU20" s="264"/>
      <c r="AV20" s="263"/>
      <c r="AW20" s="272"/>
      <c r="AX20" s="668"/>
      <c r="AY20" s="668"/>
      <c r="AZ20" s="668"/>
    </row>
    <row r="21" spans="1:52" x14ac:dyDescent="0.25">
      <c r="A21" s="661"/>
      <c r="B21" s="659"/>
      <c r="C21" s="659"/>
      <c r="D21" s="659"/>
      <c r="E21" s="659"/>
      <c r="F21" s="659"/>
      <c r="G21" s="659"/>
      <c r="H21" s="659"/>
      <c r="I21" s="659"/>
      <c r="J21" s="659"/>
      <c r="K21" s="659"/>
      <c r="L21" s="659"/>
      <c r="M21" s="659"/>
      <c r="N21" s="667"/>
      <c r="O21" s="664"/>
      <c r="P21" s="663"/>
      <c r="Q21" s="666"/>
      <c r="R21" s="663"/>
      <c r="S21" s="666"/>
      <c r="T21" s="663"/>
      <c r="U21" s="663"/>
      <c r="V21" s="664"/>
      <c r="W21" s="663"/>
      <c r="X21" s="665"/>
      <c r="Y21" s="265">
        <v>3</v>
      </c>
      <c r="Z21" s="266"/>
      <c r="AA21" s="265"/>
      <c r="AB21" s="265"/>
      <c r="AC21" s="267" t="str">
        <f t="shared" si="0"/>
        <v xml:space="preserve">  </v>
      </c>
      <c r="AD21" s="268"/>
      <c r="AE21" s="269"/>
      <c r="AF21" s="268"/>
      <c r="AG21" s="284"/>
      <c r="AH21" s="285"/>
      <c r="AI21" s="286"/>
      <c r="AJ21" s="285"/>
      <c r="AK21" s="285"/>
      <c r="AL21" s="285"/>
      <c r="AM21" s="287"/>
      <c r="AN21" s="288"/>
      <c r="AO21" s="286"/>
      <c r="AP21" s="288"/>
      <c r="AQ21" s="286"/>
      <c r="AR21" s="289"/>
      <c r="AS21" s="270"/>
      <c r="AT21" s="263"/>
      <c r="AU21" s="264"/>
      <c r="AV21" s="264"/>
      <c r="AW21" s="272"/>
      <c r="AX21" s="668"/>
      <c r="AY21" s="668"/>
      <c r="AZ21" s="668"/>
    </row>
    <row r="22" spans="1:52" x14ac:dyDescent="0.25">
      <c r="A22" s="661"/>
      <c r="B22" s="659"/>
      <c r="C22" s="659"/>
      <c r="D22" s="659"/>
      <c r="E22" s="659"/>
      <c r="F22" s="659"/>
      <c r="G22" s="659"/>
      <c r="H22" s="659"/>
      <c r="I22" s="659"/>
      <c r="J22" s="659"/>
      <c r="K22" s="659"/>
      <c r="L22" s="659"/>
      <c r="M22" s="659"/>
      <c r="N22" s="667"/>
      <c r="O22" s="664"/>
      <c r="P22" s="663"/>
      <c r="Q22" s="666"/>
      <c r="R22" s="663"/>
      <c r="S22" s="666"/>
      <c r="T22" s="663"/>
      <c r="U22" s="663"/>
      <c r="V22" s="664"/>
      <c r="W22" s="663"/>
      <c r="X22" s="665"/>
      <c r="Y22" s="265">
        <v>4</v>
      </c>
      <c r="Z22" s="266"/>
      <c r="AA22" s="265"/>
      <c r="AB22" s="265"/>
      <c r="AC22" s="267" t="str">
        <f t="shared" si="0"/>
        <v xml:space="preserve">  </v>
      </c>
      <c r="AD22" s="268"/>
      <c r="AE22" s="269"/>
      <c r="AF22" s="268"/>
      <c r="AG22" s="284"/>
      <c r="AH22" s="285"/>
      <c r="AI22" s="286"/>
      <c r="AJ22" s="285"/>
      <c r="AK22" s="285"/>
      <c r="AL22" s="285"/>
      <c r="AM22" s="287"/>
      <c r="AN22" s="288"/>
      <c r="AO22" s="286"/>
      <c r="AP22" s="288"/>
      <c r="AQ22" s="286"/>
      <c r="AR22" s="289"/>
      <c r="AS22" s="270"/>
      <c r="AT22" s="263"/>
      <c r="AU22" s="264"/>
      <c r="AV22" s="264"/>
      <c r="AW22" s="272"/>
      <c r="AX22" s="668"/>
      <c r="AY22" s="668"/>
      <c r="AZ22" s="668"/>
    </row>
    <row r="23" spans="1:52" x14ac:dyDescent="0.25">
      <c r="A23" s="661"/>
      <c r="B23" s="659"/>
      <c r="C23" s="659"/>
      <c r="D23" s="659"/>
      <c r="E23" s="659"/>
      <c r="F23" s="659"/>
      <c r="G23" s="659"/>
      <c r="H23" s="659"/>
      <c r="I23" s="659"/>
      <c r="J23" s="659"/>
      <c r="K23" s="659"/>
      <c r="L23" s="659"/>
      <c r="M23" s="659"/>
      <c r="N23" s="667"/>
      <c r="O23" s="664"/>
      <c r="P23" s="663"/>
      <c r="Q23" s="666"/>
      <c r="R23" s="663"/>
      <c r="S23" s="666"/>
      <c r="T23" s="663"/>
      <c r="U23" s="663"/>
      <c r="V23" s="664"/>
      <c r="W23" s="663"/>
      <c r="X23" s="665"/>
      <c r="Y23" s="265">
        <v>5</v>
      </c>
      <c r="Z23" s="266"/>
      <c r="AA23" s="265"/>
      <c r="AB23" s="265"/>
      <c r="AC23" s="267" t="str">
        <f t="shared" si="0"/>
        <v xml:space="preserve">  </v>
      </c>
      <c r="AD23" s="268"/>
      <c r="AE23" s="269"/>
      <c r="AF23" s="268"/>
      <c r="AG23" s="284"/>
      <c r="AH23" s="285"/>
      <c r="AI23" s="286"/>
      <c r="AJ23" s="285"/>
      <c r="AK23" s="285"/>
      <c r="AL23" s="285"/>
      <c r="AM23" s="287"/>
      <c r="AN23" s="288"/>
      <c r="AO23" s="286"/>
      <c r="AP23" s="288"/>
      <c r="AQ23" s="286"/>
      <c r="AR23" s="289"/>
      <c r="AS23" s="270"/>
      <c r="AT23" s="263"/>
      <c r="AU23" s="264"/>
      <c r="AV23" s="264"/>
      <c r="AW23" s="272"/>
      <c r="AX23" s="668"/>
      <c r="AY23" s="668"/>
      <c r="AZ23" s="668"/>
    </row>
    <row r="24" spans="1:52" x14ac:dyDescent="0.25">
      <c r="A24" s="661"/>
      <c r="B24" s="659"/>
      <c r="C24" s="659"/>
      <c r="D24" s="659"/>
      <c r="E24" s="659"/>
      <c r="F24" s="659"/>
      <c r="G24" s="659"/>
      <c r="H24" s="659"/>
      <c r="I24" s="659"/>
      <c r="J24" s="659"/>
      <c r="K24" s="659"/>
      <c r="L24" s="659"/>
      <c r="M24" s="659"/>
      <c r="N24" s="667"/>
      <c r="O24" s="664"/>
      <c r="P24" s="663"/>
      <c r="Q24" s="666"/>
      <c r="R24" s="663"/>
      <c r="S24" s="666"/>
      <c r="T24" s="663"/>
      <c r="U24" s="663"/>
      <c r="V24" s="664"/>
      <c r="W24" s="663"/>
      <c r="X24" s="665"/>
      <c r="Y24" s="265">
        <v>6</v>
      </c>
      <c r="Z24" s="265"/>
      <c r="AA24" s="265"/>
      <c r="AB24" s="265"/>
      <c r="AC24" s="267" t="str">
        <f t="shared" si="0"/>
        <v xml:space="preserve">  </v>
      </c>
      <c r="AD24" s="268"/>
      <c r="AE24" s="269"/>
      <c r="AF24" s="268"/>
      <c r="AG24" s="284"/>
      <c r="AH24" s="285"/>
      <c r="AI24" s="286"/>
      <c r="AJ24" s="285"/>
      <c r="AK24" s="285"/>
      <c r="AL24" s="285"/>
      <c r="AM24" s="287"/>
      <c r="AN24" s="288"/>
      <c r="AO24" s="286"/>
      <c r="AP24" s="288"/>
      <c r="AQ24" s="286"/>
      <c r="AR24" s="289"/>
      <c r="AS24" s="270"/>
      <c r="AT24" s="263"/>
      <c r="AU24" s="264"/>
      <c r="AV24" s="264"/>
      <c r="AW24" s="272"/>
      <c r="AX24" s="668"/>
      <c r="AY24" s="668"/>
      <c r="AZ24" s="668"/>
    </row>
    <row r="25" spans="1:52" x14ac:dyDescent="0.25">
      <c r="A25" s="661">
        <v>3</v>
      </c>
      <c r="B25" s="659" t="s">
        <v>44</v>
      </c>
      <c r="C25" s="659" t="s">
        <v>89</v>
      </c>
      <c r="D25" s="659"/>
      <c r="E25" s="659"/>
      <c r="F25" s="659"/>
      <c r="G25" s="659"/>
      <c r="H25" s="659"/>
      <c r="I25" s="659"/>
      <c r="J25" s="659"/>
      <c r="K25" s="659"/>
      <c r="L25" s="659"/>
      <c r="M25" s="659"/>
      <c r="N25" s="667"/>
      <c r="O25" s="664" t="str">
        <f>IF(N25&lt;=0,"",IF(N25&lt;=2,"Muy Baja",IF(N25&lt;=24,"Baja",IF(N25&lt;=500,"Media",IF(N25&lt;=5000,"Alta","Muy Alta")))))</f>
        <v/>
      </c>
      <c r="P25" s="663" t="str">
        <f>IF(O25="","",IF(O25="Muy Baja",0.2,IF(O25="Baja",0.4,IF(O25="Media",0.6,IF(O25="Alta",0.8,IF(O25="Muy Alta",1,))))))</f>
        <v/>
      </c>
      <c r="Q25" s="666"/>
      <c r="R25" s="663" t="str">
        <f>IF(Q25="","",IF(Q25="Afectación menor a 130 SMLMV",0.2,IF(Q25="Entre 130 y 650 SMLMV",0.4,IF(Q25="Entre 650 y 1300 SMLMV",0.6,IF(Q25="Entre 1300 y 6500 SMLMV",0.8,IF(Q25="Mayor a 6500 SMLMV",1,))))))</f>
        <v/>
      </c>
      <c r="S25" s="666"/>
      <c r="T25" s="663" t="str">
        <f>IF(S25="","",IF(S25="El riesgo afecta la imagen de alguna área de la organización",0.2,IF(S25="El riesgo afecta la imagen de la entidad internamente, de conocimiento general, nivel interno, de junta dircetiva y accionistas y/o de provedores",0.4,IF(S25="El riesgo afecta la imagen de la entidad con algunos usuarios de relevancia frente al logro de los objetivos",0.6,IF(S25="El riesgo afecta la imagen de de la entidad con efecto publicitario sostenido a nivel de sector administrativo, nivel departamental o municipal",0.8,IF(S25="El riesgo afecta la imagen de la entidad a nivel nacional, con efecto publicitarios sostenible a nivel país",1,))))))</f>
        <v/>
      </c>
      <c r="U25" s="663">
        <f>MAX(R25,T25)</f>
        <v>0</v>
      </c>
      <c r="V25" s="664" t="str">
        <f>IF(U25&lt;=0,"",IF(U25=0.2,"Leve",IF(U25=0.4,"Menor",IF(U25=0.6,"Moderado",IF(U25=0.8,"Mayor",IF(U25=1,"Catrastrófico"))))))</f>
        <v/>
      </c>
      <c r="W25" s="663"/>
      <c r="X25" s="665" t="str">
        <f>IF(OR(AND(O25="Muy Baja",V25="Leve"),AND(O25="Muy Baja",V25="Menor"),AND(O25="Baja",V25="Leve")),"Bajo",IF(OR(AND(O25="Muy baja",V25="Moderado"),AND(O25="Baja",V25="Menor"),AND(O25="Baja",V25="Moderado"),AND(O25="Media",V25="Leve"),AND(O25="Media",V25="Menor"),AND(O25="Media",V25="Moderado"),AND(O25="Alta",V25="Leve"),AND(O25="Alta",V25="Menor")),"Moderado",IF(OR(AND(O25="Muy Baja",V25="Mayor"),AND(O25="Baja",V25="Mayor"),AND(O25="Media",V25="Mayor"),AND(O25="Alta",V25="Moderado"),AND(O25="Alta",V25="Mayor"),AND(O25="Muy Alta",V25="Leve"),AND(O25="Muy Alta",V25="Menor"),AND(O25="Muy Alta",V25="Moderado"),AND(O25="Muy Alta",V25="Mayor")),"Alto",IF(OR(AND(O25="Muy Baja",V25="Catastrófico"),AND(O25="Baja",V25="Catastrófico"),AND(O25="Media",V25="Catastrófico"),AND(O25="Alta",V25="Catastrófico"),AND(O25="Muy Alta",V25="Catastrófico")),"Extremo",""))))</f>
        <v/>
      </c>
      <c r="Y25" s="265">
        <v>1</v>
      </c>
      <c r="Z25" s="265"/>
      <c r="AA25" s="265"/>
      <c r="AB25" s="265"/>
      <c r="AC25" s="267" t="str">
        <f t="shared" si="0"/>
        <v xml:space="preserve">  </v>
      </c>
      <c r="AD25" s="268"/>
      <c r="AE25" s="269"/>
      <c r="AF25" s="268"/>
      <c r="AG25" s="284"/>
      <c r="AH25" s="285"/>
      <c r="AI25" s="286"/>
      <c r="AJ25" s="285"/>
      <c r="AK25" s="285"/>
      <c r="AL25" s="285"/>
      <c r="AM25" s="287"/>
      <c r="AN25" s="288"/>
      <c r="AO25" s="286"/>
      <c r="AP25" s="288"/>
      <c r="AQ25" s="286"/>
      <c r="AR25" s="289"/>
      <c r="AS25" s="270"/>
      <c r="AT25" s="263"/>
      <c r="AU25" s="264"/>
      <c r="AV25" s="264"/>
      <c r="AW25" s="272"/>
      <c r="AX25" s="668"/>
      <c r="AY25" s="668"/>
      <c r="AZ25" s="668"/>
    </row>
    <row r="26" spans="1:52" x14ac:dyDescent="0.25">
      <c r="A26" s="661"/>
      <c r="B26" s="659"/>
      <c r="C26" s="659"/>
      <c r="D26" s="659"/>
      <c r="E26" s="659"/>
      <c r="F26" s="659"/>
      <c r="G26" s="659"/>
      <c r="H26" s="659"/>
      <c r="I26" s="659"/>
      <c r="J26" s="659"/>
      <c r="K26" s="659"/>
      <c r="L26" s="659"/>
      <c r="M26" s="659"/>
      <c r="N26" s="667"/>
      <c r="O26" s="664"/>
      <c r="P26" s="663"/>
      <c r="Q26" s="666"/>
      <c r="R26" s="663"/>
      <c r="S26" s="666"/>
      <c r="T26" s="663"/>
      <c r="U26" s="663"/>
      <c r="V26" s="664"/>
      <c r="W26" s="663"/>
      <c r="X26" s="665"/>
      <c r="Y26" s="265">
        <v>2</v>
      </c>
      <c r="Z26" s="265"/>
      <c r="AA26" s="265"/>
      <c r="AB26" s="265"/>
      <c r="AC26" s="267" t="str">
        <f t="shared" si="0"/>
        <v xml:space="preserve">  </v>
      </c>
      <c r="AD26" s="268"/>
      <c r="AE26" s="269"/>
      <c r="AF26" s="268"/>
      <c r="AG26" s="284"/>
      <c r="AH26" s="285"/>
      <c r="AI26" s="286"/>
      <c r="AJ26" s="285"/>
      <c r="AK26" s="285"/>
      <c r="AL26" s="285"/>
      <c r="AM26" s="287"/>
      <c r="AN26" s="288"/>
      <c r="AO26" s="286"/>
      <c r="AP26" s="288"/>
      <c r="AQ26" s="286"/>
      <c r="AR26" s="289"/>
      <c r="AS26" s="270"/>
      <c r="AT26" s="263"/>
      <c r="AU26" s="264"/>
      <c r="AV26" s="264"/>
      <c r="AW26" s="272"/>
      <c r="AX26" s="668"/>
      <c r="AY26" s="668"/>
      <c r="AZ26" s="668"/>
    </row>
    <row r="27" spans="1:52" x14ac:dyDescent="0.25">
      <c r="A27" s="661"/>
      <c r="B27" s="659"/>
      <c r="C27" s="659"/>
      <c r="D27" s="659"/>
      <c r="E27" s="659"/>
      <c r="F27" s="659"/>
      <c r="G27" s="659"/>
      <c r="H27" s="659"/>
      <c r="I27" s="659"/>
      <c r="J27" s="659"/>
      <c r="K27" s="659"/>
      <c r="L27" s="659"/>
      <c r="M27" s="659"/>
      <c r="N27" s="667"/>
      <c r="O27" s="664"/>
      <c r="P27" s="663"/>
      <c r="Q27" s="666"/>
      <c r="R27" s="663"/>
      <c r="S27" s="666"/>
      <c r="T27" s="663"/>
      <c r="U27" s="663"/>
      <c r="V27" s="664"/>
      <c r="W27" s="663"/>
      <c r="X27" s="665"/>
      <c r="Y27" s="265">
        <v>3</v>
      </c>
      <c r="Z27" s="265"/>
      <c r="AA27" s="265"/>
      <c r="AB27" s="265"/>
      <c r="AC27" s="267" t="str">
        <f t="shared" si="0"/>
        <v xml:space="preserve">  </v>
      </c>
      <c r="AD27" s="268"/>
      <c r="AE27" s="269"/>
      <c r="AF27" s="268"/>
      <c r="AG27" s="284"/>
      <c r="AH27" s="285"/>
      <c r="AI27" s="286"/>
      <c r="AJ27" s="285"/>
      <c r="AK27" s="285"/>
      <c r="AL27" s="285"/>
      <c r="AM27" s="287"/>
      <c r="AN27" s="288"/>
      <c r="AO27" s="286"/>
      <c r="AP27" s="288"/>
      <c r="AQ27" s="286"/>
      <c r="AR27" s="289"/>
      <c r="AS27" s="270"/>
      <c r="AT27" s="263"/>
      <c r="AU27" s="264"/>
      <c r="AV27" s="264"/>
      <c r="AW27" s="272"/>
      <c r="AX27" s="668"/>
      <c r="AY27" s="668"/>
      <c r="AZ27" s="668"/>
    </row>
    <row r="28" spans="1:52" x14ac:dyDescent="0.25">
      <c r="A28" s="661"/>
      <c r="B28" s="659"/>
      <c r="C28" s="659"/>
      <c r="D28" s="659"/>
      <c r="E28" s="659"/>
      <c r="F28" s="659"/>
      <c r="G28" s="659"/>
      <c r="H28" s="659"/>
      <c r="I28" s="659"/>
      <c r="J28" s="659"/>
      <c r="K28" s="659"/>
      <c r="L28" s="659"/>
      <c r="M28" s="659"/>
      <c r="N28" s="667"/>
      <c r="O28" s="664"/>
      <c r="P28" s="663"/>
      <c r="Q28" s="666"/>
      <c r="R28" s="663"/>
      <c r="S28" s="666"/>
      <c r="T28" s="663"/>
      <c r="U28" s="663"/>
      <c r="V28" s="664"/>
      <c r="W28" s="663"/>
      <c r="X28" s="665"/>
      <c r="Y28" s="265">
        <v>4</v>
      </c>
      <c r="Z28" s="265"/>
      <c r="AA28" s="265"/>
      <c r="AB28" s="265"/>
      <c r="AC28" s="267" t="str">
        <f t="shared" si="0"/>
        <v xml:space="preserve">  </v>
      </c>
      <c r="AD28" s="268"/>
      <c r="AE28" s="269"/>
      <c r="AF28" s="268"/>
      <c r="AG28" s="284"/>
      <c r="AH28" s="285"/>
      <c r="AI28" s="286"/>
      <c r="AJ28" s="285"/>
      <c r="AK28" s="285"/>
      <c r="AL28" s="285"/>
      <c r="AM28" s="287"/>
      <c r="AN28" s="288"/>
      <c r="AO28" s="286"/>
      <c r="AP28" s="288"/>
      <c r="AQ28" s="286"/>
      <c r="AR28" s="289"/>
      <c r="AS28" s="270"/>
      <c r="AT28" s="263"/>
      <c r="AU28" s="264"/>
      <c r="AV28" s="264"/>
      <c r="AW28" s="272"/>
      <c r="AX28" s="668"/>
      <c r="AY28" s="668"/>
      <c r="AZ28" s="668"/>
    </row>
    <row r="29" spans="1:52" x14ac:dyDescent="0.25">
      <c r="A29" s="661"/>
      <c r="B29" s="659"/>
      <c r="C29" s="659"/>
      <c r="D29" s="659"/>
      <c r="E29" s="659"/>
      <c r="F29" s="659"/>
      <c r="G29" s="659"/>
      <c r="H29" s="659"/>
      <c r="I29" s="659"/>
      <c r="J29" s="659"/>
      <c r="K29" s="659"/>
      <c r="L29" s="659"/>
      <c r="M29" s="659"/>
      <c r="N29" s="667"/>
      <c r="O29" s="664"/>
      <c r="P29" s="663"/>
      <c r="Q29" s="666"/>
      <c r="R29" s="663"/>
      <c r="S29" s="666"/>
      <c r="T29" s="663"/>
      <c r="U29" s="663"/>
      <c r="V29" s="664"/>
      <c r="W29" s="663"/>
      <c r="X29" s="665"/>
      <c r="Y29" s="265">
        <v>5</v>
      </c>
      <c r="Z29" s="265"/>
      <c r="AA29" s="265"/>
      <c r="AB29" s="265"/>
      <c r="AC29" s="267" t="str">
        <f t="shared" si="0"/>
        <v xml:space="preserve">  </v>
      </c>
      <c r="AD29" s="268"/>
      <c r="AE29" s="269"/>
      <c r="AF29" s="268"/>
      <c r="AG29" s="284"/>
      <c r="AH29" s="285"/>
      <c r="AI29" s="286"/>
      <c r="AJ29" s="285"/>
      <c r="AK29" s="285"/>
      <c r="AL29" s="285"/>
      <c r="AM29" s="287"/>
      <c r="AN29" s="288"/>
      <c r="AO29" s="286"/>
      <c r="AP29" s="288"/>
      <c r="AQ29" s="286"/>
      <c r="AR29" s="289"/>
      <c r="AS29" s="270"/>
      <c r="AT29" s="263"/>
      <c r="AU29" s="264"/>
      <c r="AV29" s="264"/>
      <c r="AW29" s="272"/>
      <c r="AX29" s="668"/>
      <c r="AY29" s="668"/>
      <c r="AZ29" s="668"/>
    </row>
    <row r="30" spans="1:52" x14ac:dyDescent="0.25">
      <c r="A30" s="661"/>
      <c r="B30" s="659"/>
      <c r="C30" s="659"/>
      <c r="D30" s="659"/>
      <c r="E30" s="659"/>
      <c r="F30" s="659"/>
      <c r="G30" s="659"/>
      <c r="H30" s="659"/>
      <c r="I30" s="659"/>
      <c r="J30" s="659"/>
      <c r="K30" s="659"/>
      <c r="L30" s="659"/>
      <c r="M30" s="659"/>
      <c r="N30" s="667"/>
      <c r="O30" s="664"/>
      <c r="P30" s="663"/>
      <c r="Q30" s="666"/>
      <c r="R30" s="663"/>
      <c r="S30" s="666"/>
      <c r="T30" s="663"/>
      <c r="U30" s="663"/>
      <c r="V30" s="664"/>
      <c r="W30" s="663"/>
      <c r="X30" s="665"/>
      <c r="Y30" s="265">
        <v>6</v>
      </c>
      <c r="Z30" s="265"/>
      <c r="AA30" s="265"/>
      <c r="AB30" s="265"/>
      <c r="AC30" s="267" t="str">
        <f t="shared" si="0"/>
        <v xml:space="preserve">  </v>
      </c>
      <c r="AD30" s="268"/>
      <c r="AE30" s="269"/>
      <c r="AF30" s="268"/>
      <c r="AG30" s="284"/>
      <c r="AH30" s="285"/>
      <c r="AI30" s="286"/>
      <c r="AJ30" s="285"/>
      <c r="AK30" s="285"/>
      <c r="AL30" s="285"/>
      <c r="AM30" s="287"/>
      <c r="AN30" s="288"/>
      <c r="AO30" s="286"/>
      <c r="AP30" s="288"/>
      <c r="AQ30" s="286"/>
      <c r="AR30" s="289"/>
      <c r="AS30" s="270"/>
      <c r="AT30" s="263"/>
      <c r="AU30" s="264"/>
      <c r="AV30" s="264"/>
      <c r="AW30" s="272"/>
      <c r="AX30" s="668"/>
      <c r="AY30" s="668"/>
      <c r="AZ30" s="668"/>
    </row>
    <row r="31" spans="1:52" x14ac:dyDescent="0.25">
      <c r="A31" s="661">
        <v>4</v>
      </c>
      <c r="B31" s="662"/>
      <c r="C31" s="662"/>
      <c r="D31" s="662"/>
      <c r="E31" s="662"/>
      <c r="F31" s="662"/>
      <c r="G31" s="662"/>
      <c r="H31" s="662"/>
      <c r="I31" s="662"/>
      <c r="J31" s="662"/>
      <c r="K31" s="662"/>
      <c r="L31" s="662"/>
      <c r="M31" s="669"/>
      <c r="N31" s="668"/>
      <c r="O31" s="664" t="str">
        <f>IF(N31&lt;=0,"",IF(N31&lt;=2,"Muy Baja",IF(N31&lt;=24,"Baja",IF(N31&lt;=500,"Media",IF(N31&lt;=5000,"Alta","Muy Alta")))))</f>
        <v/>
      </c>
      <c r="P31" s="663" t="str">
        <f>IF(O31="","",IF(O31="Muy Baja",0.2,IF(O31="Baja",0.4,IF(O31="Media",0.6,IF(O31="Alta",0.8,IF(O31="Muy Alta",1,))))))</f>
        <v/>
      </c>
      <c r="Q31" s="666"/>
      <c r="R31" s="663" t="str">
        <f>IF(Q31="","",IF(Q31="Afectación menor a 130 SMLMV",0.2,IF(Q31="Entre 130 y 650 SMLMV",0.4,IF(Q31="Entre 650 y 1300 SMLMV",0.6,IF(Q31="Entre 1300 y 6500 SMLMV",0.8,IF(Q31="Mayor a 6500 SMLMV",1,))))))</f>
        <v/>
      </c>
      <c r="S31" s="666"/>
      <c r="T31" s="663" t="str">
        <f>IF(S31="","",IF(S31="El riesgo afecta la imagen de alguna área de la organización",0.2,IF(S31="El riesgo afecta la imagen de la entidad internamente, de conocimiento general, nivel interno, de junta dircetiva y accionistas y/o de provedores",0.4,IF(S31="El riesgo afecta la imagen de la entidad con algunos usuarios de relevancia frente al logro de los objetivos",0.6,IF(S31="El riesgo afecta la imagen de de la entidad con efecto publicitario sostenido a nivel de sector administrativo, nivel departamental o municipal",0.8,IF(S31="El riesgo afecta la imagen de la entidad a nivel nacional, con efecto publicitarios sostenible a nivel país",1,))))))</f>
        <v/>
      </c>
      <c r="U31" s="663">
        <f>MAX(R31,T31)</f>
        <v>0</v>
      </c>
      <c r="V31" s="664" t="str">
        <f>IF(U31&lt;=0,"",IF(U31=0.2,"Leve",IF(U31=0.4,"Menor",IF(U31=0.6,"Moderado",IF(U31=0.8,"Mayor",IF(U31=1,"Catrastrófico"))))))</f>
        <v/>
      </c>
      <c r="W31" s="663"/>
      <c r="X31" s="665" t="str">
        <f>IF(OR(AND(O31="Muy Baja",V31="Leve"),AND(O31="Muy Baja",V31="Menor"),AND(O31="Baja",V31="Leve")),"Bajo",IF(OR(AND(O31="Muy baja",V31="Moderado"),AND(O31="Baja",V31="Menor"),AND(O31="Baja",V31="Moderado"),AND(O31="Media",V31="Leve"),AND(O31="Media",V31="Menor"),AND(O31="Media",V31="Moderado"),AND(O31="Alta",V31="Leve"),AND(O31="Alta",V31="Menor")),"Moderado",IF(OR(AND(O31="Muy Baja",V31="Mayor"),AND(O31="Baja",V31="Mayor"),AND(O31="Media",V31="Mayor"),AND(O31="Alta",V31="Moderado"),AND(O31="Alta",V31="Mayor"),AND(O31="Muy Alta",V31="Leve"),AND(O31="Muy Alta",V31="Menor"),AND(O31="Muy Alta",V31="Moderado"),AND(O31="Muy Alta",V31="Mayor")),"Alto",IF(OR(AND(O31="Muy Baja",V31="Catastrófico"),AND(O31="Baja",V31="Catastrófico"),AND(O31="Media",V31="Catastrófico"),AND(O31="Alta",V31="Catastrófico"),AND(O31="Muy Alta",V31="Catastrófico")),"Extremo",""))))</f>
        <v/>
      </c>
      <c r="Y31" s="265">
        <v>1</v>
      </c>
      <c r="Z31" s="265"/>
      <c r="AA31" s="265"/>
      <c r="AB31" s="265"/>
      <c r="AC31" s="267" t="str">
        <f t="shared" si="0"/>
        <v xml:space="preserve">  </v>
      </c>
      <c r="AD31" s="268"/>
      <c r="AE31" s="269"/>
      <c r="AF31" s="268"/>
      <c r="AG31" s="284"/>
      <c r="AH31" s="285"/>
      <c r="AI31" s="286"/>
      <c r="AJ31" s="285"/>
      <c r="AK31" s="285"/>
      <c r="AL31" s="285"/>
      <c r="AM31" s="287"/>
      <c r="AN31" s="288"/>
      <c r="AO31" s="286"/>
      <c r="AP31" s="288"/>
      <c r="AQ31" s="286"/>
      <c r="AR31" s="289"/>
      <c r="AS31" s="270"/>
      <c r="AT31" s="263"/>
      <c r="AU31" s="264"/>
      <c r="AV31" s="264"/>
      <c r="AW31" s="272"/>
      <c r="AX31" s="668"/>
      <c r="AY31" s="668"/>
      <c r="AZ31" s="668"/>
    </row>
    <row r="32" spans="1:52" x14ac:dyDescent="0.25">
      <c r="A32" s="661"/>
      <c r="B32" s="662"/>
      <c r="C32" s="662"/>
      <c r="D32" s="662"/>
      <c r="E32" s="662"/>
      <c r="F32" s="662"/>
      <c r="G32" s="662"/>
      <c r="H32" s="662"/>
      <c r="I32" s="662"/>
      <c r="J32" s="662"/>
      <c r="K32" s="662"/>
      <c r="L32" s="662"/>
      <c r="M32" s="669"/>
      <c r="N32" s="668"/>
      <c r="O32" s="664"/>
      <c r="P32" s="663"/>
      <c r="Q32" s="666"/>
      <c r="R32" s="663"/>
      <c r="S32" s="666"/>
      <c r="T32" s="663"/>
      <c r="U32" s="663"/>
      <c r="V32" s="664"/>
      <c r="W32" s="663"/>
      <c r="X32" s="665"/>
      <c r="Y32" s="265">
        <v>2</v>
      </c>
      <c r="Z32" s="265"/>
      <c r="AA32" s="265"/>
      <c r="AB32" s="265"/>
      <c r="AC32" s="267" t="str">
        <f t="shared" si="0"/>
        <v xml:space="preserve">  </v>
      </c>
      <c r="AD32" s="268"/>
      <c r="AE32" s="269"/>
      <c r="AF32" s="268"/>
      <c r="AG32" s="284"/>
      <c r="AH32" s="285"/>
      <c r="AI32" s="286"/>
      <c r="AJ32" s="285"/>
      <c r="AK32" s="285"/>
      <c r="AL32" s="285"/>
      <c r="AM32" s="287"/>
      <c r="AN32" s="288"/>
      <c r="AO32" s="286"/>
      <c r="AP32" s="288"/>
      <c r="AQ32" s="286"/>
      <c r="AR32" s="289"/>
      <c r="AS32" s="270"/>
      <c r="AT32" s="263"/>
      <c r="AU32" s="264"/>
      <c r="AV32" s="264"/>
      <c r="AW32" s="272"/>
      <c r="AX32" s="668"/>
      <c r="AY32" s="668"/>
      <c r="AZ32" s="668"/>
    </row>
    <row r="33" spans="1:52" x14ac:dyDescent="0.25">
      <c r="A33" s="661"/>
      <c r="B33" s="662"/>
      <c r="C33" s="662"/>
      <c r="D33" s="662"/>
      <c r="E33" s="662"/>
      <c r="F33" s="662"/>
      <c r="G33" s="662"/>
      <c r="H33" s="662"/>
      <c r="I33" s="662"/>
      <c r="J33" s="662"/>
      <c r="K33" s="662"/>
      <c r="L33" s="662"/>
      <c r="M33" s="669"/>
      <c r="N33" s="668"/>
      <c r="O33" s="664"/>
      <c r="P33" s="663"/>
      <c r="Q33" s="666"/>
      <c r="R33" s="663"/>
      <c r="S33" s="666"/>
      <c r="T33" s="663"/>
      <c r="U33" s="663"/>
      <c r="V33" s="664"/>
      <c r="W33" s="663"/>
      <c r="X33" s="665"/>
      <c r="Y33" s="265">
        <v>3</v>
      </c>
      <c r="Z33" s="265"/>
      <c r="AA33" s="265"/>
      <c r="AB33" s="265"/>
      <c r="AC33" s="267" t="str">
        <f t="shared" si="0"/>
        <v xml:space="preserve">  </v>
      </c>
      <c r="AD33" s="268"/>
      <c r="AE33" s="269"/>
      <c r="AF33" s="268"/>
      <c r="AG33" s="284"/>
      <c r="AH33" s="285"/>
      <c r="AI33" s="286"/>
      <c r="AJ33" s="285"/>
      <c r="AK33" s="285"/>
      <c r="AL33" s="285"/>
      <c r="AM33" s="287"/>
      <c r="AN33" s="288"/>
      <c r="AO33" s="286"/>
      <c r="AP33" s="288"/>
      <c r="AQ33" s="286"/>
      <c r="AR33" s="289"/>
      <c r="AS33" s="270"/>
      <c r="AT33" s="263"/>
      <c r="AU33" s="264"/>
      <c r="AV33" s="264"/>
      <c r="AW33" s="272"/>
      <c r="AX33" s="668"/>
      <c r="AY33" s="668"/>
      <c r="AZ33" s="668"/>
    </row>
    <row r="34" spans="1:52" x14ac:dyDescent="0.25">
      <c r="A34" s="661"/>
      <c r="B34" s="662"/>
      <c r="C34" s="662"/>
      <c r="D34" s="662"/>
      <c r="E34" s="662"/>
      <c r="F34" s="662"/>
      <c r="G34" s="662"/>
      <c r="H34" s="662"/>
      <c r="I34" s="662"/>
      <c r="J34" s="662"/>
      <c r="K34" s="662"/>
      <c r="L34" s="662"/>
      <c r="M34" s="669"/>
      <c r="N34" s="668"/>
      <c r="O34" s="664"/>
      <c r="P34" s="663"/>
      <c r="Q34" s="666"/>
      <c r="R34" s="663"/>
      <c r="S34" s="666"/>
      <c r="T34" s="663"/>
      <c r="U34" s="663"/>
      <c r="V34" s="664"/>
      <c r="W34" s="663"/>
      <c r="X34" s="665"/>
      <c r="Y34" s="265">
        <v>4</v>
      </c>
      <c r="Z34" s="265"/>
      <c r="AA34" s="265"/>
      <c r="AB34" s="265"/>
      <c r="AC34" s="267" t="str">
        <f t="shared" si="0"/>
        <v xml:space="preserve">  </v>
      </c>
      <c r="AD34" s="268"/>
      <c r="AE34" s="269"/>
      <c r="AF34" s="268"/>
      <c r="AG34" s="284"/>
      <c r="AH34" s="285"/>
      <c r="AI34" s="286"/>
      <c r="AJ34" s="285"/>
      <c r="AK34" s="285"/>
      <c r="AL34" s="285"/>
      <c r="AM34" s="287"/>
      <c r="AN34" s="288"/>
      <c r="AO34" s="286"/>
      <c r="AP34" s="288"/>
      <c r="AQ34" s="286"/>
      <c r="AR34" s="289"/>
      <c r="AS34" s="270"/>
      <c r="AT34" s="263"/>
      <c r="AU34" s="264"/>
      <c r="AV34" s="264"/>
      <c r="AW34" s="272"/>
      <c r="AX34" s="668"/>
      <c r="AY34" s="668"/>
      <c r="AZ34" s="668"/>
    </row>
    <row r="35" spans="1:52" x14ac:dyDescent="0.25">
      <c r="A35" s="661"/>
      <c r="B35" s="662"/>
      <c r="C35" s="662"/>
      <c r="D35" s="662"/>
      <c r="E35" s="662"/>
      <c r="F35" s="662"/>
      <c r="G35" s="662"/>
      <c r="H35" s="662"/>
      <c r="I35" s="662"/>
      <c r="J35" s="662"/>
      <c r="K35" s="662"/>
      <c r="L35" s="662"/>
      <c r="M35" s="669"/>
      <c r="N35" s="668"/>
      <c r="O35" s="664"/>
      <c r="P35" s="663"/>
      <c r="Q35" s="666"/>
      <c r="R35" s="663"/>
      <c r="S35" s="666"/>
      <c r="T35" s="663"/>
      <c r="U35" s="663"/>
      <c r="V35" s="664"/>
      <c r="W35" s="663"/>
      <c r="X35" s="665"/>
      <c r="Y35" s="265">
        <v>5</v>
      </c>
      <c r="Z35" s="265"/>
      <c r="AA35" s="265"/>
      <c r="AB35" s="265"/>
      <c r="AC35" s="267" t="str">
        <f t="shared" si="0"/>
        <v xml:space="preserve">  </v>
      </c>
      <c r="AD35" s="268"/>
      <c r="AE35" s="269"/>
      <c r="AF35" s="268"/>
      <c r="AG35" s="284"/>
      <c r="AH35" s="285"/>
      <c r="AI35" s="286"/>
      <c r="AJ35" s="285"/>
      <c r="AK35" s="285"/>
      <c r="AL35" s="285"/>
      <c r="AM35" s="287"/>
      <c r="AN35" s="288"/>
      <c r="AO35" s="286"/>
      <c r="AP35" s="288"/>
      <c r="AQ35" s="286"/>
      <c r="AR35" s="289"/>
      <c r="AS35" s="270"/>
      <c r="AT35" s="263"/>
      <c r="AU35" s="264"/>
      <c r="AV35" s="264"/>
      <c r="AW35" s="272"/>
      <c r="AX35" s="668"/>
      <c r="AY35" s="668"/>
      <c r="AZ35" s="668"/>
    </row>
    <row r="36" spans="1:52" x14ac:dyDescent="0.25">
      <c r="A36" s="661"/>
      <c r="B36" s="662"/>
      <c r="C36" s="662"/>
      <c r="D36" s="662"/>
      <c r="E36" s="662"/>
      <c r="F36" s="662"/>
      <c r="G36" s="662"/>
      <c r="H36" s="662"/>
      <c r="I36" s="662"/>
      <c r="J36" s="662"/>
      <c r="K36" s="662"/>
      <c r="L36" s="662"/>
      <c r="M36" s="669"/>
      <c r="N36" s="668"/>
      <c r="O36" s="664"/>
      <c r="P36" s="663"/>
      <c r="Q36" s="666"/>
      <c r="R36" s="663"/>
      <c r="S36" s="666"/>
      <c r="T36" s="663"/>
      <c r="U36" s="663"/>
      <c r="V36" s="664"/>
      <c r="W36" s="663"/>
      <c r="X36" s="665"/>
      <c r="Y36" s="265">
        <v>6</v>
      </c>
      <c r="Z36" s="265"/>
      <c r="AA36" s="265"/>
      <c r="AB36" s="265"/>
      <c r="AC36" s="267" t="str">
        <f t="shared" si="0"/>
        <v xml:space="preserve">  </v>
      </c>
      <c r="AD36" s="268"/>
      <c r="AE36" s="269"/>
      <c r="AF36" s="268"/>
      <c r="AG36" s="284"/>
      <c r="AH36" s="285"/>
      <c r="AI36" s="286"/>
      <c r="AJ36" s="285"/>
      <c r="AK36" s="285"/>
      <c r="AL36" s="285"/>
      <c r="AM36" s="287"/>
      <c r="AN36" s="288"/>
      <c r="AO36" s="286"/>
      <c r="AP36" s="288"/>
      <c r="AQ36" s="286"/>
      <c r="AR36" s="289"/>
      <c r="AS36" s="270"/>
      <c r="AT36" s="263"/>
      <c r="AU36" s="264"/>
      <c r="AV36" s="264"/>
      <c r="AW36" s="272"/>
      <c r="AX36" s="668"/>
      <c r="AY36" s="668"/>
      <c r="AZ36" s="668"/>
    </row>
    <row r="37" spans="1:52" x14ac:dyDescent="0.25">
      <c r="A37" s="661">
        <v>5</v>
      </c>
      <c r="B37" s="662"/>
      <c r="C37" s="662"/>
      <c r="D37" s="662"/>
      <c r="E37" s="662"/>
      <c r="F37" s="662"/>
      <c r="G37" s="662"/>
      <c r="H37" s="662"/>
      <c r="I37" s="662"/>
      <c r="J37" s="662"/>
      <c r="K37" s="662"/>
      <c r="L37" s="662"/>
      <c r="M37" s="669"/>
      <c r="N37" s="668"/>
      <c r="O37" s="664" t="str">
        <f>IF(N37&lt;=0,"",IF(N37&lt;=2,"Muy Baja",IF(N37&lt;=24,"Baja",IF(N37&lt;=500,"Media",IF(N37&lt;=5000,"Alta","Muy Alta")))))</f>
        <v/>
      </c>
      <c r="P37" s="663" t="str">
        <f>IF(O37="","",IF(O37="Muy Baja",0.2,IF(O37="Baja",0.4,IF(O37="Media",0.6,IF(O37="Alta",0.8,IF(O37="Muy Alta",1,))))))</f>
        <v/>
      </c>
      <c r="Q37" s="666"/>
      <c r="R37" s="663" t="str">
        <f>IF(Q37="","",IF(Q37="Afectación menor a 130 SMLMV",0.2,IF(Q37="Entre 130 y 650 SMLMV",0.4,IF(Q37="Entre 650 y 1300 SMLMV",0.6,IF(Q37="Entre 1300 y 6500 SMLMV",0.8,IF(Q37="Mayor a 6500 SMLMV",1,))))))</f>
        <v/>
      </c>
      <c r="S37" s="666"/>
      <c r="T37" s="663" t="str">
        <f>IF(S37="","",IF(S37="El riesgo afecta la imagen de alguna área de la organización",0.2,IF(S37="El riesgo afecta la imagen de la entidad internamente, de conocimiento general, nivel interno, de junta dircetiva y accionistas y/o de provedores",0.4,IF(S37="El riesgo afecta la imagen de la entidad con algunos usuarios de relevancia frente al logro de los objetivos",0.6,IF(S37="El riesgo afecta la imagen de de la entidad con efecto publicitario sostenido a nivel de sector administrativo, nivel departamental o municipal",0.8,IF(S37="El riesgo afecta la imagen de la entidad a nivel nacional, con efecto publicitarios sostenible a nivel país",1,))))))</f>
        <v/>
      </c>
      <c r="U37" s="663">
        <f>MAX(R37,T37)</f>
        <v>0</v>
      </c>
      <c r="V37" s="664" t="str">
        <f>IF(U37&lt;=0,"",IF(U37=0.2,"Leve",IF(U37=0.4,"Menor",IF(U37=0.6,"Moderado",IF(U37=0.8,"Mayor",IF(U37=1,"Catrastrófico"))))))</f>
        <v/>
      </c>
      <c r="W37" s="663"/>
      <c r="X37" s="665" t="str">
        <f>IF(OR(AND(O37="Muy Baja",V37="Leve"),AND(O37="Muy Baja",V37="Menor"),AND(O37="Baja",V37="Leve")),"Bajo",IF(OR(AND(O37="Muy baja",V37="Moderado"),AND(O37="Baja",V37="Menor"),AND(O37="Baja",V37="Moderado"),AND(O37="Media",V37="Leve"),AND(O37="Media",V37="Menor"),AND(O37="Media",V37="Moderado"),AND(O37="Alta",V37="Leve"),AND(O37="Alta",V37="Menor")),"Moderado",IF(OR(AND(O37="Muy Baja",V37="Mayor"),AND(O37="Baja",V37="Mayor"),AND(O37="Media",V37="Mayor"),AND(O37="Alta",V37="Moderado"),AND(O37="Alta",V37="Mayor"),AND(O37="Muy Alta",V37="Leve"),AND(O37="Muy Alta",V37="Menor"),AND(O37="Muy Alta",V37="Moderado"),AND(O37="Muy Alta",V37="Mayor")),"Alto",IF(OR(AND(O37="Muy Baja",V37="Catastrófico"),AND(O37="Baja",V37="Catastrófico"),AND(O37="Media",V37="Catastrófico"),AND(O37="Alta",V37="Catastrófico"),AND(O37="Muy Alta",V37="Catastrófico")),"Extremo",""))))</f>
        <v/>
      </c>
      <c r="Y37" s="265">
        <v>1</v>
      </c>
      <c r="Z37" s="265"/>
      <c r="AA37" s="265"/>
      <c r="AB37" s="265"/>
      <c r="AC37" s="267" t="str">
        <f t="shared" si="0"/>
        <v xml:space="preserve">  </v>
      </c>
      <c r="AD37" s="268"/>
      <c r="AE37" s="269"/>
      <c r="AF37" s="268"/>
      <c r="AG37" s="284"/>
      <c r="AH37" s="285"/>
      <c r="AI37" s="286"/>
      <c r="AJ37" s="285"/>
      <c r="AK37" s="285"/>
      <c r="AL37" s="285"/>
      <c r="AM37" s="287"/>
      <c r="AN37" s="288"/>
      <c r="AO37" s="286"/>
      <c r="AP37" s="288"/>
      <c r="AQ37" s="286"/>
      <c r="AR37" s="289"/>
      <c r="AS37" s="270"/>
      <c r="AT37" s="263"/>
      <c r="AU37" s="264"/>
      <c r="AV37" s="264"/>
      <c r="AW37" s="272"/>
      <c r="AX37" s="668"/>
      <c r="AY37" s="668"/>
      <c r="AZ37" s="668"/>
    </row>
    <row r="38" spans="1:52" x14ac:dyDescent="0.25">
      <c r="A38" s="661"/>
      <c r="B38" s="662"/>
      <c r="C38" s="662"/>
      <c r="D38" s="662"/>
      <c r="E38" s="662"/>
      <c r="F38" s="662"/>
      <c r="G38" s="662"/>
      <c r="H38" s="662"/>
      <c r="I38" s="662"/>
      <c r="J38" s="662"/>
      <c r="K38" s="662"/>
      <c r="L38" s="662"/>
      <c r="M38" s="669"/>
      <c r="N38" s="668"/>
      <c r="O38" s="664"/>
      <c r="P38" s="663"/>
      <c r="Q38" s="666"/>
      <c r="R38" s="663"/>
      <c r="S38" s="666"/>
      <c r="T38" s="663"/>
      <c r="U38" s="663"/>
      <c r="V38" s="664"/>
      <c r="W38" s="663"/>
      <c r="X38" s="665"/>
      <c r="Y38" s="265">
        <v>2</v>
      </c>
      <c r="Z38" s="265"/>
      <c r="AA38" s="265"/>
      <c r="AB38" s="265"/>
      <c r="AC38" s="267" t="str">
        <f t="shared" si="0"/>
        <v xml:space="preserve">  </v>
      </c>
      <c r="AD38" s="268"/>
      <c r="AE38" s="269"/>
      <c r="AF38" s="268"/>
      <c r="AG38" s="284"/>
      <c r="AH38" s="285"/>
      <c r="AI38" s="286"/>
      <c r="AJ38" s="285"/>
      <c r="AK38" s="285"/>
      <c r="AL38" s="285"/>
      <c r="AM38" s="287"/>
      <c r="AN38" s="288"/>
      <c r="AO38" s="286"/>
      <c r="AP38" s="288"/>
      <c r="AQ38" s="286"/>
      <c r="AR38" s="289"/>
      <c r="AS38" s="270"/>
      <c r="AT38" s="263"/>
      <c r="AU38" s="264"/>
      <c r="AV38" s="264"/>
      <c r="AW38" s="272"/>
      <c r="AX38" s="668"/>
      <c r="AY38" s="668"/>
      <c r="AZ38" s="668"/>
    </row>
    <row r="39" spans="1:52" x14ac:dyDescent="0.25">
      <c r="A39" s="661"/>
      <c r="B39" s="662"/>
      <c r="C39" s="662"/>
      <c r="D39" s="662"/>
      <c r="E39" s="662"/>
      <c r="F39" s="662"/>
      <c r="G39" s="662"/>
      <c r="H39" s="662"/>
      <c r="I39" s="662"/>
      <c r="J39" s="662"/>
      <c r="K39" s="662"/>
      <c r="L39" s="662"/>
      <c r="M39" s="669"/>
      <c r="N39" s="668"/>
      <c r="O39" s="664"/>
      <c r="P39" s="663"/>
      <c r="Q39" s="666"/>
      <c r="R39" s="663"/>
      <c r="S39" s="666"/>
      <c r="T39" s="663"/>
      <c r="U39" s="663"/>
      <c r="V39" s="664"/>
      <c r="W39" s="663"/>
      <c r="X39" s="665"/>
      <c r="Y39" s="265">
        <v>3</v>
      </c>
      <c r="Z39" s="265"/>
      <c r="AA39" s="265"/>
      <c r="AB39" s="265"/>
      <c r="AC39" s="267" t="str">
        <f t="shared" si="0"/>
        <v xml:space="preserve">  </v>
      </c>
      <c r="AD39" s="268"/>
      <c r="AE39" s="269"/>
      <c r="AF39" s="268"/>
      <c r="AG39" s="284"/>
      <c r="AH39" s="285"/>
      <c r="AI39" s="286"/>
      <c r="AJ39" s="285"/>
      <c r="AK39" s="285"/>
      <c r="AL39" s="285"/>
      <c r="AM39" s="287"/>
      <c r="AN39" s="288"/>
      <c r="AO39" s="286"/>
      <c r="AP39" s="288"/>
      <c r="AQ39" s="286"/>
      <c r="AR39" s="289"/>
      <c r="AS39" s="270"/>
      <c r="AT39" s="263"/>
      <c r="AU39" s="264"/>
      <c r="AV39" s="264"/>
      <c r="AW39" s="272"/>
      <c r="AX39" s="668"/>
      <c r="AY39" s="668"/>
      <c r="AZ39" s="668"/>
    </row>
    <row r="40" spans="1:52" x14ac:dyDescent="0.25">
      <c r="A40" s="661"/>
      <c r="B40" s="662"/>
      <c r="C40" s="662"/>
      <c r="D40" s="662"/>
      <c r="E40" s="662"/>
      <c r="F40" s="662"/>
      <c r="G40" s="662"/>
      <c r="H40" s="662"/>
      <c r="I40" s="662"/>
      <c r="J40" s="662"/>
      <c r="K40" s="662"/>
      <c r="L40" s="662"/>
      <c r="M40" s="669"/>
      <c r="N40" s="668"/>
      <c r="O40" s="664"/>
      <c r="P40" s="663"/>
      <c r="Q40" s="666"/>
      <c r="R40" s="663"/>
      <c r="S40" s="666"/>
      <c r="T40" s="663"/>
      <c r="U40" s="663"/>
      <c r="V40" s="664"/>
      <c r="W40" s="663"/>
      <c r="X40" s="665"/>
      <c r="Y40" s="265">
        <v>4</v>
      </c>
      <c r="Z40" s="265"/>
      <c r="AA40" s="265"/>
      <c r="AB40" s="265"/>
      <c r="AC40" s="267" t="str">
        <f t="shared" si="0"/>
        <v xml:space="preserve">  </v>
      </c>
      <c r="AD40" s="268"/>
      <c r="AE40" s="269"/>
      <c r="AF40" s="268"/>
      <c r="AG40" s="284"/>
      <c r="AH40" s="285"/>
      <c r="AI40" s="286"/>
      <c r="AJ40" s="285"/>
      <c r="AK40" s="285"/>
      <c r="AL40" s="285"/>
      <c r="AM40" s="287"/>
      <c r="AN40" s="288"/>
      <c r="AO40" s="286"/>
      <c r="AP40" s="288"/>
      <c r="AQ40" s="286"/>
      <c r="AR40" s="289"/>
      <c r="AS40" s="270"/>
      <c r="AT40" s="263"/>
      <c r="AU40" s="264"/>
      <c r="AV40" s="264"/>
      <c r="AW40" s="272"/>
      <c r="AX40" s="668"/>
      <c r="AY40" s="668"/>
      <c r="AZ40" s="668"/>
    </row>
    <row r="41" spans="1:52" x14ac:dyDescent="0.25">
      <c r="A41" s="661"/>
      <c r="B41" s="662"/>
      <c r="C41" s="662"/>
      <c r="D41" s="662"/>
      <c r="E41" s="662"/>
      <c r="F41" s="662"/>
      <c r="G41" s="662"/>
      <c r="H41" s="662"/>
      <c r="I41" s="662"/>
      <c r="J41" s="662"/>
      <c r="K41" s="662"/>
      <c r="L41" s="662"/>
      <c r="M41" s="669"/>
      <c r="N41" s="668"/>
      <c r="O41" s="664"/>
      <c r="P41" s="663"/>
      <c r="Q41" s="666"/>
      <c r="R41" s="663"/>
      <c r="S41" s="666"/>
      <c r="T41" s="663"/>
      <c r="U41" s="663"/>
      <c r="V41" s="664"/>
      <c r="W41" s="663"/>
      <c r="X41" s="665"/>
      <c r="Y41" s="265">
        <v>5</v>
      </c>
      <c r="Z41" s="265"/>
      <c r="AA41" s="265"/>
      <c r="AB41" s="265"/>
      <c r="AC41" s="267" t="str">
        <f t="shared" si="0"/>
        <v xml:space="preserve">  </v>
      </c>
      <c r="AD41" s="268"/>
      <c r="AE41" s="269"/>
      <c r="AF41" s="268"/>
      <c r="AG41" s="284"/>
      <c r="AH41" s="285"/>
      <c r="AI41" s="286"/>
      <c r="AJ41" s="285"/>
      <c r="AK41" s="285"/>
      <c r="AL41" s="285"/>
      <c r="AM41" s="287"/>
      <c r="AN41" s="288"/>
      <c r="AO41" s="286"/>
      <c r="AP41" s="288"/>
      <c r="AQ41" s="286"/>
      <c r="AR41" s="289"/>
      <c r="AS41" s="270"/>
      <c r="AT41" s="263"/>
      <c r="AU41" s="264"/>
      <c r="AV41" s="264"/>
      <c r="AW41" s="272"/>
      <c r="AX41" s="668"/>
      <c r="AY41" s="668"/>
      <c r="AZ41" s="668"/>
    </row>
    <row r="42" spans="1:52" x14ac:dyDescent="0.25">
      <c r="A42" s="661"/>
      <c r="B42" s="662"/>
      <c r="C42" s="662"/>
      <c r="D42" s="662"/>
      <c r="E42" s="662"/>
      <c r="F42" s="662"/>
      <c r="G42" s="662"/>
      <c r="H42" s="662"/>
      <c r="I42" s="662"/>
      <c r="J42" s="662"/>
      <c r="K42" s="662"/>
      <c r="L42" s="662"/>
      <c r="M42" s="669"/>
      <c r="N42" s="668"/>
      <c r="O42" s="664"/>
      <c r="P42" s="663"/>
      <c r="Q42" s="666"/>
      <c r="R42" s="663"/>
      <c r="S42" s="666"/>
      <c r="T42" s="663"/>
      <c r="U42" s="663"/>
      <c r="V42" s="664"/>
      <c r="W42" s="663"/>
      <c r="X42" s="665"/>
      <c r="Y42" s="265">
        <v>6</v>
      </c>
      <c r="Z42" s="265"/>
      <c r="AA42" s="265"/>
      <c r="AB42" s="265"/>
      <c r="AC42" s="267" t="str">
        <f t="shared" si="0"/>
        <v xml:space="preserve">  </v>
      </c>
      <c r="AD42" s="268"/>
      <c r="AE42" s="269"/>
      <c r="AF42" s="268"/>
      <c r="AG42" s="284"/>
      <c r="AH42" s="285"/>
      <c r="AI42" s="286"/>
      <c r="AJ42" s="285"/>
      <c r="AK42" s="285"/>
      <c r="AL42" s="285"/>
      <c r="AM42" s="287"/>
      <c r="AN42" s="288"/>
      <c r="AO42" s="286"/>
      <c r="AP42" s="288"/>
      <c r="AQ42" s="286"/>
      <c r="AR42" s="289"/>
      <c r="AS42" s="270"/>
      <c r="AT42" s="263"/>
      <c r="AU42" s="264"/>
      <c r="AV42" s="264"/>
      <c r="AW42" s="272"/>
      <c r="AX42" s="668"/>
      <c r="AY42" s="668"/>
      <c r="AZ42" s="668"/>
    </row>
    <row r="43" spans="1:52" x14ac:dyDescent="0.25">
      <c r="A43" s="661">
        <v>6</v>
      </c>
      <c r="B43" s="662"/>
      <c r="C43" s="662"/>
      <c r="D43" s="662"/>
      <c r="E43" s="662"/>
      <c r="F43" s="662"/>
      <c r="G43" s="662"/>
      <c r="H43" s="662"/>
      <c r="I43" s="662"/>
      <c r="J43" s="662"/>
      <c r="K43" s="662"/>
      <c r="L43" s="662"/>
      <c r="M43" s="669"/>
      <c r="N43" s="668"/>
      <c r="O43" s="664" t="str">
        <f>IF(N43&lt;=0,"",IF(N43&lt;=2,"Muy Baja",IF(N43&lt;=24,"Baja",IF(N43&lt;=500,"Media",IF(N43&lt;=5000,"Alta","Muy Alta")))))</f>
        <v/>
      </c>
      <c r="P43" s="663" t="str">
        <f>IF(O43="","",IF(O43="Muy Baja",0.2,IF(O43="Baja",0.4,IF(O43="Media",0.6,IF(O43="Alta",0.8,IF(O43="Muy Alta",1,))))))</f>
        <v/>
      </c>
      <c r="Q43" s="666"/>
      <c r="R43" s="663" t="str">
        <f>IF(Q43="","",IF(Q43="Afectación menor a 130 SMLMV",0.2,IF(Q43="Entre 130 y 650 SMLMV",0.4,IF(Q43="Entre 650 y 1300 SMLMV",0.6,IF(Q43="Entre 1300 y 6500 SMLMV",0.8,IF(Q43="Mayor a 6500 SMLMV",1,))))))</f>
        <v/>
      </c>
      <c r="S43" s="666"/>
      <c r="T43" s="663" t="str">
        <f>IF(S43="","",IF(S43="El riesgo afecta la imagen de alguna área de la organización",0.2,IF(S43="El riesgo afecta la imagen de la entidad internamente, de conocimiento general, nivel interno, de junta dircetiva y accionistas y/o de provedores",0.4,IF(S43="El riesgo afecta la imagen de la entidad con algunos usuarios de relevancia frente al logro de los objetivos",0.6,IF(S43="El riesgo afecta la imagen de de la entidad con efecto publicitario sostenido a nivel de sector administrativo, nivel departamental o municipal",0.8,IF(S43="El riesgo afecta la imagen de la entidad a nivel nacional, con efecto publicitarios sostenible a nivel país",1,))))))</f>
        <v/>
      </c>
      <c r="U43" s="663">
        <f>MAX(R43,T43)</f>
        <v>0</v>
      </c>
      <c r="V43" s="664" t="str">
        <f>IF(U43&lt;=0,"",IF(U43=0.2,"Leve",IF(U43=0.4,"Menor",IF(U43=0.6,"Moderado",IF(U43=0.8,"Mayor",IF(U43=1,"Catrastrófico"))))))</f>
        <v/>
      </c>
      <c r="W43" s="663"/>
      <c r="X43" s="665" t="str">
        <f>IF(OR(AND(O43="Muy Baja",V43="Leve"),AND(O43="Muy Baja",V43="Menor"),AND(O43="Baja",V43="Leve")),"Bajo",IF(OR(AND(O43="Muy baja",V43="Moderado"),AND(O43="Baja",V43="Menor"),AND(O43="Baja",V43="Moderado"),AND(O43="Media",V43="Leve"),AND(O43="Media",V43="Menor"),AND(O43="Media",V43="Moderado"),AND(O43="Alta",V43="Leve"),AND(O43="Alta",V43="Menor")),"Moderado",IF(OR(AND(O43="Muy Baja",V43="Mayor"),AND(O43="Baja",V43="Mayor"),AND(O43="Media",V43="Mayor"),AND(O43="Alta",V43="Moderado"),AND(O43="Alta",V43="Mayor"),AND(O43="Muy Alta",V43="Leve"),AND(O43="Muy Alta",V43="Menor"),AND(O43="Muy Alta",V43="Moderado"),AND(O43="Muy Alta",V43="Mayor")),"Alto",IF(OR(AND(O43="Muy Baja",V43="Catastrófico"),AND(O43="Baja",V43="Catastrófico"),AND(O43="Media",V43="Catastrófico"),AND(O43="Alta",V43="Catastrófico"),AND(O43="Muy Alta",V43="Catastrófico")),"Extremo",""))))</f>
        <v/>
      </c>
      <c r="Y43" s="265">
        <v>1</v>
      </c>
      <c r="Z43" s="265"/>
      <c r="AA43" s="265"/>
      <c r="AB43" s="265"/>
      <c r="AC43" s="267" t="str">
        <f t="shared" si="0"/>
        <v xml:space="preserve">  </v>
      </c>
      <c r="AD43" s="268"/>
      <c r="AE43" s="269"/>
      <c r="AF43" s="268"/>
      <c r="AG43" s="284"/>
      <c r="AH43" s="285"/>
      <c r="AI43" s="286"/>
      <c r="AJ43" s="285"/>
      <c r="AK43" s="285"/>
      <c r="AL43" s="285"/>
      <c r="AM43" s="287"/>
      <c r="AN43" s="288"/>
      <c r="AO43" s="286"/>
      <c r="AP43" s="288"/>
      <c r="AQ43" s="286"/>
      <c r="AR43" s="289"/>
      <c r="AS43" s="271"/>
      <c r="AT43" s="263"/>
      <c r="AU43" s="264"/>
      <c r="AV43" s="264"/>
      <c r="AW43" s="272"/>
      <c r="AX43" s="668"/>
      <c r="AY43" s="668"/>
      <c r="AZ43" s="668"/>
    </row>
    <row r="44" spans="1:52" x14ac:dyDescent="0.25">
      <c r="A44" s="661"/>
      <c r="B44" s="662"/>
      <c r="C44" s="662"/>
      <c r="D44" s="662"/>
      <c r="E44" s="662"/>
      <c r="F44" s="662"/>
      <c r="G44" s="662"/>
      <c r="H44" s="662"/>
      <c r="I44" s="662"/>
      <c r="J44" s="662"/>
      <c r="K44" s="662"/>
      <c r="L44" s="662"/>
      <c r="M44" s="669"/>
      <c r="N44" s="668"/>
      <c r="O44" s="664"/>
      <c r="P44" s="663"/>
      <c r="Q44" s="666"/>
      <c r="R44" s="663"/>
      <c r="S44" s="666"/>
      <c r="T44" s="663"/>
      <c r="U44" s="663"/>
      <c r="V44" s="664"/>
      <c r="W44" s="663"/>
      <c r="X44" s="665"/>
      <c r="Y44" s="265">
        <v>2</v>
      </c>
      <c r="Z44" s="265"/>
      <c r="AA44" s="265"/>
      <c r="AB44" s="265"/>
      <c r="AC44" s="267" t="str">
        <f t="shared" si="0"/>
        <v xml:space="preserve">  </v>
      </c>
      <c r="AD44" s="268"/>
      <c r="AE44" s="269"/>
      <c r="AF44" s="268"/>
      <c r="AG44" s="284"/>
      <c r="AH44" s="285"/>
      <c r="AI44" s="286"/>
      <c r="AJ44" s="285"/>
      <c r="AK44" s="285"/>
      <c r="AL44" s="285"/>
      <c r="AM44" s="287"/>
      <c r="AN44" s="288"/>
      <c r="AO44" s="286"/>
      <c r="AP44" s="288"/>
      <c r="AQ44" s="286"/>
      <c r="AR44" s="289"/>
      <c r="AS44" s="270"/>
      <c r="AT44" s="263"/>
      <c r="AU44" s="264"/>
      <c r="AV44" s="264"/>
      <c r="AW44" s="272"/>
      <c r="AX44" s="668"/>
      <c r="AY44" s="668"/>
      <c r="AZ44" s="668"/>
    </row>
    <row r="45" spans="1:52" x14ac:dyDescent="0.25">
      <c r="A45" s="661"/>
      <c r="B45" s="662"/>
      <c r="C45" s="662"/>
      <c r="D45" s="662"/>
      <c r="E45" s="662"/>
      <c r="F45" s="662"/>
      <c r="G45" s="662"/>
      <c r="H45" s="662"/>
      <c r="I45" s="662"/>
      <c r="J45" s="662"/>
      <c r="K45" s="662"/>
      <c r="L45" s="662"/>
      <c r="M45" s="669"/>
      <c r="N45" s="668"/>
      <c r="O45" s="664"/>
      <c r="P45" s="663"/>
      <c r="Q45" s="666"/>
      <c r="R45" s="663"/>
      <c r="S45" s="666"/>
      <c r="T45" s="663"/>
      <c r="U45" s="663"/>
      <c r="V45" s="664"/>
      <c r="W45" s="663"/>
      <c r="X45" s="665"/>
      <c r="Y45" s="265">
        <v>3</v>
      </c>
      <c r="Z45" s="265"/>
      <c r="AA45" s="265"/>
      <c r="AB45" s="265"/>
      <c r="AC45" s="267" t="str">
        <f t="shared" si="0"/>
        <v xml:space="preserve">  </v>
      </c>
      <c r="AD45" s="268"/>
      <c r="AE45" s="269"/>
      <c r="AF45" s="268"/>
      <c r="AG45" s="284"/>
      <c r="AH45" s="285"/>
      <c r="AI45" s="286"/>
      <c r="AJ45" s="285"/>
      <c r="AK45" s="285"/>
      <c r="AL45" s="285"/>
      <c r="AM45" s="287"/>
      <c r="AN45" s="288"/>
      <c r="AO45" s="286"/>
      <c r="AP45" s="288"/>
      <c r="AQ45" s="286"/>
      <c r="AR45" s="289"/>
      <c r="AS45" s="270"/>
      <c r="AT45" s="263"/>
      <c r="AU45" s="264"/>
      <c r="AV45" s="264"/>
      <c r="AW45" s="272"/>
      <c r="AX45" s="668"/>
      <c r="AY45" s="668"/>
      <c r="AZ45" s="668"/>
    </row>
    <row r="46" spans="1:52" x14ac:dyDescent="0.25">
      <c r="A46" s="661"/>
      <c r="B46" s="662"/>
      <c r="C46" s="662"/>
      <c r="D46" s="662"/>
      <c r="E46" s="662"/>
      <c r="F46" s="662"/>
      <c r="G46" s="662"/>
      <c r="H46" s="662"/>
      <c r="I46" s="662"/>
      <c r="J46" s="662"/>
      <c r="K46" s="662"/>
      <c r="L46" s="662"/>
      <c r="M46" s="669"/>
      <c r="N46" s="668"/>
      <c r="O46" s="664"/>
      <c r="P46" s="663"/>
      <c r="Q46" s="666"/>
      <c r="R46" s="663"/>
      <c r="S46" s="666"/>
      <c r="T46" s="663"/>
      <c r="U46" s="663"/>
      <c r="V46" s="664"/>
      <c r="W46" s="663"/>
      <c r="X46" s="665"/>
      <c r="Y46" s="265">
        <v>4</v>
      </c>
      <c r="Z46" s="265"/>
      <c r="AA46" s="265"/>
      <c r="AB46" s="265"/>
      <c r="AC46" s="267" t="str">
        <f t="shared" si="0"/>
        <v xml:space="preserve">  </v>
      </c>
      <c r="AD46" s="268"/>
      <c r="AE46" s="269"/>
      <c r="AF46" s="268"/>
      <c r="AG46" s="284"/>
      <c r="AH46" s="285"/>
      <c r="AI46" s="286"/>
      <c r="AJ46" s="285"/>
      <c r="AK46" s="285"/>
      <c r="AL46" s="285"/>
      <c r="AM46" s="287"/>
      <c r="AN46" s="288"/>
      <c r="AO46" s="286"/>
      <c r="AP46" s="288"/>
      <c r="AQ46" s="286"/>
      <c r="AR46" s="289"/>
      <c r="AS46" s="270"/>
      <c r="AT46" s="263"/>
      <c r="AU46" s="264"/>
      <c r="AV46" s="264"/>
      <c r="AW46" s="272"/>
      <c r="AX46" s="668"/>
      <c r="AY46" s="668"/>
      <c r="AZ46" s="668"/>
    </row>
    <row r="47" spans="1:52" x14ac:dyDescent="0.25">
      <c r="A47" s="661"/>
      <c r="B47" s="662"/>
      <c r="C47" s="662"/>
      <c r="D47" s="662"/>
      <c r="E47" s="662"/>
      <c r="F47" s="662"/>
      <c r="G47" s="662"/>
      <c r="H47" s="662"/>
      <c r="I47" s="662"/>
      <c r="J47" s="662"/>
      <c r="K47" s="662"/>
      <c r="L47" s="662"/>
      <c r="M47" s="669"/>
      <c r="N47" s="668"/>
      <c r="O47" s="664"/>
      <c r="P47" s="663"/>
      <c r="Q47" s="666"/>
      <c r="R47" s="663"/>
      <c r="S47" s="666"/>
      <c r="T47" s="663"/>
      <c r="U47" s="663"/>
      <c r="V47" s="664"/>
      <c r="W47" s="663"/>
      <c r="X47" s="665"/>
      <c r="Y47" s="265">
        <v>5</v>
      </c>
      <c r="Z47" s="265"/>
      <c r="AA47" s="265"/>
      <c r="AB47" s="265"/>
      <c r="AC47" s="267" t="str">
        <f t="shared" si="0"/>
        <v xml:space="preserve">  </v>
      </c>
      <c r="AD47" s="268"/>
      <c r="AE47" s="269"/>
      <c r="AF47" s="268"/>
      <c r="AG47" s="284"/>
      <c r="AH47" s="285"/>
      <c r="AI47" s="286"/>
      <c r="AJ47" s="285"/>
      <c r="AK47" s="285"/>
      <c r="AL47" s="285"/>
      <c r="AM47" s="287"/>
      <c r="AN47" s="288"/>
      <c r="AO47" s="286"/>
      <c r="AP47" s="288"/>
      <c r="AQ47" s="286"/>
      <c r="AR47" s="289"/>
      <c r="AS47" s="270"/>
      <c r="AT47" s="263"/>
      <c r="AU47" s="264"/>
      <c r="AV47" s="264"/>
      <c r="AW47" s="272"/>
      <c r="AX47" s="668"/>
      <c r="AY47" s="668"/>
      <c r="AZ47" s="668"/>
    </row>
    <row r="48" spans="1:52" x14ac:dyDescent="0.25">
      <c r="A48" s="661"/>
      <c r="B48" s="662"/>
      <c r="C48" s="662"/>
      <c r="D48" s="662"/>
      <c r="E48" s="662"/>
      <c r="F48" s="662"/>
      <c r="G48" s="662"/>
      <c r="H48" s="662"/>
      <c r="I48" s="662"/>
      <c r="J48" s="662"/>
      <c r="K48" s="662"/>
      <c r="L48" s="662"/>
      <c r="M48" s="669"/>
      <c r="N48" s="668"/>
      <c r="O48" s="664"/>
      <c r="P48" s="663"/>
      <c r="Q48" s="666"/>
      <c r="R48" s="663"/>
      <c r="S48" s="666"/>
      <c r="T48" s="663"/>
      <c r="U48" s="663"/>
      <c r="V48" s="664"/>
      <c r="W48" s="663"/>
      <c r="X48" s="665"/>
      <c r="Y48" s="265">
        <v>6</v>
      </c>
      <c r="Z48" s="265"/>
      <c r="AA48" s="265"/>
      <c r="AB48" s="265"/>
      <c r="AC48" s="267" t="str">
        <f t="shared" si="0"/>
        <v xml:space="preserve">  </v>
      </c>
      <c r="AD48" s="268"/>
      <c r="AE48" s="269"/>
      <c r="AF48" s="268"/>
      <c r="AG48" s="284"/>
      <c r="AH48" s="285"/>
      <c r="AI48" s="286"/>
      <c r="AJ48" s="285"/>
      <c r="AK48" s="285"/>
      <c r="AL48" s="285"/>
      <c r="AM48" s="287"/>
      <c r="AN48" s="288"/>
      <c r="AO48" s="286"/>
      <c r="AP48" s="288"/>
      <c r="AQ48" s="286"/>
      <c r="AR48" s="289"/>
      <c r="AS48" s="270"/>
      <c r="AT48" s="263"/>
      <c r="AU48" s="264"/>
      <c r="AV48" s="264"/>
      <c r="AW48" s="272"/>
      <c r="AX48" s="668"/>
      <c r="AY48" s="668"/>
      <c r="AZ48" s="668"/>
    </row>
    <row r="49" spans="1:52" x14ac:dyDescent="0.25">
      <c r="A49" s="661">
        <v>7</v>
      </c>
      <c r="B49" s="662"/>
      <c r="C49" s="662"/>
      <c r="D49" s="662"/>
      <c r="E49" s="662"/>
      <c r="F49" s="662"/>
      <c r="G49" s="662"/>
      <c r="H49" s="662"/>
      <c r="I49" s="662"/>
      <c r="J49" s="662"/>
      <c r="K49" s="662"/>
      <c r="L49" s="662"/>
      <c r="M49" s="669"/>
      <c r="N49" s="668"/>
      <c r="O49" s="664" t="str">
        <f>IF(N49&lt;=0,"",IF(N49&lt;=2,"Muy Baja",IF(N49&lt;=24,"Baja",IF(N49&lt;=500,"Media",IF(N49&lt;=5000,"Alta","Muy Alta")))))</f>
        <v/>
      </c>
      <c r="P49" s="663" t="str">
        <f>IF(O49="","",IF(O49="Muy Baja",0.2,IF(O49="Baja",0.4,IF(O49="Media",0.6,IF(O49="Alta",0.8,IF(O49="Muy Alta",1,))))))</f>
        <v/>
      </c>
      <c r="Q49" s="666"/>
      <c r="R49" s="663" t="str">
        <f>IF(Q49="","",IF(Q49="Afectación menor a 130 SMLMV",0.2,IF(Q49="Entre 130 y 650 SMLMV",0.4,IF(Q49="Entre 650 y 1300 SMLMV",0.6,IF(Q49="Entre 1300 y 6500 SMLMV",0.8,IF(Q49="Mayor a 6500 SMLMV",1,))))))</f>
        <v/>
      </c>
      <c r="S49" s="666"/>
      <c r="T49" s="663" t="str">
        <f>IF(S49="","",IF(S49="El riesgo afecta la imagen de alguna área de la organización",0.2,IF(S49="El riesgo afecta la imagen de la entidad internamente, de conocimiento general, nivel interno, de junta dircetiva y accionistas y/o de provedores",0.4,IF(S49="El riesgo afecta la imagen de la entidad con algunos usuarios de relevancia frente al logro de los objetivos",0.6,IF(S49="El riesgo afecta la imagen de de la entidad con efecto publicitario sostenido a nivel de sector administrativo, nivel departamental o municipal",0.8,IF(S49="El riesgo afecta la imagen de la entidad a nivel nacional, con efecto publicitarios sostenible a nivel país",1,))))))</f>
        <v/>
      </c>
      <c r="U49" s="663">
        <f>MAX(R49,T49)</f>
        <v>0</v>
      </c>
      <c r="V49" s="664" t="str">
        <f>IF(U49&lt;=0,"",IF(U49=0.2,"Leve",IF(U49=0.4,"Menor",IF(U49=0.6,"Moderado",IF(U49=0.8,"Mayor",IF(U49=1,"Catrastrófico"))))))</f>
        <v/>
      </c>
      <c r="W49" s="663"/>
      <c r="X49" s="665" t="str">
        <f>IF(OR(AND(O49="Muy Baja",V49="Leve"),AND(O49="Muy Baja",V49="Menor"),AND(O49="Baja",V49="Leve")),"Bajo",IF(OR(AND(O49="Muy baja",V49="Moderado"),AND(O49="Baja",V49="Menor"),AND(O49="Baja",V49="Moderado"),AND(O49="Media",V49="Leve"),AND(O49="Media",V49="Menor"),AND(O49="Media",V49="Moderado"),AND(O49="Alta",V49="Leve"),AND(O49="Alta",V49="Menor")),"Moderado",IF(OR(AND(O49="Muy Baja",V49="Mayor"),AND(O49="Baja",V49="Mayor"),AND(O49="Media",V49="Mayor"),AND(O49="Alta",V49="Moderado"),AND(O49="Alta",V49="Mayor"),AND(O49="Muy Alta",V49="Leve"),AND(O49="Muy Alta",V49="Menor"),AND(O49="Muy Alta",V49="Moderado"),AND(O49="Muy Alta",V49="Mayor")),"Alto",IF(OR(AND(O49="Muy Baja",V49="Catastrófico"),AND(O49="Baja",V49="Catastrófico"),AND(O49="Media",V49="Catastrófico"),AND(O49="Alta",V49="Catastrófico"),AND(O49="Muy Alta",V49="Catastrófico")),"Extremo",""))))</f>
        <v/>
      </c>
      <c r="Y49" s="265">
        <v>1</v>
      </c>
      <c r="Z49" s="265"/>
      <c r="AA49" s="265"/>
      <c r="AB49" s="265"/>
      <c r="AC49" s="267" t="str">
        <f t="shared" si="0"/>
        <v xml:space="preserve">  </v>
      </c>
      <c r="AD49" s="268"/>
      <c r="AE49" s="269"/>
      <c r="AF49" s="268"/>
      <c r="AG49" s="284"/>
      <c r="AH49" s="285"/>
      <c r="AI49" s="286"/>
      <c r="AJ49" s="285"/>
      <c r="AK49" s="285"/>
      <c r="AL49" s="285"/>
      <c r="AM49" s="287"/>
      <c r="AN49" s="288"/>
      <c r="AO49" s="286"/>
      <c r="AP49" s="288"/>
      <c r="AQ49" s="286"/>
      <c r="AR49" s="289"/>
      <c r="AS49" s="270"/>
      <c r="AT49" s="263"/>
      <c r="AU49" s="264"/>
      <c r="AV49" s="264"/>
      <c r="AW49" s="272"/>
      <c r="AX49" s="668"/>
      <c r="AY49" s="668"/>
      <c r="AZ49" s="668"/>
    </row>
    <row r="50" spans="1:52" x14ac:dyDescent="0.25">
      <c r="A50" s="661"/>
      <c r="B50" s="662"/>
      <c r="C50" s="662"/>
      <c r="D50" s="662"/>
      <c r="E50" s="662"/>
      <c r="F50" s="662"/>
      <c r="G50" s="662"/>
      <c r="H50" s="662"/>
      <c r="I50" s="662"/>
      <c r="J50" s="662"/>
      <c r="K50" s="662"/>
      <c r="L50" s="662"/>
      <c r="M50" s="669"/>
      <c r="N50" s="668"/>
      <c r="O50" s="664"/>
      <c r="P50" s="663"/>
      <c r="Q50" s="666"/>
      <c r="R50" s="663"/>
      <c r="S50" s="666"/>
      <c r="T50" s="663"/>
      <c r="U50" s="663"/>
      <c r="V50" s="664"/>
      <c r="W50" s="663"/>
      <c r="X50" s="665"/>
      <c r="Y50" s="265">
        <v>2</v>
      </c>
      <c r="Z50" s="265"/>
      <c r="AA50" s="265"/>
      <c r="AB50" s="265"/>
      <c r="AC50" s="267" t="str">
        <f t="shared" si="0"/>
        <v xml:space="preserve">  </v>
      </c>
      <c r="AD50" s="268"/>
      <c r="AE50" s="269"/>
      <c r="AF50" s="268"/>
      <c r="AG50" s="284"/>
      <c r="AH50" s="285"/>
      <c r="AI50" s="286"/>
      <c r="AJ50" s="285"/>
      <c r="AK50" s="285"/>
      <c r="AL50" s="285"/>
      <c r="AM50" s="287"/>
      <c r="AN50" s="288"/>
      <c r="AO50" s="286"/>
      <c r="AP50" s="288"/>
      <c r="AQ50" s="286"/>
      <c r="AR50" s="289"/>
      <c r="AS50" s="270"/>
      <c r="AT50" s="263"/>
      <c r="AU50" s="264"/>
      <c r="AV50" s="264"/>
      <c r="AW50" s="272"/>
      <c r="AX50" s="668"/>
      <c r="AY50" s="668"/>
      <c r="AZ50" s="668"/>
    </row>
    <row r="51" spans="1:52" x14ac:dyDescent="0.25">
      <c r="A51" s="661"/>
      <c r="B51" s="662"/>
      <c r="C51" s="662"/>
      <c r="D51" s="662"/>
      <c r="E51" s="662"/>
      <c r="F51" s="662"/>
      <c r="G51" s="662"/>
      <c r="H51" s="662"/>
      <c r="I51" s="662"/>
      <c r="J51" s="662"/>
      <c r="K51" s="662"/>
      <c r="L51" s="662"/>
      <c r="M51" s="669"/>
      <c r="N51" s="668"/>
      <c r="O51" s="664"/>
      <c r="P51" s="663"/>
      <c r="Q51" s="666"/>
      <c r="R51" s="663"/>
      <c r="S51" s="666"/>
      <c r="T51" s="663"/>
      <c r="U51" s="663"/>
      <c r="V51" s="664"/>
      <c r="W51" s="663"/>
      <c r="X51" s="665"/>
      <c r="Y51" s="265">
        <v>3</v>
      </c>
      <c r="Z51" s="265"/>
      <c r="AA51" s="265"/>
      <c r="AB51" s="265"/>
      <c r="AC51" s="267" t="str">
        <f t="shared" si="0"/>
        <v xml:space="preserve">  </v>
      </c>
      <c r="AD51" s="268"/>
      <c r="AE51" s="269"/>
      <c r="AF51" s="268"/>
      <c r="AG51" s="284"/>
      <c r="AH51" s="285"/>
      <c r="AI51" s="286"/>
      <c r="AJ51" s="285"/>
      <c r="AK51" s="285"/>
      <c r="AL51" s="285"/>
      <c r="AM51" s="287"/>
      <c r="AN51" s="288"/>
      <c r="AO51" s="286"/>
      <c r="AP51" s="288"/>
      <c r="AQ51" s="286"/>
      <c r="AR51" s="289"/>
      <c r="AS51" s="270"/>
      <c r="AT51" s="263"/>
      <c r="AU51" s="264"/>
      <c r="AV51" s="264"/>
      <c r="AW51" s="272"/>
      <c r="AX51" s="668"/>
      <c r="AY51" s="668"/>
      <c r="AZ51" s="668"/>
    </row>
    <row r="52" spans="1:52" x14ac:dyDescent="0.25">
      <c r="A52" s="661"/>
      <c r="B52" s="662"/>
      <c r="C52" s="662"/>
      <c r="D52" s="662"/>
      <c r="E52" s="662"/>
      <c r="F52" s="662"/>
      <c r="G52" s="662"/>
      <c r="H52" s="662"/>
      <c r="I52" s="662"/>
      <c r="J52" s="662"/>
      <c r="K52" s="662"/>
      <c r="L52" s="662"/>
      <c r="M52" s="669"/>
      <c r="N52" s="668"/>
      <c r="O52" s="664"/>
      <c r="P52" s="663"/>
      <c r="Q52" s="666"/>
      <c r="R52" s="663"/>
      <c r="S52" s="666"/>
      <c r="T52" s="663"/>
      <c r="U52" s="663"/>
      <c r="V52" s="664"/>
      <c r="W52" s="663"/>
      <c r="X52" s="665"/>
      <c r="Y52" s="265">
        <v>4</v>
      </c>
      <c r="Z52" s="265"/>
      <c r="AA52" s="265"/>
      <c r="AB52" s="265"/>
      <c r="AC52" s="267" t="str">
        <f t="shared" si="0"/>
        <v xml:space="preserve">  </v>
      </c>
      <c r="AD52" s="268"/>
      <c r="AE52" s="269"/>
      <c r="AF52" s="268"/>
      <c r="AG52" s="284"/>
      <c r="AH52" s="285"/>
      <c r="AI52" s="286"/>
      <c r="AJ52" s="285"/>
      <c r="AK52" s="285"/>
      <c r="AL52" s="285"/>
      <c r="AM52" s="287"/>
      <c r="AN52" s="288"/>
      <c r="AO52" s="286"/>
      <c r="AP52" s="288"/>
      <c r="AQ52" s="286"/>
      <c r="AR52" s="289"/>
      <c r="AS52" s="270"/>
      <c r="AT52" s="263"/>
      <c r="AU52" s="264"/>
      <c r="AV52" s="264"/>
      <c r="AW52" s="272"/>
      <c r="AX52" s="668"/>
      <c r="AY52" s="668"/>
      <c r="AZ52" s="668"/>
    </row>
    <row r="53" spans="1:52" x14ac:dyDescent="0.25">
      <c r="A53" s="661"/>
      <c r="B53" s="662"/>
      <c r="C53" s="662"/>
      <c r="D53" s="662"/>
      <c r="E53" s="662"/>
      <c r="F53" s="662"/>
      <c r="G53" s="662"/>
      <c r="H53" s="662"/>
      <c r="I53" s="662"/>
      <c r="J53" s="662"/>
      <c r="K53" s="662"/>
      <c r="L53" s="662"/>
      <c r="M53" s="669"/>
      <c r="N53" s="668"/>
      <c r="O53" s="664"/>
      <c r="P53" s="663"/>
      <c r="Q53" s="666"/>
      <c r="R53" s="663"/>
      <c r="S53" s="666"/>
      <c r="T53" s="663"/>
      <c r="U53" s="663"/>
      <c r="V53" s="664"/>
      <c r="W53" s="663"/>
      <c r="X53" s="665"/>
      <c r="Y53" s="265">
        <v>5</v>
      </c>
      <c r="Z53" s="265"/>
      <c r="AA53" s="265"/>
      <c r="AB53" s="265"/>
      <c r="AC53" s="267" t="str">
        <f t="shared" si="0"/>
        <v xml:space="preserve">  </v>
      </c>
      <c r="AD53" s="268"/>
      <c r="AE53" s="269"/>
      <c r="AF53" s="268"/>
      <c r="AG53" s="284"/>
      <c r="AH53" s="285"/>
      <c r="AI53" s="286"/>
      <c r="AJ53" s="285"/>
      <c r="AK53" s="285"/>
      <c r="AL53" s="285"/>
      <c r="AM53" s="287"/>
      <c r="AN53" s="288"/>
      <c r="AO53" s="286"/>
      <c r="AP53" s="288"/>
      <c r="AQ53" s="286"/>
      <c r="AR53" s="289"/>
      <c r="AS53" s="270"/>
      <c r="AT53" s="263"/>
      <c r="AU53" s="264"/>
      <c r="AV53" s="264"/>
      <c r="AW53" s="272"/>
      <c r="AX53" s="668"/>
      <c r="AY53" s="668"/>
      <c r="AZ53" s="668"/>
    </row>
    <row r="54" spans="1:52" x14ac:dyDescent="0.25">
      <c r="A54" s="661"/>
      <c r="B54" s="662"/>
      <c r="C54" s="662"/>
      <c r="D54" s="662"/>
      <c r="E54" s="662"/>
      <c r="F54" s="662"/>
      <c r="G54" s="662"/>
      <c r="H54" s="662"/>
      <c r="I54" s="662"/>
      <c r="J54" s="662"/>
      <c r="K54" s="662"/>
      <c r="L54" s="662"/>
      <c r="M54" s="669"/>
      <c r="N54" s="668"/>
      <c r="O54" s="664"/>
      <c r="P54" s="663"/>
      <c r="Q54" s="666"/>
      <c r="R54" s="663"/>
      <c r="S54" s="666"/>
      <c r="T54" s="663"/>
      <c r="U54" s="663"/>
      <c r="V54" s="664"/>
      <c r="W54" s="663"/>
      <c r="X54" s="665"/>
      <c r="Y54" s="265">
        <v>6</v>
      </c>
      <c r="Z54" s="265"/>
      <c r="AA54" s="265"/>
      <c r="AB54" s="265"/>
      <c r="AC54" s="267" t="str">
        <f t="shared" si="0"/>
        <v xml:space="preserve">  </v>
      </c>
      <c r="AD54" s="268"/>
      <c r="AE54" s="269"/>
      <c r="AF54" s="268"/>
      <c r="AG54" s="284"/>
      <c r="AH54" s="285"/>
      <c r="AI54" s="286"/>
      <c r="AJ54" s="285"/>
      <c r="AK54" s="285"/>
      <c r="AL54" s="285"/>
      <c r="AM54" s="287"/>
      <c r="AN54" s="288"/>
      <c r="AO54" s="286"/>
      <c r="AP54" s="288"/>
      <c r="AQ54" s="286"/>
      <c r="AR54" s="289"/>
      <c r="AS54" s="270"/>
      <c r="AT54" s="263"/>
      <c r="AU54" s="264"/>
      <c r="AV54" s="264"/>
      <c r="AW54" s="272"/>
      <c r="AX54" s="668"/>
      <c r="AY54" s="668"/>
      <c r="AZ54" s="668"/>
    </row>
    <row r="55" spans="1:52" x14ac:dyDescent="0.25">
      <c r="A55" s="661">
        <v>8</v>
      </c>
      <c r="B55" s="662"/>
      <c r="C55" s="662"/>
      <c r="D55" s="662"/>
      <c r="E55" s="662"/>
      <c r="F55" s="662"/>
      <c r="G55" s="662"/>
      <c r="H55" s="662"/>
      <c r="I55" s="662"/>
      <c r="J55" s="662"/>
      <c r="K55" s="662"/>
      <c r="L55" s="662"/>
      <c r="M55" s="669"/>
      <c r="N55" s="668"/>
      <c r="O55" s="664" t="str">
        <f>IF(N55&lt;=0,"",IF(N55&lt;=2,"Muy Baja",IF(N55&lt;=24,"Baja",IF(N55&lt;=500,"Media",IF(N55&lt;=5000,"Alta","Muy Alta")))))</f>
        <v/>
      </c>
      <c r="P55" s="663" t="str">
        <f>IF(O55="","",IF(O55="Muy Baja",0.2,IF(O55="Baja",0.4,IF(O55="Media",0.6,IF(O55="Alta",0.8,IF(O55="Muy Alta",1,))))))</f>
        <v/>
      </c>
      <c r="Q55" s="666"/>
      <c r="R55" s="663" t="str">
        <f>IF(Q55="","",IF(Q55="Afectación menor a 130 SMLMV",0.2,IF(Q55="Entre 130 y 650 SMLMV",0.4,IF(Q55="Entre 650 y 1300 SMLMV",0.6,IF(Q55="Entre 1300 y 6500 SMLMV",0.8,IF(Q55="Mayor a 6500 SMLMV",1,))))))</f>
        <v/>
      </c>
      <c r="S55" s="666"/>
      <c r="T55" s="663" t="str">
        <f>IF(S55="","",IF(S55="El riesgo afecta la imagen de alguna área de la organización",0.2,IF(S55="El riesgo afecta la imagen de la entidad internamente, de conocimiento general, nivel interno, de junta dircetiva y accionistas y/o de provedores",0.4,IF(S55="El riesgo afecta la imagen de la entidad con algunos usuarios de relevancia frente al logro de los objetivos",0.6,IF(S55="El riesgo afecta la imagen de de la entidad con efecto publicitario sostenido a nivel de sector administrativo, nivel departamental o municipal",0.8,IF(S55="El riesgo afecta la imagen de la entidad a nivel nacional, con efecto publicitarios sostenible a nivel país",1,))))))</f>
        <v/>
      </c>
      <c r="U55" s="663">
        <f>MAX(R55,T55)</f>
        <v>0</v>
      </c>
      <c r="V55" s="664" t="str">
        <f>IF(U55&lt;=0,"",IF(U55=0.2,"Leve",IF(U55=0.4,"Menor",IF(U55=0.6,"Moderado",IF(U55=0.8,"Mayor",IF(U55=1,"Catrastrófico"))))))</f>
        <v/>
      </c>
      <c r="W55" s="663"/>
      <c r="X55" s="665" t="str">
        <f>IF(OR(AND(O55="Muy Baja",V55="Leve"),AND(O55="Muy Baja",V55="Menor"),AND(O55="Baja",V55="Leve")),"Bajo",IF(OR(AND(O55="Muy baja",V55="Moderado"),AND(O55="Baja",V55="Menor"),AND(O55="Baja",V55="Moderado"),AND(O55="Media",V55="Leve"),AND(O55="Media",V55="Menor"),AND(O55="Media",V55="Moderado"),AND(O55="Alta",V55="Leve"),AND(O55="Alta",V55="Menor")),"Moderado",IF(OR(AND(O55="Muy Baja",V55="Mayor"),AND(O55="Baja",V55="Mayor"),AND(O55="Media",V55="Mayor"),AND(O55="Alta",V55="Moderado"),AND(O55="Alta",V55="Mayor"),AND(O55="Muy Alta",V55="Leve"),AND(O55="Muy Alta",V55="Menor"),AND(O55="Muy Alta",V55="Moderado"),AND(O55="Muy Alta",V55="Mayor")),"Alto",IF(OR(AND(O55="Muy Baja",V55="Catastrófico"),AND(O55="Baja",V55="Catastrófico"),AND(O55="Media",V55="Catastrófico"),AND(O55="Alta",V55="Catastrófico"),AND(O55="Muy Alta",V55="Catastrófico")),"Extremo",""))))</f>
        <v/>
      </c>
      <c r="Y55" s="265">
        <v>1</v>
      </c>
      <c r="Z55" s="265"/>
      <c r="AA55" s="265"/>
      <c r="AB55" s="265"/>
      <c r="AC55" s="267" t="str">
        <f t="shared" si="0"/>
        <v xml:space="preserve">  </v>
      </c>
      <c r="AD55" s="268"/>
      <c r="AE55" s="269"/>
      <c r="AF55" s="268"/>
      <c r="AG55" s="284"/>
      <c r="AH55" s="285"/>
      <c r="AI55" s="286"/>
      <c r="AJ55" s="285"/>
      <c r="AK55" s="285"/>
      <c r="AL55" s="285"/>
      <c r="AM55" s="287"/>
      <c r="AN55" s="288"/>
      <c r="AO55" s="286"/>
      <c r="AP55" s="288"/>
      <c r="AQ55" s="286"/>
      <c r="AR55" s="289"/>
      <c r="AS55" s="270"/>
      <c r="AT55" s="263"/>
      <c r="AU55" s="264"/>
      <c r="AV55" s="264"/>
      <c r="AW55" s="272"/>
      <c r="AX55" s="668"/>
      <c r="AY55" s="668"/>
      <c r="AZ55" s="668"/>
    </row>
    <row r="56" spans="1:52" x14ac:dyDescent="0.25">
      <c r="A56" s="661"/>
      <c r="B56" s="662"/>
      <c r="C56" s="662"/>
      <c r="D56" s="662"/>
      <c r="E56" s="662"/>
      <c r="F56" s="662"/>
      <c r="G56" s="662"/>
      <c r="H56" s="662"/>
      <c r="I56" s="662"/>
      <c r="J56" s="662"/>
      <c r="K56" s="662"/>
      <c r="L56" s="662"/>
      <c r="M56" s="669"/>
      <c r="N56" s="668"/>
      <c r="O56" s="664"/>
      <c r="P56" s="663"/>
      <c r="Q56" s="666"/>
      <c r="R56" s="663"/>
      <c r="S56" s="666"/>
      <c r="T56" s="663"/>
      <c r="U56" s="663"/>
      <c r="V56" s="664"/>
      <c r="W56" s="663"/>
      <c r="X56" s="665"/>
      <c r="Y56" s="265">
        <v>2</v>
      </c>
      <c r="Z56" s="265"/>
      <c r="AA56" s="265"/>
      <c r="AB56" s="265"/>
      <c r="AC56" s="267" t="str">
        <f t="shared" si="0"/>
        <v xml:space="preserve">  </v>
      </c>
      <c r="AD56" s="268"/>
      <c r="AE56" s="269"/>
      <c r="AF56" s="268"/>
      <c r="AG56" s="284"/>
      <c r="AH56" s="285"/>
      <c r="AI56" s="286"/>
      <c r="AJ56" s="285"/>
      <c r="AK56" s="285"/>
      <c r="AL56" s="285"/>
      <c r="AM56" s="287"/>
      <c r="AN56" s="288"/>
      <c r="AO56" s="286"/>
      <c r="AP56" s="288"/>
      <c r="AQ56" s="286"/>
      <c r="AR56" s="289"/>
      <c r="AS56" s="270"/>
      <c r="AT56" s="263"/>
      <c r="AU56" s="264"/>
      <c r="AV56" s="264"/>
      <c r="AW56" s="272"/>
      <c r="AX56" s="668"/>
      <c r="AY56" s="668"/>
      <c r="AZ56" s="668"/>
    </row>
    <row r="57" spans="1:52" x14ac:dyDescent="0.25">
      <c r="A57" s="661"/>
      <c r="B57" s="662"/>
      <c r="C57" s="662"/>
      <c r="D57" s="662"/>
      <c r="E57" s="662"/>
      <c r="F57" s="662"/>
      <c r="G57" s="662"/>
      <c r="H57" s="662"/>
      <c r="I57" s="662"/>
      <c r="J57" s="662"/>
      <c r="K57" s="662"/>
      <c r="L57" s="662"/>
      <c r="M57" s="669"/>
      <c r="N57" s="668"/>
      <c r="O57" s="664"/>
      <c r="P57" s="663"/>
      <c r="Q57" s="666"/>
      <c r="R57" s="663"/>
      <c r="S57" s="666"/>
      <c r="T57" s="663"/>
      <c r="U57" s="663"/>
      <c r="V57" s="664"/>
      <c r="W57" s="663"/>
      <c r="X57" s="665"/>
      <c r="Y57" s="265">
        <v>3</v>
      </c>
      <c r="Z57" s="265"/>
      <c r="AA57" s="265"/>
      <c r="AB57" s="265"/>
      <c r="AC57" s="267" t="str">
        <f t="shared" si="0"/>
        <v xml:space="preserve">  </v>
      </c>
      <c r="AD57" s="268"/>
      <c r="AE57" s="269"/>
      <c r="AF57" s="268"/>
      <c r="AG57" s="284"/>
      <c r="AH57" s="285"/>
      <c r="AI57" s="286"/>
      <c r="AJ57" s="285"/>
      <c r="AK57" s="285"/>
      <c r="AL57" s="285"/>
      <c r="AM57" s="287"/>
      <c r="AN57" s="288"/>
      <c r="AO57" s="286"/>
      <c r="AP57" s="288"/>
      <c r="AQ57" s="286"/>
      <c r="AR57" s="289"/>
      <c r="AS57" s="270"/>
      <c r="AT57" s="263"/>
      <c r="AU57" s="264"/>
      <c r="AV57" s="264"/>
      <c r="AW57" s="272"/>
      <c r="AX57" s="668"/>
      <c r="AY57" s="668"/>
      <c r="AZ57" s="668"/>
    </row>
    <row r="58" spans="1:52" x14ac:dyDescent="0.25">
      <c r="A58" s="661"/>
      <c r="B58" s="662"/>
      <c r="C58" s="662"/>
      <c r="D58" s="662"/>
      <c r="E58" s="662"/>
      <c r="F58" s="662"/>
      <c r="G58" s="662"/>
      <c r="H58" s="662"/>
      <c r="I58" s="662"/>
      <c r="J58" s="662"/>
      <c r="K58" s="662"/>
      <c r="L58" s="662"/>
      <c r="M58" s="669"/>
      <c r="N58" s="668"/>
      <c r="O58" s="664"/>
      <c r="P58" s="663"/>
      <c r="Q58" s="666"/>
      <c r="R58" s="663"/>
      <c r="S58" s="666"/>
      <c r="T58" s="663"/>
      <c r="U58" s="663"/>
      <c r="V58" s="664"/>
      <c r="W58" s="663"/>
      <c r="X58" s="665"/>
      <c r="Y58" s="265">
        <v>4</v>
      </c>
      <c r="Z58" s="265"/>
      <c r="AA58" s="265"/>
      <c r="AB58" s="265"/>
      <c r="AC58" s="267" t="str">
        <f t="shared" si="0"/>
        <v xml:space="preserve">  </v>
      </c>
      <c r="AD58" s="268"/>
      <c r="AE58" s="269"/>
      <c r="AF58" s="268"/>
      <c r="AG58" s="284"/>
      <c r="AH58" s="285"/>
      <c r="AI58" s="286"/>
      <c r="AJ58" s="285"/>
      <c r="AK58" s="285"/>
      <c r="AL58" s="285"/>
      <c r="AM58" s="287"/>
      <c r="AN58" s="288"/>
      <c r="AO58" s="286"/>
      <c r="AP58" s="288"/>
      <c r="AQ58" s="286"/>
      <c r="AR58" s="289"/>
      <c r="AS58" s="270"/>
      <c r="AT58" s="263"/>
      <c r="AU58" s="264"/>
      <c r="AV58" s="264"/>
      <c r="AW58" s="272"/>
      <c r="AX58" s="668"/>
      <c r="AY58" s="668"/>
      <c r="AZ58" s="668"/>
    </row>
    <row r="59" spans="1:52" x14ac:dyDescent="0.25">
      <c r="A59" s="661"/>
      <c r="B59" s="662"/>
      <c r="C59" s="662"/>
      <c r="D59" s="662"/>
      <c r="E59" s="662"/>
      <c r="F59" s="662"/>
      <c r="G59" s="662"/>
      <c r="H59" s="662"/>
      <c r="I59" s="662"/>
      <c r="J59" s="662"/>
      <c r="K59" s="662"/>
      <c r="L59" s="662"/>
      <c r="M59" s="669"/>
      <c r="N59" s="668"/>
      <c r="O59" s="664"/>
      <c r="P59" s="663"/>
      <c r="Q59" s="666"/>
      <c r="R59" s="663"/>
      <c r="S59" s="666"/>
      <c r="T59" s="663"/>
      <c r="U59" s="663"/>
      <c r="V59" s="664"/>
      <c r="W59" s="663"/>
      <c r="X59" s="665"/>
      <c r="Y59" s="265">
        <v>5</v>
      </c>
      <c r="Z59" s="265"/>
      <c r="AA59" s="265"/>
      <c r="AB59" s="265"/>
      <c r="AC59" s="267" t="str">
        <f t="shared" si="0"/>
        <v xml:space="preserve">  </v>
      </c>
      <c r="AD59" s="268"/>
      <c r="AE59" s="269"/>
      <c r="AF59" s="268"/>
      <c r="AG59" s="284"/>
      <c r="AH59" s="285"/>
      <c r="AI59" s="286"/>
      <c r="AJ59" s="285"/>
      <c r="AK59" s="285"/>
      <c r="AL59" s="285"/>
      <c r="AM59" s="287"/>
      <c r="AN59" s="288"/>
      <c r="AO59" s="286"/>
      <c r="AP59" s="288"/>
      <c r="AQ59" s="286"/>
      <c r="AR59" s="289"/>
      <c r="AS59" s="270"/>
      <c r="AT59" s="263"/>
      <c r="AU59" s="264"/>
      <c r="AV59" s="264"/>
      <c r="AW59" s="272"/>
      <c r="AX59" s="668"/>
      <c r="AY59" s="668"/>
      <c r="AZ59" s="668"/>
    </row>
    <row r="60" spans="1:52" x14ac:dyDescent="0.25">
      <c r="A60" s="661"/>
      <c r="B60" s="662"/>
      <c r="C60" s="662"/>
      <c r="D60" s="662"/>
      <c r="E60" s="662"/>
      <c r="F60" s="662"/>
      <c r="G60" s="662"/>
      <c r="H60" s="662"/>
      <c r="I60" s="662"/>
      <c r="J60" s="662"/>
      <c r="K60" s="662"/>
      <c r="L60" s="662"/>
      <c r="M60" s="669"/>
      <c r="N60" s="668"/>
      <c r="O60" s="664"/>
      <c r="P60" s="663"/>
      <c r="Q60" s="666"/>
      <c r="R60" s="663"/>
      <c r="S60" s="666"/>
      <c r="T60" s="663"/>
      <c r="U60" s="663"/>
      <c r="V60" s="664"/>
      <c r="W60" s="663"/>
      <c r="X60" s="665"/>
      <c r="Y60" s="265">
        <v>6</v>
      </c>
      <c r="Z60" s="265"/>
      <c r="AA60" s="265"/>
      <c r="AB60" s="265"/>
      <c r="AC60" s="267" t="str">
        <f t="shared" si="0"/>
        <v xml:space="preserve">  </v>
      </c>
      <c r="AD60" s="268"/>
      <c r="AE60" s="269"/>
      <c r="AF60" s="268"/>
      <c r="AG60" s="284"/>
      <c r="AH60" s="285"/>
      <c r="AI60" s="286"/>
      <c r="AJ60" s="285"/>
      <c r="AK60" s="285"/>
      <c r="AL60" s="285"/>
      <c r="AM60" s="287"/>
      <c r="AN60" s="288"/>
      <c r="AO60" s="286"/>
      <c r="AP60" s="288"/>
      <c r="AQ60" s="286"/>
      <c r="AR60" s="289"/>
      <c r="AS60" s="270"/>
      <c r="AT60" s="263"/>
      <c r="AU60" s="264"/>
      <c r="AV60" s="264"/>
      <c r="AW60" s="272"/>
      <c r="AX60" s="668"/>
      <c r="AY60" s="668"/>
      <c r="AZ60" s="668"/>
    </row>
    <row r="61" spans="1:52" x14ac:dyDescent="0.25">
      <c r="A61" s="661">
        <v>9</v>
      </c>
      <c r="B61" s="662"/>
      <c r="C61" s="662"/>
      <c r="D61" s="662"/>
      <c r="E61" s="662"/>
      <c r="F61" s="662"/>
      <c r="G61" s="662"/>
      <c r="H61" s="662"/>
      <c r="I61" s="662"/>
      <c r="J61" s="662"/>
      <c r="K61" s="662"/>
      <c r="L61" s="662"/>
      <c r="M61" s="669"/>
      <c r="N61" s="668"/>
      <c r="O61" s="664" t="str">
        <f>IF(N61&lt;=0,"",IF(N61&lt;=2,"Muy Baja",IF(N61&lt;=24,"Baja",IF(N61&lt;=500,"Media",IF(N61&lt;=5000,"Alta","Muy Alta")))))</f>
        <v/>
      </c>
      <c r="P61" s="663" t="str">
        <f>IF(O61="","",IF(O61="Muy Baja",0.2,IF(O61="Baja",0.4,IF(O61="Media",0.6,IF(O61="Alta",0.8,IF(O61="Muy Alta",1,))))))</f>
        <v/>
      </c>
      <c r="Q61" s="666"/>
      <c r="R61" s="663" t="str">
        <f>IF(Q61="","",IF(Q61="Afectación menor a 130 SMLMV",0.2,IF(Q61="Entre 130 y 650 SMLMV",0.4,IF(Q61="Entre 650 y 1300 SMLMV",0.6,IF(Q61="Entre 1300 y 6500 SMLMV",0.8,IF(Q61="Mayor a 6500 SMLMV",1,))))))</f>
        <v/>
      </c>
      <c r="S61" s="666"/>
      <c r="T61" s="663" t="str">
        <f>IF(S61="","",IF(S61="El riesgo afecta la imagen de alguna área de la organización",0.2,IF(S61="El riesgo afecta la imagen de la entidad internamente, de conocimiento general, nivel interno, de junta dircetiva y accionistas y/o de provedores",0.4,IF(S61="El riesgo afecta la imagen de la entidad con algunos usuarios de relevancia frente al logro de los objetivos",0.6,IF(S61="El riesgo afecta la imagen de de la entidad con efecto publicitario sostenido a nivel de sector administrativo, nivel departamental o municipal",0.8,IF(S61="El riesgo afecta la imagen de la entidad a nivel nacional, con efecto publicitarios sostenible a nivel país",1,))))))</f>
        <v/>
      </c>
      <c r="U61" s="663">
        <f>MAX(R61,T61)</f>
        <v>0</v>
      </c>
      <c r="V61" s="664" t="str">
        <f>IF(U61&lt;=0,"",IF(U61=0.2,"Leve",IF(U61=0.4,"Menor",IF(U61=0.6,"Moderado",IF(U61=0.8,"Mayor",IF(U61=1,"Catrastrófico"))))))</f>
        <v/>
      </c>
      <c r="W61" s="663"/>
      <c r="X61" s="665" t="str">
        <f>IF(OR(AND(O61="Muy Baja",V61="Leve"),AND(O61="Muy Baja",V61="Menor"),AND(O61="Baja",V61="Leve")),"Bajo",IF(OR(AND(O61="Muy baja",V61="Moderado"),AND(O61="Baja",V61="Menor"),AND(O61="Baja",V61="Moderado"),AND(O61="Media",V61="Leve"),AND(O61="Media",V61="Menor"),AND(O61="Media",V61="Moderado"),AND(O61="Alta",V61="Leve"),AND(O61="Alta",V61="Menor")),"Moderado",IF(OR(AND(O61="Muy Baja",V61="Mayor"),AND(O61="Baja",V61="Mayor"),AND(O61="Media",V61="Mayor"),AND(O61="Alta",V61="Moderado"),AND(O61="Alta",V61="Mayor"),AND(O61="Muy Alta",V61="Leve"),AND(O61="Muy Alta",V61="Menor"),AND(O61="Muy Alta",V61="Moderado"),AND(O61="Muy Alta",V61="Mayor")),"Alto",IF(OR(AND(O61="Muy Baja",V61="Catastrófico"),AND(O61="Baja",V61="Catastrófico"),AND(O61="Media",V61="Catastrófico"),AND(O61="Alta",V61="Catastrófico"),AND(O61="Muy Alta",V61="Catastrófico")),"Extremo",""))))</f>
        <v/>
      </c>
      <c r="Y61" s="265">
        <v>1</v>
      </c>
      <c r="Z61" s="265"/>
      <c r="AA61" s="265"/>
      <c r="AB61" s="265"/>
      <c r="AC61" s="267" t="str">
        <f t="shared" si="0"/>
        <v xml:space="preserve">  </v>
      </c>
      <c r="AD61" s="268"/>
      <c r="AE61" s="269"/>
      <c r="AF61" s="268"/>
      <c r="AG61" s="284"/>
      <c r="AH61" s="285"/>
      <c r="AI61" s="286"/>
      <c r="AJ61" s="285"/>
      <c r="AK61" s="285"/>
      <c r="AL61" s="285"/>
      <c r="AM61" s="287"/>
      <c r="AN61" s="288"/>
      <c r="AO61" s="286"/>
      <c r="AP61" s="288"/>
      <c r="AQ61" s="286"/>
      <c r="AR61" s="289"/>
      <c r="AS61" s="270"/>
      <c r="AT61" s="263"/>
      <c r="AU61" s="264"/>
      <c r="AV61" s="264"/>
      <c r="AW61" s="272"/>
      <c r="AX61" s="668"/>
      <c r="AY61" s="668"/>
      <c r="AZ61" s="668"/>
    </row>
    <row r="62" spans="1:52" x14ac:dyDescent="0.25">
      <c r="A62" s="661"/>
      <c r="B62" s="662"/>
      <c r="C62" s="662"/>
      <c r="D62" s="662"/>
      <c r="E62" s="662"/>
      <c r="F62" s="662"/>
      <c r="G62" s="662"/>
      <c r="H62" s="662"/>
      <c r="I62" s="662"/>
      <c r="J62" s="662"/>
      <c r="K62" s="662"/>
      <c r="L62" s="662"/>
      <c r="M62" s="669"/>
      <c r="N62" s="668"/>
      <c r="O62" s="664"/>
      <c r="P62" s="663"/>
      <c r="Q62" s="666"/>
      <c r="R62" s="663"/>
      <c r="S62" s="666"/>
      <c r="T62" s="663"/>
      <c r="U62" s="663"/>
      <c r="V62" s="664"/>
      <c r="W62" s="663"/>
      <c r="X62" s="665"/>
      <c r="Y62" s="265">
        <v>2</v>
      </c>
      <c r="Z62" s="265"/>
      <c r="AA62" s="265"/>
      <c r="AB62" s="265"/>
      <c r="AC62" s="267" t="str">
        <f t="shared" si="0"/>
        <v xml:space="preserve">  </v>
      </c>
      <c r="AD62" s="268"/>
      <c r="AE62" s="269"/>
      <c r="AF62" s="268"/>
      <c r="AG62" s="284"/>
      <c r="AH62" s="285"/>
      <c r="AI62" s="286"/>
      <c r="AJ62" s="285"/>
      <c r="AK62" s="285"/>
      <c r="AL62" s="285"/>
      <c r="AM62" s="287"/>
      <c r="AN62" s="288"/>
      <c r="AO62" s="286"/>
      <c r="AP62" s="288"/>
      <c r="AQ62" s="286"/>
      <c r="AR62" s="289"/>
      <c r="AS62" s="270"/>
      <c r="AT62" s="263"/>
      <c r="AU62" s="264"/>
      <c r="AV62" s="264"/>
      <c r="AW62" s="272"/>
      <c r="AX62" s="668"/>
      <c r="AY62" s="668"/>
      <c r="AZ62" s="668"/>
    </row>
    <row r="63" spans="1:52" x14ac:dyDescent="0.25">
      <c r="A63" s="661"/>
      <c r="B63" s="662"/>
      <c r="C63" s="662"/>
      <c r="D63" s="662"/>
      <c r="E63" s="662"/>
      <c r="F63" s="662"/>
      <c r="G63" s="662"/>
      <c r="H63" s="662"/>
      <c r="I63" s="662"/>
      <c r="J63" s="662"/>
      <c r="K63" s="662"/>
      <c r="L63" s="662"/>
      <c r="M63" s="669"/>
      <c r="N63" s="668"/>
      <c r="O63" s="664"/>
      <c r="P63" s="663"/>
      <c r="Q63" s="666"/>
      <c r="R63" s="663"/>
      <c r="S63" s="666"/>
      <c r="T63" s="663"/>
      <c r="U63" s="663"/>
      <c r="V63" s="664"/>
      <c r="W63" s="663"/>
      <c r="X63" s="665"/>
      <c r="Y63" s="265">
        <v>3</v>
      </c>
      <c r="Z63" s="265"/>
      <c r="AA63" s="265"/>
      <c r="AB63" s="265"/>
      <c r="AC63" s="267" t="str">
        <f t="shared" si="0"/>
        <v xml:space="preserve">  </v>
      </c>
      <c r="AD63" s="268"/>
      <c r="AE63" s="269"/>
      <c r="AF63" s="268"/>
      <c r="AG63" s="284"/>
      <c r="AH63" s="285"/>
      <c r="AI63" s="286"/>
      <c r="AJ63" s="285"/>
      <c r="AK63" s="285"/>
      <c r="AL63" s="285"/>
      <c r="AM63" s="287"/>
      <c r="AN63" s="288"/>
      <c r="AO63" s="286"/>
      <c r="AP63" s="288"/>
      <c r="AQ63" s="286"/>
      <c r="AR63" s="289"/>
      <c r="AS63" s="270"/>
      <c r="AT63" s="263"/>
      <c r="AU63" s="264"/>
      <c r="AV63" s="264"/>
      <c r="AW63" s="272"/>
      <c r="AX63" s="668"/>
      <c r="AY63" s="668"/>
      <c r="AZ63" s="668"/>
    </row>
    <row r="64" spans="1:52" x14ac:dyDescent="0.25">
      <c r="A64" s="661"/>
      <c r="B64" s="662"/>
      <c r="C64" s="662"/>
      <c r="D64" s="662"/>
      <c r="E64" s="662"/>
      <c r="F64" s="662"/>
      <c r="G64" s="662"/>
      <c r="H64" s="662"/>
      <c r="I64" s="662"/>
      <c r="J64" s="662"/>
      <c r="K64" s="662"/>
      <c r="L64" s="662"/>
      <c r="M64" s="669"/>
      <c r="N64" s="668"/>
      <c r="O64" s="664"/>
      <c r="P64" s="663"/>
      <c r="Q64" s="666"/>
      <c r="R64" s="663"/>
      <c r="S64" s="666"/>
      <c r="T64" s="663"/>
      <c r="U64" s="663"/>
      <c r="V64" s="664"/>
      <c r="W64" s="663"/>
      <c r="X64" s="665"/>
      <c r="Y64" s="265">
        <v>4</v>
      </c>
      <c r="Z64" s="265"/>
      <c r="AA64" s="265"/>
      <c r="AB64" s="265"/>
      <c r="AC64" s="267" t="str">
        <f t="shared" si="0"/>
        <v xml:space="preserve">  </v>
      </c>
      <c r="AD64" s="268"/>
      <c r="AE64" s="269"/>
      <c r="AF64" s="268"/>
      <c r="AG64" s="284"/>
      <c r="AH64" s="285"/>
      <c r="AI64" s="286"/>
      <c r="AJ64" s="285"/>
      <c r="AK64" s="285"/>
      <c r="AL64" s="285"/>
      <c r="AM64" s="287"/>
      <c r="AN64" s="288"/>
      <c r="AO64" s="286"/>
      <c r="AP64" s="288"/>
      <c r="AQ64" s="286"/>
      <c r="AR64" s="289"/>
      <c r="AS64" s="270"/>
      <c r="AT64" s="263"/>
      <c r="AU64" s="264"/>
      <c r="AV64" s="264"/>
      <c r="AW64" s="272"/>
      <c r="AX64" s="668"/>
      <c r="AY64" s="668"/>
      <c r="AZ64" s="668"/>
    </row>
    <row r="65" spans="1:52" x14ac:dyDescent="0.25">
      <c r="A65" s="661"/>
      <c r="B65" s="662"/>
      <c r="C65" s="662"/>
      <c r="D65" s="662"/>
      <c r="E65" s="662"/>
      <c r="F65" s="662"/>
      <c r="G65" s="662"/>
      <c r="H65" s="662"/>
      <c r="I65" s="662"/>
      <c r="J65" s="662"/>
      <c r="K65" s="662"/>
      <c r="L65" s="662"/>
      <c r="M65" s="669"/>
      <c r="N65" s="668"/>
      <c r="O65" s="664"/>
      <c r="P65" s="663"/>
      <c r="Q65" s="666"/>
      <c r="R65" s="663"/>
      <c r="S65" s="666"/>
      <c r="T65" s="663"/>
      <c r="U65" s="663"/>
      <c r="V65" s="664"/>
      <c r="W65" s="663"/>
      <c r="X65" s="665"/>
      <c r="Y65" s="265">
        <v>5</v>
      </c>
      <c r="Z65" s="265"/>
      <c r="AA65" s="265"/>
      <c r="AB65" s="265"/>
      <c r="AC65" s="267" t="str">
        <f t="shared" si="0"/>
        <v xml:space="preserve">  </v>
      </c>
      <c r="AD65" s="268"/>
      <c r="AE65" s="269"/>
      <c r="AF65" s="268"/>
      <c r="AG65" s="284"/>
      <c r="AH65" s="285"/>
      <c r="AI65" s="286"/>
      <c r="AJ65" s="285"/>
      <c r="AK65" s="285"/>
      <c r="AL65" s="285"/>
      <c r="AM65" s="287"/>
      <c r="AN65" s="288"/>
      <c r="AO65" s="286"/>
      <c r="AP65" s="288"/>
      <c r="AQ65" s="286"/>
      <c r="AR65" s="289"/>
      <c r="AS65" s="270"/>
      <c r="AT65" s="263"/>
      <c r="AU65" s="264"/>
      <c r="AV65" s="264"/>
      <c r="AW65" s="272"/>
      <c r="AX65" s="668"/>
      <c r="AY65" s="668"/>
      <c r="AZ65" s="668"/>
    </row>
    <row r="66" spans="1:52" x14ac:dyDescent="0.25">
      <c r="A66" s="661"/>
      <c r="B66" s="662"/>
      <c r="C66" s="662"/>
      <c r="D66" s="662"/>
      <c r="E66" s="662"/>
      <c r="F66" s="662"/>
      <c r="G66" s="662"/>
      <c r="H66" s="662"/>
      <c r="I66" s="662"/>
      <c r="J66" s="662"/>
      <c r="K66" s="662"/>
      <c r="L66" s="662"/>
      <c r="M66" s="669"/>
      <c r="N66" s="668"/>
      <c r="O66" s="664"/>
      <c r="P66" s="663"/>
      <c r="Q66" s="666"/>
      <c r="R66" s="663"/>
      <c r="S66" s="666"/>
      <c r="T66" s="663"/>
      <c r="U66" s="663"/>
      <c r="V66" s="664"/>
      <c r="W66" s="663"/>
      <c r="X66" s="665"/>
      <c r="Y66" s="265">
        <v>6</v>
      </c>
      <c r="Z66" s="265"/>
      <c r="AA66" s="265"/>
      <c r="AB66" s="265"/>
      <c r="AC66" s="267" t="str">
        <f t="shared" si="0"/>
        <v xml:space="preserve">  </v>
      </c>
      <c r="AD66" s="268"/>
      <c r="AE66" s="269"/>
      <c r="AF66" s="268"/>
      <c r="AG66" s="284"/>
      <c r="AH66" s="285"/>
      <c r="AI66" s="286"/>
      <c r="AJ66" s="285"/>
      <c r="AK66" s="285"/>
      <c r="AL66" s="285"/>
      <c r="AM66" s="287"/>
      <c r="AN66" s="288"/>
      <c r="AO66" s="286"/>
      <c r="AP66" s="288"/>
      <c r="AQ66" s="286"/>
      <c r="AR66" s="289"/>
      <c r="AS66" s="270"/>
      <c r="AT66" s="263"/>
      <c r="AU66" s="264"/>
      <c r="AV66" s="264"/>
      <c r="AW66" s="272"/>
      <c r="AX66" s="668"/>
      <c r="AY66" s="668"/>
      <c r="AZ66" s="668"/>
    </row>
    <row r="67" spans="1:52" x14ac:dyDescent="0.25">
      <c r="A67" s="661">
        <v>10</v>
      </c>
      <c r="B67" s="662"/>
      <c r="C67" s="662"/>
      <c r="D67" s="662"/>
      <c r="E67" s="662"/>
      <c r="F67" s="662"/>
      <c r="G67" s="662"/>
      <c r="H67" s="662"/>
      <c r="I67" s="662"/>
      <c r="J67" s="662"/>
      <c r="K67" s="662"/>
      <c r="L67" s="662"/>
      <c r="M67" s="669"/>
      <c r="N67" s="668"/>
      <c r="O67" s="664" t="str">
        <f>IF(N67&lt;=0,"",IF(N67&lt;=2,"Muy Baja",IF(N67&lt;=24,"Baja",IF(N67&lt;=500,"Media",IF(N67&lt;=5000,"Alta","Muy Alta")))))</f>
        <v/>
      </c>
      <c r="P67" s="663" t="str">
        <f>IF(O67="","",IF(O67="Muy Baja",0.2,IF(O67="Baja",0.4,IF(O67="Media",0.6,IF(O67="Alta",0.8,IF(O67="Muy Alta",1,))))))</f>
        <v/>
      </c>
      <c r="Q67" s="666"/>
      <c r="R67" s="663" t="str">
        <f>IF(Q67="","",IF(Q67="Afectación menor a 130 SMLMV",0.2,IF(Q67="Entre 130 y 650 SMLMV",0.4,IF(Q67="Entre 650 y 1300 SMLMV",0.6,IF(Q67="Entre 1300 y 6500 SMLMV",0.8,IF(Q67="Mayor a 6500 SMLMV",1,))))))</f>
        <v/>
      </c>
      <c r="S67" s="666"/>
      <c r="T67" s="663" t="str">
        <f>IF(S67="","",IF(S67="El riesgo afecta la imagen de alguna área de la organización",0.2,IF(S67="El riesgo afecta la imagen de la entidad internamente, de conocimiento general, nivel interno, de junta dircetiva y accionistas y/o de provedores",0.4,IF(S67="El riesgo afecta la imagen de la entidad con algunos usuarios de relevancia frente al logro de los objetivos",0.6,IF(S67="El riesgo afecta la imagen de de la entidad con efecto publicitario sostenido a nivel de sector administrativo, nivel departamental o municipal",0.8,IF(S67="El riesgo afecta la imagen de la entidad a nivel nacional, con efecto publicitarios sostenible a nivel país",1,))))))</f>
        <v/>
      </c>
      <c r="U67" s="663">
        <f>MAX(R67,T67)</f>
        <v>0</v>
      </c>
      <c r="V67" s="664" t="str">
        <f>IF(U67&lt;=0,"",IF(U67=0.2,"Leve",IF(U67=0.4,"Menor",IF(U67=0.6,"Moderado",IF(U67=0.8,"Mayor",IF(U67=1,"Catrastrófico"))))))</f>
        <v/>
      </c>
      <c r="W67" s="663"/>
      <c r="X67" s="665" t="str">
        <f>IF(OR(AND(O67="Muy Baja",V67="Leve"),AND(O67="Muy Baja",V67="Menor"),AND(O67="Baja",V67="Leve")),"Bajo",IF(OR(AND(O67="Muy baja",V67="Moderado"),AND(O67="Baja",V67="Menor"),AND(O67="Baja",V67="Moderado"),AND(O67="Media",V67="Leve"),AND(O67="Media",V67="Menor"),AND(O67="Media",V67="Moderado"),AND(O67="Alta",V67="Leve"),AND(O67="Alta",V67="Menor")),"Moderado",IF(OR(AND(O67="Muy Baja",V67="Mayor"),AND(O67="Baja",V67="Mayor"),AND(O67="Media",V67="Mayor"),AND(O67="Alta",V67="Moderado"),AND(O67="Alta",V67="Mayor"),AND(O67="Muy Alta",V67="Leve"),AND(O67="Muy Alta",V67="Menor"),AND(O67="Muy Alta",V67="Moderado"),AND(O67="Muy Alta",V67="Mayor")),"Alto",IF(OR(AND(O67="Muy Baja",V67="Catastrófico"),AND(O67="Baja",V67="Catastrófico"),AND(O67="Media",V67="Catastrófico"),AND(O67="Alta",V67="Catastrófico"),AND(O67="Muy Alta",V67="Catastrófico")),"Extremo",""))))</f>
        <v/>
      </c>
      <c r="Y67" s="265">
        <v>1</v>
      </c>
      <c r="Z67" s="265"/>
      <c r="AA67" s="265"/>
      <c r="AB67" s="265"/>
      <c r="AC67" s="267" t="str">
        <f t="shared" si="0"/>
        <v xml:space="preserve">  </v>
      </c>
      <c r="AD67" s="268"/>
      <c r="AE67" s="269"/>
      <c r="AF67" s="268"/>
      <c r="AG67" s="284"/>
      <c r="AH67" s="285"/>
      <c r="AI67" s="286"/>
      <c r="AJ67" s="285"/>
      <c r="AK67" s="285"/>
      <c r="AL67" s="285"/>
      <c r="AM67" s="287"/>
      <c r="AN67" s="288"/>
      <c r="AO67" s="286"/>
      <c r="AP67" s="288"/>
      <c r="AQ67" s="286"/>
      <c r="AR67" s="289"/>
      <c r="AS67" s="270"/>
      <c r="AT67" s="263"/>
      <c r="AU67" s="264"/>
      <c r="AV67" s="264"/>
      <c r="AW67" s="272"/>
      <c r="AX67" s="668"/>
      <c r="AY67" s="668"/>
      <c r="AZ67" s="668"/>
    </row>
    <row r="68" spans="1:52" x14ac:dyDescent="0.25">
      <c r="A68" s="661"/>
      <c r="B68" s="662"/>
      <c r="C68" s="662"/>
      <c r="D68" s="662"/>
      <c r="E68" s="662"/>
      <c r="F68" s="662"/>
      <c r="G68" s="662"/>
      <c r="H68" s="662"/>
      <c r="I68" s="662"/>
      <c r="J68" s="662"/>
      <c r="K68" s="662"/>
      <c r="L68" s="662"/>
      <c r="M68" s="669"/>
      <c r="N68" s="668"/>
      <c r="O68" s="664"/>
      <c r="P68" s="663"/>
      <c r="Q68" s="666"/>
      <c r="R68" s="663"/>
      <c r="S68" s="666"/>
      <c r="T68" s="663"/>
      <c r="U68" s="663"/>
      <c r="V68" s="664"/>
      <c r="W68" s="663"/>
      <c r="X68" s="665"/>
      <c r="Y68" s="265">
        <v>2</v>
      </c>
      <c r="Z68" s="265"/>
      <c r="AA68" s="265"/>
      <c r="AB68" s="265"/>
      <c r="AC68" s="267" t="str">
        <f t="shared" si="0"/>
        <v xml:space="preserve">  </v>
      </c>
      <c r="AD68" s="268"/>
      <c r="AE68" s="269"/>
      <c r="AF68" s="268"/>
      <c r="AG68" s="284"/>
      <c r="AH68" s="285"/>
      <c r="AI68" s="286"/>
      <c r="AJ68" s="285"/>
      <c r="AK68" s="285"/>
      <c r="AL68" s="285"/>
      <c r="AM68" s="287"/>
      <c r="AN68" s="288"/>
      <c r="AO68" s="286"/>
      <c r="AP68" s="288"/>
      <c r="AQ68" s="286"/>
      <c r="AR68" s="289"/>
      <c r="AS68" s="270"/>
      <c r="AT68" s="263"/>
      <c r="AU68" s="264"/>
      <c r="AV68" s="264"/>
      <c r="AW68" s="272"/>
      <c r="AX68" s="668"/>
      <c r="AY68" s="668"/>
      <c r="AZ68" s="668"/>
    </row>
    <row r="69" spans="1:52" x14ac:dyDescent="0.25">
      <c r="A69" s="661"/>
      <c r="B69" s="662"/>
      <c r="C69" s="662"/>
      <c r="D69" s="662"/>
      <c r="E69" s="662"/>
      <c r="F69" s="662"/>
      <c r="G69" s="662"/>
      <c r="H69" s="662"/>
      <c r="I69" s="662"/>
      <c r="J69" s="662"/>
      <c r="K69" s="662"/>
      <c r="L69" s="662"/>
      <c r="M69" s="669"/>
      <c r="N69" s="668"/>
      <c r="O69" s="664"/>
      <c r="P69" s="663"/>
      <c r="Q69" s="666"/>
      <c r="R69" s="663"/>
      <c r="S69" s="666"/>
      <c r="T69" s="663"/>
      <c r="U69" s="663"/>
      <c r="V69" s="664"/>
      <c r="W69" s="663"/>
      <c r="X69" s="665"/>
      <c r="Y69" s="265">
        <v>3</v>
      </c>
      <c r="Z69" s="265"/>
      <c r="AA69" s="265"/>
      <c r="AB69" s="265"/>
      <c r="AC69" s="267" t="str">
        <f t="shared" si="0"/>
        <v xml:space="preserve">  </v>
      </c>
      <c r="AD69" s="268"/>
      <c r="AE69" s="269"/>
      <c r="AF69" s="268"/>
      <c r="AG69" s="284"/>
      <c r="AH69" s="285"/>
      <c r="AI69" s="286"/>
      <c r="AJ69" s="285"/>
      <c r="AK69" s="285"/>
      <c r="AL69" s="285"/>
      <c r="AM69" s="287"/>
      <c r="AN69" s="288"/>
      <c r="AO69" s="286"/>
      <c r="AP69" s="288"/>
      <c r="AQ69" s="286"/>
      <c r="AR69" s="289"/>
      <c r="AS69" s="270"/>
      <c r="AT69" s="263"/>
      <c r="AU69" s="264"/>
      <c r="AV69" s="264"/>
      <c r="AW69" s="272"/>
      <c r="AX69" s="668"/>
      <c r="AY69" s="668"/>
      <c r="AZ69" s="668"/>
    </row>
    <row r="70" spans="1:52" x14ac:dyDescent="0.25">
      <c r="A70" s="661"/>
      <c r="B70" s="662"/>
      <c r="C70" s="662"/>
      <c r="D70" s="662"/>
      <c r="E70" s="662"/>
      <c r="F70" s="662"/>
      <c r="G70" s="662"/>
      <c r="H70" s="662"/>
      <c r="I70" s="662"/>
      <c r="J70" s="662"/>
      <c r="K70" s="662"/>
      <c r="L70" s="662"/>
      <c r="M70" s="669"/>
      <c r="N70" s="668"/>
      <c r="O70" s="664"/>
      <c r="P70" s="663"/>
      <c r="Q70" s="666"/>
      <c r="R70" s="663"/>
      <c r="S70" s="666"/>
      <c r="T70" s="663"/>
      <c r="U70" s="663"/>
      <c r="V70" s="664"/>
      <c r="W70" s="663"/>
      <c r="X70" s="665"/>
      <c r="Y70" s="265">
        <v>4</v>
      </c>
      <c r="Z70" s="265"/>
      <c r="AA70" s="265"/>
      <c r="AB70" s="265"/>
      <c r="AC70" s="267" t="str">
        <f t="shared" si="0"/>
        <v xml:space="preserve">  </v>
      </c>
      <c r="AD70" s="268"/>
      <c r="AE70" s="269"/>
      <c r="AF70" s="268"/>
      <c r="AG70" s="284"/>
      <c r="AH70" s="285"/>
      <c r="AI70" s="286"/>
      <c r="AJ70" s="285"/>
      <c r="AK70" s="285"/>
      <c r="AL70" s="285"/>
      <c r="AM70" s="287"/>
      <c r="AN70" s="288"/>
      <c r="AO70" s="286"/>
      <c r="AP70" s="288"/>
      <c r="AQ70" s="286"/>
      <c r="AR70" s="289"/>
      <c r="AS70" s="270"/>
      <c r="AT70" s="263"/>
      <c r="AU70" s="264"/>
      <c r="AV70" s="264"/>
      <c r="AW70" s="272"/>
      <c r="AX70" s="668"/>
      <c r="AY70" s="668"/>
      <c r="AZ70" s="668"/>
    </row>
    <row r="71" spans="1:52" x14ac:dyDescent="0.25">
      <c r="A71" s="661"/>
      <c r="B71" s="662"/>
      <c r="C71" s="662"/>
      <c r="D71" s="662"/>
      <c r="E71" s="662"/>
      <c r="F71" s="662"/>
      <c r="G71" s="662"/>
      <c r="H71" s="662"/>
      <c r="I71" s="662"/>
      <c r="J71" s="662"/>
      <c r="K71" s="662"/>
      <c r="L71" s="662"/>
      <c r="M71" s="669"/>
      <c r="N71" s="668"/>
      <c r="O71" s="664"/>
      <c r="P71" s="663"/>
      <c r="Q71" s="666"/>
      <c r="R71" s="663"/>
      <c r="S71" s="666"/>
      <c r="T71" s="663"/>
      <c r="U71" s="663"/>
      <c r="V71" s="664"/>
      <c r="W71" s="663"/>
      <c r="X71" s="665"/>
      <c r="Y71" s="265">
        <v>5</v>
      </c>
      <c r="Z71" s="265"/>
      <c r="AA71" s="265"/>
      <c r="AB71" s="265"/>
      <c r="AC71" s="267" t="str">
        <f t="shared" si="0"/>
        <v xml:space="preserve">  </v>
      </c>
      <c r="AD71" s="268"/>
      <c r="AE71" s="269"/>
      <c r="AF71" s="268"/>
      <c r="AG71" s="284"/>
      <c r="AH71" s="285"/>
      <c r="AI71" s="286"/>
      <c r="AJ71" s="285"/>
      <c r="AK71" s="285"/>
      <c r="AL71" s="285"/>
      <c r="AM71" s="287"/>
      <c r="AN71" s="288"/>
      <c r="AO71" s="286"/>
      <c r="AP71" s="288"/>
      <c r="AQ71" s="286"/>
      <c r="AR71" s="289"/>
      <c r="AS71" s="270"/>
      <c r="AT71" s="263"/>
      <c r="AU71" s="264"/>
      <c r="AV71" s="264"/>
      <c r="AW71" s="272"/>
      <c r="AX71" s="668"/>
      <c r="AY71" s="668"/>
      <c r="AZ71" s="668"/>
    </row>
    <row r="72" spans="1:52" x14ac:dyDescent="0.25">
      <c r="A72" s="661"/>
      <c r="B72" s="662"/>
      <c r="C72" s="662"/>
      <c r="D72" s="662"/>
      <c r="E72" s="662"/>
      <c r="F72" s="662"/>
      <c r="G72" s="662"/>
      <c r="H72" s="662"/>
      <c r="I72" s="662"/>
      <c r="J72" s="662"/>
      <c r="K72" s="662"/>
      <c r="L72" s="662"/>
      <c r="M72" s="669"/>
      <c r="N72" s="668"/>
      <c r="O72" s="664"/>
      <c r="P72" s="663"/>
      <c r="Q72" s="666"/>
      <c r="R72" s="663"/>
      <c r="S72" s="666"/>
      <c r="T72" s="663"/>
      <c r="U72" s="663"/>
      <c r="V72" s="664"/>
      <c r="W72" s="663"/>
      <c r="X72" s="665"/>
      <c r="Y72" s="265">
        <v>6</v>
      </c>
      <c r="Z72" s="265"/>
      <c r="AA72" s="265"/>
      <c r="AB72" s="265"/>
      <c r="AC72" s="267" t="str">
        <f t="shared" si="0"/>
        <v xml:space="preserve">  </v>
      </c>
      <c r="AD72" s="268"/>
      <c r="AE72" s="269"/>
      <c r="AF72" s="268"/>
      <c r="AG72" s="284"/>
      <c r="AH72" s="285"/>
      <c r="AI72" s="286"/>
      <c r="AJ72" s="285"/>
      <c r="AK72" s="285"/>
      <c r="AL72" s="285"/>
      <c r="AM72" s="287"/>
      <c r="AN72" s="288"/>
      <c r="AO72" s="286"/>
      <c r="AP72" s="288"/>
      <c r="AQ72" s="286"/>
      <c r="AR72" s="289"/>
      <c r="AS72" s="270"/>
      <c r="AT72" s="263"/>
      <c r="AU72" s="264"/>
      <c r="AV72" s="264"/>
      <c r="AW72" s="272"/>
      <c r="AX72" s="668"/>
      <c r="AY72" s="668"/>
      <c r="AZ72" s="668"/>
    </row>
    <row r="73" spans="1:52" x14ac:dyDescent="0.25">
      <c r="A73" s="274"/>
      <c r="B73" s="670"/>
      <c r="C73" s="670"/>
      <c r="D73" s="67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0"/>
      <c r="AC73" s="670"/>
      <c r="AD73" s="670"/>
      <c r="AE73" s="670"/>
      <c r="AF73" s="670"/>
      <c r="AG73" s="670"/>
      <c r="AH73" s="670"/>
      <c r="AI73" s="670"/>
      <c r="AJ73" s="670"/>
      <c r="AK73" s="670"/>
      <c r="AL73" s="670"/>
      <c r="AM73" s="670"/>
      <c r="AN73" s="670"/>
      <c r="AO73" s="670"/>
      <c r="AP73" s="670"/>
      <c r="AQ73" s="670"/>
      <c r="AR73" s="670"/>
      <c r="AS73" s="670"/>
      <c r="AT73" s="670"/>
      <c r="AU73" s="670"/>
      <c r="AV73" s="670"/>
      <c r="AW73" s="670"/>
      <c r="AX73" s="670"/>
    </row>
    <row r="75" spans="1:52" s="247" customFormat="1" x14ac:dyDescent="0.2">
      <c r="B75" s="251"/>
      <c r="AT75" s="275"/>
    </row>
    <row r="76" spans="1:52" s="277" customFormat="1" ht="15" x14ac:dyDescent="0.2">
      <c r="A76" s="276"/>
      <c r="B76" s="276"/>
      <c r="C76" s="276"/>
      <c r="D76" s="276"/>
      <c r="E76" s="276"/>
      <c r="F76" s="276"/>
      <c r="G76" s="276"/>
      <c r="H76" s="276"/>
      <c r="I76" s="276"/>
      <c r="J76" s="276"/>
      <c r="K76" s="276"/>
      <c r="L76" s="276"/>
      <c r="M76" s="276"/>
      <c r="N76" s="278"/>
      <c r="AT76" s="279"/>
    </row>
  </sheetData>
  <mergeCells count="339">
    <mergeCell ref="B73:AX73"/>
    <mergeCell ref="V67:V72"/>
    <mergeCell ref="W67:W72"/>
    <mergeCell ref="X67:X72"/>
    <mergeCell ref="AX67:AX72"/>
    <mergeCell ref="AY67:AY72"/>
    <mergeCell ref="AZ67:AZ72"/>
    <mergeCell ref="P67:P72"/>
    <mergeCell ref="Q67:Q72"/>
    <mergeCell ref="R67:R72"/>
    <mergeCell ref="S67:S72"/>
    <mergeCell ref="T67:T72"/>
    <mergeCell ref="U67:U72"/>
    <mergeCell ref="N67:N72"/>
    <mergeCell ref="O67:O72"/>
    <mergeCell ref="J67:J72"/>
    <mergeCell ref="K67:K72"/>
    <mergeCell ref="L67:L72"/>
    <mergeCell ref="M67:M72"/>
    <mergeCell ref="AZ61:AZ66"/>
    <mergeCell ref="A67:A72"/>
    <mergeCell ref="B67:B72"/>
    <mergeCell ref="C67:C72"/>
    <mergeCell ref="D67:D72"/>
    <mergeCell ref="E67:E72"/>
    <mergeCell ref="F67:F72"/>
    <mergeCell ref="G67:G72"/>
    <mergeCell ref="H67:H72"/>
    <mergeCell ref="I67:I72"/>
    <mergeCell ref="U61:U66"/>
    <mergeCell ref="V61:V66"/>
    <mergeCell ref="W61:W66"/>
    <mergeCell ref="X61:X66"/>
    <mergeCell ref="AX61:AX66"/>
    <mergeCell ref="AY61:AY66"/>
    <mergeCell ref="O61:O66"/>
    <mergeCell ref="P61:P66"/>
    <mergeCell ref="Q61:Q66"/>
    <mergeCell ref="R61:R66"/>
    <mergeCell ref="S61:S66"/>
    <mergeCell ref="T61:T66"/>
    <mergeCell ref="N61:N66"/>
    <mergeCell ref="I61:I66"/>
    <mergeCell ref="J61:J66"/>
    <mergeCell ref="K61:K66"/>
    <mergeCell ref="L61:L66"/>
    <mergeCell ref="M61:M66"/>
    <mergeCell ref="AY55:AY60"/>
    <mergeCell ref="AZ55:AZ60"/>
    <mergeCell ref="A61:A66"/>
    <mergeCell ref="B61:B66"/>
    <mergeCell ref="C61:C66"/>
    <mergeCell ref="D61:D66"/>
    <mergeCell ref="E61:E66"/>
    <mergeCell ref="F61:F66"/>
    <mergeCell ref="G61:G66"/>
    <mergeCell ref="H61:H66"/>
    <mergeCell ref="T55:T60"/>
    <mergeCell ref="U55:U60"/>
    <mergeCell ref="V55:V60"/>
    <mergeCell ref="W55:W60"/>
    <mergeCell ref="X55:X60"/>
    <mergeCell ref="AX55:AX60"/>
    <mergeCell ref="N55:N60"/>
    <mergeCell ref="O55:O60"/>
    <mergeCell ref="P55:P60"/>
    <mergeCell ref="Q55:Q60"/>
    <mergeCell ref="R55:R60"/>
    <mergeCell ref="S55:S60"/>
    <mergeCell ref="H55:H60"/>
    <mergeCell ref="I55:I60"/>
    <mergeCell ref="J55:J60"/>
    <mergeCell ref="K55:K60"/>
    <mergeCell ref="L55:L60"/>
    <mergeCell ref="M55:M60"/>
    <mergeCell ref="AX49:AX54"/>
    <mergeCell ref="J49:J54"/>
    <mergeCell ref="K49:K54"/>
    <mergeCell ref="L49:L54"/>
    <mergeCell ref="AY49:AY54"/>
    <mergeCell ref="AZ49:AZ54"/>
    <mergeCell ref="A55:A60"/>
    <mergeCell ref="B55:B60"/>
    <mergeCell ref="C55:C60"/>
    <mergeCell ref="D55:D60"/>
    <mergeCell ref="E55:E60"/>
    <mergeCell ref="F55:F60"/>
    <mergeCell ref="G55:G60"/>
    <mergeCell ref="S49:S54"/>
    <mergeCell ref="T49:T54"/>
    <mergeCell ref="U49:U54"/>
    <mergeCell ref="V49:V54"/>
    <mergeCell ref="W49:W54"/>
    <mergeCell ref="X49:X54"/>
    <mergeCell ref="N49:N54"/>
    <mergeCell ref="O49:O54"/>
    <mergeCell ref="P49:P54"/>
    <mergeCell ref="Q49:Q54"/>
    <mergeCell ref="R49:R54"/>
    <mergeCell ref="M49:M54"/>
    <mergeCell ref="G49:G54"/>
    <mergeCell ref="H49:H54"/>
    <mergeCell ref="I49:I54"/>
    <mergeCell ref="A49:A54"/>
    <mergeCell ref="B49:B54"/>
    <mergeCell ref="C49:C54"/>
    <mergeCell ref="D49:D54"/>
    <mergeCell ref="E49:E54"/>
    <mergeCell ref="F49:F54"/>
    <mergeCell ref="V43:V48"/>
    <mergeCell ref="W43:W48"/>
    <mergeCell ref="X43:X48"/>
    <mergeCell ref="N43:N48"/>
    <mergeCell ref="O43:O48"/>
    <mergeCell ref="J43:J48"/>
    <mergeCell ref="K43:K48"/>
    <mergeCell ref="L43:L48"/>
    <mergeCell ref="M43:M48"/>
    <mergeCell ref="AX43:AX48"/>
    <mergeCell ref="AY43:AY48"/>
    <mergeCell ref="AZ43:AZ48"/>
    <mergeCell ref="P43:P48"/>
    <mergeCell ref="Q43:Q48"/>
    <mergeCell ref="R43:R48"/>
    <mergeCell ref="S43:S48"/>
    <mergeCell ref="T43:T48"/>
    <mergeCell ref="U43:U48"/>
    <mergeCell ref="AZ37:AZ42"/>
    <mergeCell ref="A43:A48"/>
    <mergeCell ref="B43:B48"/>
    <mergeCell ref="C43:C48"/>
    <mergeCell ref="D43:D48"/>
    <mergeCell ref="E43:E48"/>
    <mergeCell ref="F43:F48"/>
    <mergeCell ref="G43:G48"/>
    <mergeCell ref="H43:H48"/>
    <mergeCell ref="I43:I48"/>
    <mergeCell ref="U37:U42"/>
    <mergeCell ref="V37:V42"/>
    <mergeCell ref="W37:W42"/>
    <mergeCell ref="X37:X42"/>
    <mergeCell ref="AX37:AX42"/>
    <mergeCell ref="AY37:AY42"/>
    <mergeCell ref="O37:O42"/>
    <mergeCell ref="P37:P42"/>
    <mergeCell ref="Q37:Q42"/>
    <mergeCell ref="R37:R42"/>
    <mergeCell ref="S37:S42"/>
    <mergeCell ref="T37:T42"/>
    <mergeCell ref="N37:N42"/>
    <mergeCell ref="I37:I42"/>
    <mergeCell ref="J37:J42"/>
    <mergeCell ref="K37:K42"/>
    <mergeCell ref="L37:L42"/>
    <mergeCell ref="M37:M42"/>
    <mergeCell ref="AY31:AY36"/>
    <mergeCell ref="AZ31:AZ36"/>
    <mergeCell ref="A37:A42"/>
    <mergeCell ref="B37:B42"/>
    <mergeCell ref="C37:C42"/>
    <mergeCell ref="D37:D42"/>
    <mergeCell ref="E37:E42"/>
    <mergeCell ref="F37:F42"/>
    <mergeCell ref="G37:G42"/>
    <mergeCell ref="H37:H42"/>
    <mergeCell ref="T31:T36"/>
    <mergeCell ref="U31:U36"/>
    <mergeCell ref="V31:V36"/>
    <mergeCell ref="W31:W36"/>
    <mergeCell ref="X31:X36"/>
    <mergeCell ref="AX31:AX36"/>
    <mergeCell ref="N31:N36"/>
    <mergeCell ref="O31:O36"/>
    <mergeCell ref="P31:P36"/>
    <mergeCell ref="Q31:Q36"/>
    <mergeCell ref="R31:R36"/>
    <mergeCell ref="S31:S36"/>
    <mergeCell ref="H31:H36"/>
    <mergeCell ref="I31:I36"/>
    <mergeCell ref="J31:J36"/>
    <mergeCell ref="K31:K36"/>
    <mergeCell ref="L31:L36"/>
    <mergeCell ref="M31:M36"/>
    <mergeCell ref="AX25:AX30"/>
    <mergeCell ref="J25:J30"/>
    <mergeCell ref="K25:K30"/>
    <mergeCell ref="L25:L30"/>
    <mergeCell ref="AY25:AY30"/>
    <mergeCell ref="AZ25:AZ30"/>
    <mergeCell ref="A31:A36"/>
    <mergeCell ref="B31:B36"/>
    <mergeCell ref="C31:C36"/>
    <mergeCell ref="D31:D36"/>
    <mergeCell ref="E31:E36"/>
    <mergeCell ref="F31:F36"/>
    <mergeCell ref="G31:G36"/>
    <mergeCell ref="S25:S30"/>
    <mergeCell ref="T25:T30"/>
    <mergeCell ref="U25:U30"/>
    <mergeCell ref="V25:V30"/>
    <mergeCell ref="W25:W30"/>
    <mergeCell ref="X25:X30"/>
    <mergeCell ref="N25:N30"/>
    <mergeCell ref="O25:O30"/>
    <mergeCell ref="P25:P30"/>
    <mergeCell ref="Q25:Q30"/>
    <mergeCell ref="R25:R30"/>
    <mergeCell ref="M25:M30"/>
    <mergeCell ref="G25:G30"/>
    <mergeCell ref="H25:H30"/>
    <mergeCell ref="I25:I30"/>
    <mergeCell ref="A25:A30"/>
    <mergeCell ref="B25:B30"/>
    <mergeCell ref="C25:C30"/>
    <mergeCell ref="D25:D30"/>
    <mergeCell ref="E25:E30"/>
    <mergeCell ref="F25:F30"/>
    <mergeCell ref="V19:V24"/>
    <mergeCell ref="W19:W24"/>
    <mergeCell ref="X19:X24"/>
    <mergeCell ref="N19:N24"/>
    <mergeCell ref="O19:O24"/>
    <mergeCell ref="J19:J24"/>
    <mergeCell ref="K19:K24"/>
    <mergeCell ref="L19:L24"/>
    <mergeCell ref="M19:M24"/>
    <mergeCell ref="AX19:AX24"/>
    <mergeCell ref="AY19:AY24"/>
    <mergeCell ref="AZ19:AZ24"/>
    <mergeCell ref="P19:P24"/>
    <mergeCell ref="Q19:Q24"/>
    <mergeCell ref="R19:R24"/>
    <mergeCell ref="S19:S24"/>
    <mergeCell ref="T19:T24"/>
    <mergeCell ref="U19:U24"/>
    <mergeCell ref="AZ13:AZ18"/>
    <mergeCell ref="A19:A24"/>
    <mergeCell ref="B19:B24"/>
    <mergeCell ref="C19:C24"/>
    <mergeCell ref="D19:D24"/>
    <mergeCell ref="E19:E24"/>
    <mergeCell ref="F19:F24"/>
    <mergeCell ref="G19:G24"/>
    <mergeCell ref="H19:H24"/>
    <mergeCell ref="I19:I24"/>
    <mergeCell ref="U13:U18"/>
    <mergeCell ref="V13:V18"/>
    <mergeCell ref="W13:W18"/>
    <mergeCell ref="X13:X18"/>
    <mergeCell ref="AX13:AX18"/>
    <mergeCell ref="AY13:AY18"/>
    <mergeCell ref="O13:O18"/>
    <mergeCell ref="P13:P18"/>
    <mergeCell ref="Q13:Q18"/>
    <mergeCell ref="R13:R18"/>
    <mergeCell ref="S13:S18"/>
    <mergeCell ref="T13:T18"/>
    <mergeCell ref="N13:N18"/>
    <mergeCell ref="I13:I18"/>
    <mergeCell ref="J13:J18"/>
    <mergeCell ref="K13:K18"/>
    <mergeCell ref="L13:L18"/>
    <mergeCell ref="M13:M18"/>
    <mergeCell ref="AY11:AY12"/>
    <mergeCell ref="AZ11:AZ12"/>
    <mergeCell ref="A13:A18"/>
    <mergeCell ref="B13:B18"/>
    <mergeCell ref="C13:C18"/>
    <mergeCell ref="D13:D18"/>
    <mergeCell ref="E13:E18"/>
    <mergeCell ref="F13:F18"/>
    <mergeCell ref="G13:G18"/>
    <mergeCell ref="H13:H18"/>
    <mergeCell ref="AS11:AS12"/>
    <mergeCell ref="AT11:AT12"/>
    <mergeCell ref="AU11:AU12"/>
    <mergeCell ref="AV11:AV12"/>
    <mergeCell ref="AW11:AW12"/>
    <mergeCell ref="AX11:AX12"/>
    <mergeCell ref="AM11:AM12"/>
    <mergeCell ref="AN11:AN12"/>
    <mergeCell ref="AO11:AO12"/>
    <mergeCell ref="AP11:AP12"/>
    <mergeCell ref="N11:N12"/>
    <mergeCell ref="O11:O12"/>
    <mergeCell ref="P11:P12"/>
    <mergeCell ref="Q11:Q12"/>
    <mergeCell ref="J11:J12"/>
    <mergeCell ref="K11:K12"/>
    <mergeCell ref="L11:L12"/>
    <mergeCell ref="M11:M12"/>
    <mergeCell ref="AX10:AZ10"/>
    <mergeCell ref="AQ11:AQ12"/>
    <mergeCell ref="AR11:AR12"/>
    <mergeCell ref="X11:X12"/>
    <mergeCell ref="Y11:Y12"/>
    <mergeCell ref="AC11:AC12"/>
    <mergeCell ref="AD11:AE11"/>
    <mergeCell ref="AF11:AF12"/>
    <mergeCell ref="AG11:AL11"/>
    <mergeCell ref="R11:R12"/>
    <mergeCell ref="S11:S12"/>
    <mergeCell ref="T11:T12"/>
    <mergeCell ref="U11:U12"/>
    <mergeCell ref="V11:V12"/>
    <mergeCell ref="W11:W12"/>
    <mergeCell ref="A11:A12"/>
    <mergeCell ref="B11:B12"/>
    <mergeCell ref="C11:C12"/>
    <mergeCell ref="D11:D12"/>
    <mergeCell ref="E11:E12"/>
    <mergeCell ref="F11:F12"/>
    <mergeCell ref="G11:G12"/>
    <mergeCell ref="H11:H12"/>
    <mergeCell ref="I11:I12"/>
    <mergeCell ref="A8:B8"/>
    <mergeCell ref="C8:W8"/>
    <mergeCell ref="AH8:AZ8"/>
    <mergeCell ref="A10:F10"/>
    <mergeCell ref="N10:X10"/>
    <mergeCell ref="Y10:AM10"/>
    <mergeCell ref="AN10:AR10"/>
    <mergeCell ref="AS10:AW10"/>
    <mergeCell ref="A6:B6"/>
    <mergeCell ref="C6:W6"/>
    <mergeCell ref="AC6:AG6"/>
    <mergeCell ref="AH6:AZ6"/>
    <mergeCell ref="A7:B7"/>
    <mergeCell ref="C7:W7"/>
    <mergeCell ref="AH7:AZ7"/>
    <mergeCell ref="A1:C4"/>
    <mergeCell ref="D1:W2"/>
    <mergeCell ref="AF1:AZ2"/>
    <mergeCell ref="D3:M3"/>
    <mergeCell ref="N3:W3"/>
    <mergeCell ref="AF3:AT3"/>
    <mergeCell ref="AU3:AZ3"/>
    <mergeCell ref="D4:W4"/>
    <mergeCell ref="AF4:AZ4"/>
  </mergeCells>
  <conditionalFormatting sqref="O13 O19 O25 O31 O37 O43 O49 O55 O61 O67">
    <cfRule type="cellIs" dxfId="397" priority="1" operator="equal">
      <formula>"Muy Alta"</formula>
    </cfRule>
    <cfRule type="cellIs" dxfId="396" priority="2" operator="equal">
      <formula>"Alta"</formula>
    </cfRule>
    <cfRule type="cellIs" dxfId="395" priority="3" operator="equal">
      <formula>"Media"</formula>
    </cfRule>
    <cfRule type="cellIs" dxfId="394" priority="4" operator="equal">
      <formula>"Baja"</formula>
    </cfRule>
    <cfRule type="cellIs" dxfId="393" priority="5" operator="equal">
      <formula>"Muy Baja"</formula>
    </cfRule>
  </conditionalFormatting>
  <conditionalFormatting sqref="S14:S18 S20:S24 S26:S30 S32:S36 S38:S42 S44:S48 S50:S54 S56:S60 S62:S66 S68:S72">
    <cfRule type="containsText" dxfId="392" priority="6" operator="containsText" text="❌">
      <formula>NOT(ISERROR(SEARCH("❌",S14)))</formula>
    </cfRule>
  </conditionalFormatting>
  <conditionalFormatting sqref="V13 V19 V25 V31 V37 V43 V49 V55 V61 V67">
    <cfRule type="cellIs" dxfId="391" priority="7" operator="equal">
      <formula>"Catastrófico"</formula>
    </cfRule>
    <cfRule type="cellIs" dxfId="390" priority="8" operator="equal">
      <formula>"Mayor"</formula>
    </cfRule>
    <cfRule type="cellIs" dxfId="389" priority="9" operator="equal">
      <formula>"Moderado"</formula>
    </cfRule>
    <cfRule type="cellIs" dxfId="388" priority="10" operator="equal">
      <formula>"Menor"</formula>
    </cfRule>
    <cfRule type="cellIs" dxfId="387" priority="11" operator="equal">
      <formula>"Leve"</formula>
    </cfRule>
    <cfRule type="cellIs" dxfId="386" priority="30" operator="equal">
      <formula>0</formula>
    </cfRule>
  </conditionalFormatting>
  <conditionalFormatting sqref="X13 X19 X25 X31 X37 X43 X49 X55 X61 X67">
    <cfRule type="cellIs" dxfId="385" priority="12" operator="equal">
      <formula>"Extremo"</formula>
    </cfRule>
    <cfRule type="cellIs" dxfId="384" priority="13" operator="equal">
      <formula>"Alto"</formula>
    </cfRule>
    <cfRule type="cellIs" dxfId="383" priority="14" operator="equal">
      <formula>"Moderado"</formula>
    </cfRule>
    <cfRule type="cellIs" dxfId="382" priority="15" operator="equal">
      <formula>"Bajo"</formula>
    </cfRule>
  </conditionalFormatting>
  <conditionalFormatting sqref="AN13:AN72">
    <cfRule type="cellIs" dxfId="381" priority="16" operator="equal">
      <formula>"Muy Alta"</formula>
    </cfRule>
    <cfRule type="cellIs" dxfId="380" priority="17" operator="equal">
      <formula>"Alta"</formula>
    </cfRule>
    <cfRule type="cellIs" dxfId="379" priority="18" operator="equal">
      <formula>"Media"</formula>
    </cfRule>
    <cfRule type="cellIs" dxfId="378" priority="19" operator="equal">
      <formula>"Baja"</formula>
    </cfRule>
    <cfRule type="cellIs" dxfId="377" priority="20" operator="equal">
      <formula>"Muy Baja"</formula>
    </cfRule>
  </conditionalFormatting>
  <conditionalFormatting sqref="AP13:AP72">
    <cfRule type="cellIs" dxfId="376" priority="21" operator="equal">
      <formula>"Catastrófico"</formula>
    </cfRule>
    <cfRule type="cellIs" dxfId="375" priority="22" operator="equal">
      <formula>"Mayor"</formula>
    </cfRule>
    <cfRule type="cellIs" dxfId="374" priority="23" operator="equal">
      <formula>"Moderado"</formula>
    </cfRule>
    <cfRule type="cellIs" dxfId="373" priority="24" operator="equal">
      <formula>"Menor"</formula>
    </cfRule>
    <cfRule type="cellIs" dxfId="372" priority="25" operator="equal">
      <formula>"Leve"</formula>
    </cfRule>
  </conditionalFormatting>
  <conditionalFormatting sqref="AR13:AR72">
    <cfRule type="cellIs" dxfId="371" priority="26" operator="equal">
      <formula>"Extremo"</formula>
    </cfRule>
    <cfRule type="cellIs" dxfId="370" priority="27" operator="equal">
      <formula>"Alto"</formula>
    </cfRule>
    <cfRule type="cellIs" dxfId="369" priority="28" operator="equal">
      <formula>"Moderado"</formula>
    </cfRule>
    <cfRule type="cellIs" dxfId="368" priority="29" operator="equal">
      <formula>"Bajo"</formula>
    </cfRule>
  </conditionalFormatting>
  <dataValidations count="1">
    <dataValidation type="list" allowBlank="1" showInputMessage="1" showErrorMessage="1" sqref="G13:G72 C6:W6 AJ13:AL72 AG13:AH72" xr:uid="{57597426-86EA-41CD-9A44-144C01CF7FCB}">
      <formula1>#REF!</formula1>
    </dataValidation>
  </dataValidations>
  <pageMargins left="0.70833333333333304" right="0.70833333333333304" top="0.74791666666666701" bottom="0.74861111111111101" header="0.511811023622047" footer="0.31527777777777799"/>
  <pageSetup scale="31" orientation="landscape" horizontalDpi="300" verticalDpi="300"/>
  <headerFooter>
    <oddFooter>&amp;LCalle 26 No. 69-76,Edificio Elemento ,   Torre Aire , Piso 3, CP-111071
PBX:(+57) 601-3779555 - Información: Línea 195
Sede Operativa: Calle 22D No. 120-40 
www.umv.gov.co&amp;CDES-FM-018
Página &amp;P de &amp;N</oddFooter>
  </headerFooter>
  <colBreaks count="1" manualBreakCount="1">
    <brk id="23" max="1048575" man="1"/>
  </colBreaks>
  <drawing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2F94C882-4C9D-455B-B06C-7C4AB01F3D22}">
          <x14:formula1>
            <xm:f>Listas!$E$4:$E$6</xm:f>
          </x14:formula1>
          <xm:sqref>B13:B72</xm:sqref>
        </x14:dataValidation>
        <x14:dataValidation type="list" allowBlank="1" showInputMessage="1" showErrorMessage="1" xr:uid="{10362F48-56C2-4E05-ACC4-629F73E36FF3}">
          <x14:formula1>
            <xm:f>Listas!$B$25:$B$27</xm:f>
          </x14:formula1>
          <xm:sqref>C13:C72</xm:sqref>
        </x14:dataValidation>
        <x14:dataValidation type="list" allowBlank="1" showInputMessage="1" showErrorMessage="1" xr:uid="{6291C15A-04B8-40FF-AF07-2F91F4B519BB}">
          <x14:formula1>
            <xm:f>Listas!$B$38:$B$45</xm:f>
          </x14:formula1>
          <xm:sqref>L13:L72</xm:sqref>
        </x14:dataValidation>
        <x14:dataValidation type="list" allowBlank="1" showInputMessage="1" showErrorMessage="1" xr:uid="{F83BFF32-87C0-4050-B0E3-A51DDFE9EDAF}">
          <x14:formula1>
            <xm:f>'Tabla Impacto'!$F$212:$F$216</xm:f>
          </x14:formula1>
          <xm:sqref>Q25:Q72</xm:sqref>
        </x14:dataValidation>
        <x14:dataValidation type="list" allowBlank="1" showInputMessage="1" showErrorMessage="1" xr:uid="{EC5FCE41-94E1-4DF1-9F06-CE8F1F71939C}">
          <x14:formula1>
            <xm:f>'Tabla Impacto'!$F$218:$F$222</xm:f>
          </x14:formula1>
          <xm:sqref>S25:S72</xm:sqref>
        </x14:dataValidation>
        <x14:dataValidation type="list" allowBlank="1" showInputMessage="1" showErrorMessage="1" xr:uid="{C6D29BB8-14D6-4816-BE41-8C4C89EC62C5}">
          <x14:formula1>
            <xm:f>Listas!$H$4:$H$8</xm:f>
          </x14:formula1>
          <xm:sqref>AA13:AA72</xm:sqref>
        </x14:dataValidation>
        <x14:dataValidation type="list" allowBlank="1" showInputMessage="1" showErrorMessage="1" xr:uid="{545F8715-8D92-46C1-984F-3EEC4D462044}">
          <x14:formula1>
            <xm:f>Listas!$A$87:$A$180</xm:f>
          </x14:formula1>
          <xm:sqref>AD13:AD72</xm:sqref>
        </x14:dataValidation>
        <x14:dataValidation type="list" allowBlank="1" showInputMessage="1" showErrorMessage="1" xr:uid="{1BB97592-EC39-4E3D-9A6E-907EEF5EEB44}">
          <x14:formula1>
            <xm:f>Listas!$B$4:$B$7</xm:f>
          </x14:formula1>
          <xm:sqref>AS13:AS72</xm:sqref>
        </x14:dataValidation>
        <x14:dataValidation type="list" allowBlank="1" showInputMessage="1" showErrorMessage="1" xr:uid="{870964A7-4391-492B-AEEE-D4B90984734C}">
          <x14:formula1>
            <xm:f>'Tabla Impacto'!$E$212:$E$216</xm:f>
          </x14:formula1>
          <xm:sqref>Q13:Q24</xm:sqref>
        </x14:dataValidation>
        <x14:dataValidation type="list" allowBlank="1" showInputMessage="1" showErrorMessage="1" xr:uid="{06237BE9-4D23-40B9-AD30-2F51944A4A6B}">
          <x14:formula1>
            <xm:f>'Tabla Impacto'!$C$216:$C$220</xm:f>
          </x14:formula1>
          <xm:sqref>S13:S24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B52F3-577A-4E5F-BF22-37E77AEFF3A9}">
  <sheetPr>
    <tabColor theme="5" tint="0.59999389629810485"/>
  </sheetPr>
  <dimension ref="A1:JP97"/>
  <sheetViews>
    <sheetView tabSelected="1" topLeftCell="A6" zoomScale="55" zoomScaleNormal="55" zoomScaleSheetLayoutView="50" zoomScalePageLayoutView="60" workbookViewId="0">
      <pane xSplit="2" ySplit="3" topLeftCell="C76" activePane="bottomRight" state="frozen"/>
      <selection activeCell="A6" sqref="A6"/>
      <selection pane="topRight" activeCell="C6" sqref="C6"/>
      <selection pane="bottomLeft" activeCell="A9" sqref="A9"/>
      <selection pane="bottomRight" activeCell="B9" sqref="B9:G92"/>
    </sheetView>
  </sheetViews>
  <sheetFormatPr baseColWidth="10" defaultColWidth="11.42578125" defaultRowHeight="15" x14ac:dyDescent="0.2"/>
  <cols>
    <col min="1" max="1" width="6.5703125" style="153" customWidth="1"/>
    <col min="2" max="2" width="20.28515625" style="153" customWidth="1"/>
    <col min="3" max="3" width="22.7109375" style="153" hidden="1" customWidth="1"/>
    <col min="4" max="4" width="39.140625" style="153" hidden="1" customWidth="1"/>
    <col min="5" max="5" width="32.42578125" style="303" hidden="1" customWidth="1"/>
    <col min="6" max="6" width="32.140625" style="153" hidden="1" customWidth="1"/>
    <col min="7" max="7" width="51.140625" style="153" customWidth="1"/>
    <col min="8" max="8" width="21" style="135" customWidth="1"/>
    <col min="9" max="9" width="14.28515625" style="135" customWidth="1"/>
    <col min="10" max="12" width="25.85546875" style="135" customWidth="1"/>
    <col min="13" max="13" width="19.42578125" style="135" customWidth="1"/>
    <col min="14" max="14" width="20.5703125" style="135" customWidth="1"/>
    <col min="15" max="15" width="16.7109375" style="154" customWidth="1"/>
    <col min="16" max="16" width="16.7109375" style="135" customWidth="1"/>
    <col min="17" max="17" width="20.42578125" style="135" hidden="1" customWidth="1"/>
    <col min="18" max="18" width="20.42578125" style="135" customWidth="1"/>
    <col min="19" max="19" width="35.85546875" style="135" hidden="1" customWidth="1"/>
    <col min="20" max="20" width="19" style="135" customWidth="1"/>
    <col min="21" max="21" width="17.5703125" style="135" hidden="1" customWidth="1"/>
    <col min="22" max="22" width="15" style="135" customWidth="1"/>
    <col min="23" max="23" width="5.140625" style="135" customWidth="1"/>
    <col min="24" max="24" width="29.85546875" style="135" hidden="1" customWidth="1"/>
    <col min="25" max="25" width="11.7109375" style="135" hidden="1" customWidth="1"/>
    <col min="26" max="26" width="33.5703125" style="135" hidden="1" customWidth="1"/>
    <col min="27" max="27" width="80.85546875" style="135" customWidth="1"/>
    <col min="28" max="28" width="19.7109375" style="135" hidden="1" customWidth="1"/>
    <col min="29" max="29" width="5.85546875" style="135" customWidth="1"/>
    <col min="30" max="30" width="6.85546875" style="135" customWidth="1"/>
    <col min="31" max="31" width="5" style="135" hidden="1" customWidth="1"/>
    <col min="32" max="32" width="5.5703125" style="135" customWidth="1"/>
    <col min="33" max="33" width="7.140625" style="135" customWidth="1"/>
    <col min="34" max="34" width="6.7109375" style="135" customWidth="1"/>
    <col min="35" max="35" width="7.5703125" style="135" hidden="1" customWidth="1"/>
    <col min="36" max="36" width="8.5703125" style="135" customWidth="1"/>
    <col min="37" max="37" width="10.85546875" style="135" hidden="1" customWidth="1"/>
    <col min="38" max="38" width="10.85546875" style="135" customWidth="1"/>
    <col min="39" max="39" width="10.85546875" style="135" hidden="1" customWidth="1"/>
    <col min="40" max="41" width="10.85546875" style="135" customWidth="1"/>
    <col min="42" max="42" width="33.28515625" style="152" customWidth="1"/>
    <col min="43" max="43" width="23" style="135" customWidth="1"/>
    <col min="44" max="44" width="18.85546875" style="135" customWidth="1"/>
    <col min="45" max="45" width="23.7109375" style="135" customWidth="1"/>
    <col min="46" max="46" width="38.28515625" style="135" customWidth="1"/>
    <col min="47" max="47" width="16.42578125" style="135" customWidth="1"/>
    <col min="48" max="48" width="20.5703125" style="135" customWidth="1"/>
    <col min="49" max="16384" width="11.42578125" style="135"/>
  </cols>
  <sheetData>
    <row r="1" spans="1:276" s="137" customFormat="1" ht="21" thickBot="1" x14ac:dyDescent="0.35">
      <c r="A1" s="439"/>
      <c r="B1" s="440"/>
      <c r="C1" s="441"/>
      <c r="D1" s="442"/>
      <c r="E1" s="461" t="s">
        <v>1059</v>
      </c>
      <c r="F1" s="461"/>
      <c r="G1" s="461"/>
      <c r="H1" s="461"/>
      <c r="I1" s="461"/>
      <c r="J1" s="461"/>
      <c r="K1" s="461"/>
      <c r="L1" s="461"/>
      <c r="M1" s="461"/>
      <c r="N1" s="461"/>
      <c r="O1" s="461"/>
      <c r="P1" s="461"/>
      <c r="Q1" s="461"/>
      <c r="R1" s="461"/>
      <c r="S1" s="461"/>
      <c r="T1" s="461"/>
      <c r="U1" s="461"/>
      <c r="V1" s="175"/>
      <c r="W1" s="175"/>
      <c r="X1" s="175"/>
      <c r="Y1" s="175"/>
      <c r="Z1" s="175"/>
      <c r="AA1" s="175"/>
      <c r="AB1" s="458"/>
      <c r="AC1" s="458"/>
      <c r="AD1" s="458"/>
      <c r="AE1" s="458"/>
      <c r="AF1" s="458"/>
      <c r="AG1" s="458"/>
      <c r="AH1" s="458"/>
      <c r="AI1" s="458"/>
      <c r="AJ1" s="458"/>
      <c r="AK1" s="458"/>
      <c r="AL1" s="458"/>
      <c r="AM1" s="458"/>
      <c r="AN1" s="458"/>
      <c r="AO1" s="458"/>
      <c r="AP1" s="458"/>
      <c r="AQ1" s="458"/>
      <c r="AR1" s="458"/>
      <c r="AS1" s="458"/>
      <c r="AT1" s="458"/>
      <c r="AU1" s="458"/>
      <c r="AV1" s="458"/>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row>
    <row r="2" spans="1:276" s="137" customFormat="1" ht="21" thickBot="1" x14ac:dyDescent="0.35">
      <c r="A2" s="443"/>
      <c r="B2" s="444"/>
      <c r="C2" s="445"/>
      <c r="D2" s="446"/>
      <c r="E2" s="461"/>
      <c r="F2" s="461"/>
      <c r="G2" s="461"/>
      <c r="H2" s="461"/>
      <c r="I2" s="461"/>
      <c r="J2" s="461"/>
      <c r="K2" s="461"/>
      <c r="L2" s="461"/>
      <c r="M2" s="461"/>
      <c r="N2" s="461"/>
      <c r="O2" s="461"/>
      <c r="P2" s="461"/>
      <c r="Q2" s="461"/>
      <c r="R2" s="461"/>
      <c r="S2" s="461"/>
      <c r="T2" s="461"/>
      <c r="U2" s="461"/>
      <c r="V2" s="175"/>
      <c r="W2" s="175"/>
      <c r="X2" s="175"/>
      <c r="Y2" s="175"/>
      <c r="Z2" s="175"/>
      <c r="AA2" s="175"/>
      <c r="AB2" s="458"/>
      <c r="AC2" s="458"/>
      <c r="AD2" s="458"/>
      <c r="AE2" s="458"/>
      <c r="AF2" s="458"/>
      <c r="AG2" s="458"/>
      <c r="AH2" s="458"/>
      <c r="AI2" s="458"/>
      <c r="AJ2" s="458"/>
      <c r="AK2" s="458"/>
      <c r="AL2" s="458"/>
      <c r="AM2" s="458"/>
      <c r="AN2" s="458"/>
      <c r="AO2" s="458"/>
      <c r="AP2" s="458"/>
      <c r="AQ2" s="458"/>
      <c r="AR2" s="458"/>
      <c r="AS2" s="458"/>
      <c r="AT2" s="458"/>
      <c r="AU2" s="458"/>
      <c r="AV2" s="458"/>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row>
    <row r="3" spans="1:276" s="137" customFormat="1" ht="27.75" customHeight="1" thickBot="1" x14ac:dyDescent="0.35">
      <c r="A3" s="443"/>
      <c r="B3" s="444"/>
      <c r="C3" s="445"/>
      <c r="D3" s="446"/>
      <c r="E3" s="462" t="s">
        <v>575</v>
      </c>
      <c r="F3" s="462"/>
      <c r="G3" s="462"/>
      <c r="H3" s="462"/>
      <c r="I3" s="462"/>
      <c r="J3" s="462"/>
      <c r="K3" s="462" t="s">
        <v>340</v>
      </c>
      <c r="L3" s="462"/>
      <c r="M3" s="462"/>
      <c r="N3" s="462"/>
      <c r="O3" s="462"/>
      <c r="P3" s="462"/>
      <c r="Q3" s="462"/>
      <c r="R3" s="462"/>
      <c r="S3" s="462"/>
      <c r="T3" s="462"/>
      <c r="U3" s="462"/>
      <c r="V3" s="175"/>
      <c r="W3" s="175"/>
      <c r="X3" s="175"/>
      <c r="Y3" s="175"/>
      <c r="Z3" s="175"/>
      <c r="AA3" s="175"/>
      <c r="AB3" s="459"/>
      <c r="AC3" s="459"/>
      <c r="AD3" s="459"/>
      <c r="AE3" s="459"/>
      <c r="AF3" s="459"/>
      <c r="AG3" s="459"/>
      <c r="AH3" s="459"/>
      <c r="AI3" s="459"/>
      <c r="AJ3" s="459"/>
      <c r="AK3" s="459"/>
      <c r="AL3" s="459"/>
      <c r="AM3" s="459"/>
      <c r="AN3" s="459"/>
      <c r="AO3" s="459"/>
      <c r="AP3" s="459"/>
      <c r="AQ3" s="459"/>
      <c r="AR3" s="459"/>
      <c r="AS3" s="459"/>
      <c r="AT3" s="459"/>
      <c r="AU3" s="459"/>
      <c r="AV3" s="459"/>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row>
    <row r="4" spans="1:276" s="137" customFormat="1" ht="27.75" customHeight="1" thickBot="1" x14ac:dyDescent="0.35">
      <c r="A4" s="447"/>
      <c r="B4" s="448"/>
      <c r="C4" s="449"/>
      <c r="D4" s="450"/>
      <c r="E4" s="462" t="s">
        <v>576</v>
      </c>
      <c r="F4" s="462"/>
      <c r="G4" s="462"/>
      <c r="H4" s="462"/>
      <c r="I4" s="462"/>
      <c r="J4" s="462"/>
      <c r="K4" s="462"/>
      <c r="L4" s="462"/>
      <c r="M4" s="462"/>
      <c r="N4" s="462"/>
      <c r="O4" s="462"/>
      <c r="P4" s="462"/>
      <c r="Q4" s="462"/>
      <c r="R4" s="462"/>
      <c r="S4" s="462"/>
      <c r="T4" s="462"/>
      <c r="U4" s="462"/>
      <c r="V4" s="175"/>
      <c r="W4" s="175"/>
      <c r="X4" s="175"/>
      <c r="Y4" s="175"/>
      <c r="Z4" s="175"/>
      <c r="AA4" s="175"/>
      <c r="AB4" s="459"/>
      <c r="AC4" s="459"/>
      <c r="AD4" s="459"/>
      <c r="AE4" s="459"/>
      <c r="AF4" s="459"/>
      <c r="AG4" s="459"/>
      <c r="AH4" s="459"/>
      <c r="AI4" s="459"/>
      <c r="AJ4" s="459"/>
      <c r="AK4" s="459"/>
      <c r="AL4" s="459"/>
      <c r="AM4" s="459"/>
      <c r="AN4" s="459"/>
      <c r="AO4" s="459"/>
      <c r="AP4" s="459"/>
      <c r="AQ4" s="459"/>
      <c r="AR4" s="459"/>
      <c r="AS4" s="459"/>
      <c r="AT4" s="459"/>
      <c r="AU4" s="459"/>
      <c r="AV4" s="459"/>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row>
    <row r="5" spans="1:276" ht="15.75" x14ac:dyDescent="0.2">
      <c r="A5" s="138"/>
      <c r="B5" s="142" t="s">
        <v>1060</v>
      </c>
      <c r="C5" s="142">
        <v>2025</v>
      </c>
      <c r="D5" s="138"/>
      <c r="E5" s="139"/>
      <c r="F5" s="138"/>
      <c r="G5" s="138"/>
      <c r="H5" s="140"/>
      <c r="I5" s="140"/>
      <c r="J5" s="140"/>
      <c r="K5" s="140"/>
      <c r="L5" s="140"/>
      <c r="M5" s="140"/>
      <c r="N5" s="140"/>
      <c r="O5" s="141"/>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77"/>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row>
    <row r="6" spans="1:276" ht="27.75" customHeight="1" x14ac:dyDescent="0.2">
      <c r="A6" s="682" t="s">
        <v>345</v>
      </c>
      <c r="B6" s="683"/>
      <c r="C6" s="683"/>
      <c r="D6" s="683"/>
      <c r="E6" s="683"/>
      <c r="F6" s="683"/>
      <c r="G6" s="683"/>
      <c r="H6" s="684"/>
      <c r="I6" s="474" t="s">
        <v>346</v>
      </c>
      <c r="J6" s="475"/>
      <c r="K6" s="475"/>
      <c r="L6" s="476"/>
      <c r="M6" s="689" t="s">
        <v>347</v>
      </c>
      <c r="N6" s="690"/>
      <c r="O6" s="474" t="s">
        <v>348</v>
      </c>
      <c r="P6" s="475"/>
      <c r="Q6" s="475"/>
      <c r="R6" s="475"/>
      <c r="S6" s="475"/>
      <c r="T6" s="475"/>
      <c r="U6" s="475"/>
      <c r="V6" s="475"/>
      <c r="W6" s="683" t="s">
        <v>349</v>
      </c>
      <c r="X6" s="683"/>
      <c r="Y6" s="683"/>
      <c r="Z6" s="683"/>
      <c r="AA6" s="683"/>
      <c r="AB6" s="683"/>
      <c r="AC6" s="683"/>
      <c r="AD6" s="683"/>
      <c r="AE6" s="683"/>
      <c r="AF6" s="683"/>
      <c r="AG6" s="683"/>
      <c r="AH6" s="683"/>
      <c r="AI6" s="684"/>
      <c r="AJ6" s="477" t="s">
        <v>350</v>
      </c>
      <c r="AK6" s="478"/>
      <c r="AL6" s="478"/>
      <c r="AM6" s="478"/>
      <c r="AN6" s="479"/>
      <c r="AO6" s="682" t="s">
        <v>351</v>
      </c>
      <c r="AP6" s="683"/>
      <c r="AQ6" s="683"/>
      <c r="AR6" s="683"/>
      <c r="AS6" s="684"/>
      <c r="AT6" s="474" t="s">
        <v>352</v>
      </c>
      <c r="AU6" s="475"/>
      <c r="AV6" s="476"/>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row>
    <row r="7" spans="1:276" ht="15.75" customHeight="1" x14ac:dyDescent="0.2">
      <c r="A7" s="685" t="s">
        <v>353</v>
      </c>
      <c r="B7" s="681" t="s">
        <v>342</v>
      </c>
      <c r="C7" s="681" t="s">
        <v>423</v>
      </c>
      <c r="D7" s="681" t="s">
        <v>424</v>
      </c>
      <c r="E7" s="687" t="s">
        <v>425</v>
      </c>
      <c r="F7" s="681" t="s">
        <v>357</v>
      </c>
      <c r="G7" s="681" t="s">
        <v>358</v>
      </c>
      <c r="H7" s="681" t="s">
        <v>1</v>
      </c>
      <c r="I7" s="468" t="s">
        <v>56</v>
      </c>
      <c r="J7" s="468" t="s">
        <v>359</v>
      </c>
      <c r="K7" s="468" t="s">
        <v>360</v>
      </c>
      <c r="L7" s="468" t="s">
        <v>361</v>
      </c>
      <c r="M7" s="689"/>
      <c r="N7" s="690"/>
      <c r="O7" s="481" t="s">
        <v>362</v>
      </c>
      <c r="P7" s="481" t="s">
        <v>363</v>
      </c>
      <c r="Q7" s="679" t="s">
        <v>364</v>
      </c>
      <c r="R7" s="481" t="s">
        <v>426</v>
      </c>
      <c r="S7" s="481" t="s">
        <v>366</v>
      </c>
      <c r="T7" s="481" t="s">
        <v>367</v>
      </c>
      <c r="U7" s="679" t="s">
        <v>364</v>
      </c>
      <c r="V7" s="481" t="s">
        <v>368</v>
      </c>
      <c r="W7" s="680" t="s">
        <v>369</v>
      </c>
      <c r="X7" s="190"/>
      <c r="Y7" s="190"/>
      <c r="Z7" s="190"/>
      <c r="AA7" s="681" t="s">
        <v>2</v>
      </c>
      <c r="AB7" s="681" t="s">
        <v>3</v>
      </c>
      <c r="AC7" s="681" t="s">
        <v>370</v>
      </c>
      <c r="AD7" s="681"/>
      <c r="AE7" s="681"/>
      <c r="AF7" s="681"/>
      <c r="AG7" s="681"/>
      <c r="AH7" s="681"/>
      <c r="AI7" s="680" t="s">
        <v>371</v>
      </c>
      <c r="AJ7" s="463" t="s">
        <v>372</v>
      </c>
      <c r="AK7" s="463" t="s">
        <v>364</v>
      </c>
      <c r="AL7" s="463" t="s">
        <v>373</v>
      </c>
      <c r="AM7" s="463" t="s">
        <v>364</v>
      </c>
      <c r="AN7" s="463" t="s">
        <v>374</v>
      </c>
      <c r="AO7" s="680" t="s">
        <v>4</v>
      </c>
      <c r="AP7" s="681" t="s">
        <v>375</v>
      </c>
      <c r="AQ7" s="681" t="s">
        <v>376</v>
      </c>
      <c r="AR7" s="681" t="s">
        <v>377</v>
      </c>
      <c r="AS7" s="681" t="s">
        <v>378</v>
      </c>
      <c r="AT7" s="481" t="s">
        <v>379</v>
      </c>
      <c r="AU7" s="481" t="s">
        <v>380</v>
      </c>
      <c r="AV7" s="481" t="s">
        <v>383</v>
      </c>
      <c r="AW7" s="140"/>
      <c r="AX7" s="140"/>
      <c r="AY7" s="140"/>
      <c r="AZ7" s="140"/>
      <c r="BA7" s="140"/>
      <c r="BB7" s="140"/>
      <c r="BC7" s="140"/>
      <c r="BD7" s="140"/>
      <c r="BE7" s="140"/>
      <c r="BF7" s="140"/>
      <c r="BG7" s="140"/>
      <c r="BH7" s="140"/>
      <c r="BI7" s="140"/>
      <c r="BJ7" s="140"/>
      <c r="BK7" s="140"/>
      <c r="BL7" s="140"/>
      <c r="BM7" s="140"/>
      <c r="BN7" s="140"/>
      <c r="BO7" s="140"/>
      <c r="BP7" s="140"/>
      <c r="BQ7" s="140"/>
      <c r="BR7" s="140"/>
      <c r="BS7" s="140"/>
    </row>
    <row r="8" spans="1:276" s="148" customFormat="1" ht="56.25" customHeight="1" x14ac:dyDescent="0.25">
      <c r="A8" s="685"/>
      <c r="B8" s="686"/>
      <c r="C8" s="686"/>
      <c r="D8" s="681"/>
      <c r="E8" s="688"/>
      <c r="F8" s="681"/>
      <c r="G8" s="686"/>
      <c r="H8" s="681"/>
      <c r="I8" s="469"/>
      <c r="J8" s="469"/>
      <c r="K8" s="469"/>
      <c r="L8" s="469"/>
      <c r="M8" s="189" t="s">
        <v>381</v>
      </c>
      <c r="N8" s="189" t="s">
        <v>382</v>
      </c>
      <c r="O8" s="481"/>
      <c r="P8" s="481"/>
      <c r="Q8" s="679"/>
      <c r="R8" s="481"/>
      <c r="S8" s="481"/>
      <c r="T8" s="679"/>
      <c r="U8" s="679"/>
      <c r="V8" s="481"/>
      <c r="W8" s="680"/>
      <c r="X8" s="188" t="s">
        <v>383</v>
      </c>
      <c r="Y8" s="188" t="s">
        <v>379</v>
      </c>
      <c r="Z8" s="188" t="s">
        <v>384</v>
      </c>
      <c r="AA8" s="681"/>
      <c r="AB8" s="681"/>
      <c r="AC8" s="187" t="s">
        <v>385</v>
      </c>
      <c r="AD8" s="187" t="s">
        <v>386</v>
      </c>
      <c r="AE8" s="187" t="s">
        <v>387</v>
      </c>
      <c r="AF8" s="187" t="s">
        <v>388</v>
      </c>
      <c r="AG8" s="187" t="s">
        <v>389</v>
      </c>
      <c r="AH8" s="187" t="s">
        <v>390</v>
      </c>
      <c r="AI8" s="680"/>
      <c r="AJ8" s="463"/>
      <c r="AK8" s="463"/>
      <c r="AL8" s="463"/>
      <c r="AM8" s="463"/>
      <c r="AN8" s="463"/>
      <c r="AO8" s="680"/>
      <c r="AP8" s="681"/>
      <c r="AQ8" s="681"/>
      <c r="AR8" s="681"/>
      <c r="AS8" s="681"/>
      <c r="AT8" s="481"/>
      <c r="AU8" s="481"/>
      <c r="AV8" s="481"/>
      <c r="AW8" s="146"/>
      <c r="AX8" s="146"/>
      <c r="AY8" s="146"/>
      <c r="AZ8" s="146"/>
      <c r="BA8" s="146"/>
      <c r="BB8" s="146"/>
      <c r="BC8" s="146"/>
      <c r="BD8" s="146"/>
      <c r="BE8" s="146"/>
      <c r="BF8" s="146"/>
      <c r="BG8" s="146"/>
      <c r="BH8" s="146"/>
      <c r="BI8" s="146"/>
      <c r="BJ8" s="146"/>
      <c r="BK8" s="146"/>
      <c r="BL8" s="146"/>
      <c r="BM8" s="146"/>
      <c r="BN8" s="146"/>
      <c r="BO8" s="146"/>
      <c r="BP8" s="146"/>
      <c r="BQ8" s="146"/>
      <c r="BR8" s="146"/>
      <c r="BS8" s="146"/>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c r="DB8" s="147"/>
      <c r="DC8" s="147"/>
      <c r="DD8" s="147"/>
      <c r="DE8" s="147"/>
      <c r="DF8" s="147"/>
      <c r="DG8" s="147"/>
      <c r="DH8" s="147"/>
      <c r="DI8" s="147"/>
      <c r="DJ8" s="147"/>
      <c r="DK8" s="147"/>
      <c r="DL8" s="147"/>
      <c r="DM8" s="147"/>
      <c r="DN8" s="147"/>
      <c r="DO8" s="147"/>
      <c r="DP8" s="147"/>
      <c r="DQ8" s="147"/>
      <c r="DR8" s="147"/>
      <c r="DS8" s="147"/>
      <c r="DT8" s="147"/>
      <c r="DU8" s="147"/>
      <c r="DV8" s="147"/>
      <c r="DW8" s="147"/>
      <c r="DX8" s="147"/>
      <c r="DY8" s="147"/>
      <c r="DZ8" s="147"/>
      <c r="EA8" s="147"/>
      <c r="EB8" s="147"/>
      <c r="EC8" s="147"/>
      <c r="ED8" s="147"/>
      <c r="EE8" s="147"/>
      <c r="EF8" s="147"/>
      <c r="EG8" s="147"/>
      <c r="EH8" s="147"/>
      <c r="EI8" s="147"/>
      <c r="EJ8" s="147"/>
      <c r="EK8" s="147"/>
      <c r="EL8" s="147"/>
      <c r="EM8" s="147"/>
      <c r="EN8" s="147"/>
      <c r="EO8" s="147"/>
      <c r="EP8" s="147"/>
      <c r="EQ8" s="147"/>
      <c r="ER8" s="147"/>
      <c r="ES8" s="147"/>
      <c r="ET8" s="147"/>
      <c r="EU8" s="147"/>
      <c r="EV8" s="147"/>
      <c r="EW8" s="147"/>
      <c r="EX8" s="147"/>
      <c r="EY8" s="147"/>
      <c r="EZ8" s="147"/>
      <c r="FA8" s="147"/>
      <c r="FB8" s="147"/>
      <c r="FC8" s="147"/>
      <c r="FD8" s="147"/>
      <c r="FE8" s="147"/>
      <c r="FF8" s="147"/>
      <c r="FG8" s="147"/>
      <c r="FH8" s="147"/>
      <c r="FI8" s="147"/>
      <c r="FJ8" s="147"/>
      <c r="FK8" s="147"/>
      <c r="FL8" s="147"/>
      <c r="FM8" s="147"/>
      <c r="FN8" s="147"/>
      <c r="FO8" s="147"/>
      <c r="FP8" s="147"/>
      <c r="FQ8" s="147"/>
      <c r="FR8" s="147"/>
      <c r="FS8" s="147"/>
      <c r="FT8" s="147"/>
      <c r="FU8" s="147"/>
      <c r="FV8" s="147"/>
      <c r="FW8" s="147"/>
      <c r="FX8" s="147"/>
      <c r="FY8" s="147"/>
      <c r="FZ8" s="147"/>
      <c r="GA8" s="147"/>
      <c r="GB8" s="147"/>
      <c r="GC8" s="147"/>
      <c r="GD8" s="147"/>
      <c r="GE8" s="147"/>
      <c r="GF8" s="147"/>
      <c r="GG8" s="147"/>
      <c r="GH8" s="147"/>
      <c r="GI8" s="147"/>
      <c r="GJ8" s="147"/>
      <c r="GK8" s="147"/>
      <c r="GL8" s="147"/>
      <c r="GM8" s="147"/>
      <c r="GN8" s="147"/>
      <c r="GO8" s="147"/>
      <c r="GP8" s="147"/>
      <c r="GQ8" s="147"/>
      <c r="GR8" s="147"/>
      <c r="GS8" s="147"/>
      <c r="GT8" s="147"/>
      <c r="GU8" s="147"/>
      <c r="GV8" s="147"/>
      <c r="GW8" s="147"/>
      <c r="GX8" s="147"/>
      <c r="GY8" s="147"/>
      <c r="GZ8" s="147"/>
      <c r="HA8" s="147"/>
      <c r="HB8" s="147"/>
      <c r="HC8" s="147"/>
      <c r="HD8" s="147"/>
      <c r="HE8" s="147"/>
      <c r="HF8" s="147"/>
      <c r="HG8" s="147"/>
      <c r="HH8" s="147"/>
      <c r="HI8" s="147"/>
      <c r="HJ8" s="147"/>
      <c r="HK8" s="147"/>
      <c r="HL8" s="147"/>
      <c r="HM8" s="147"/>
      <c r="HN8" s="147"/>
      <c r="HO8" s="147"/>
      <c r="HP8" s="147"/>
      <c r="HQ8" s="147"/>
      <c r="HR8" s="147"/>
      <c r="HS8" s="147"/>
      <c r="HT8" s="147"/>
      <c r="HU8" s="147"/>
      <c r="HV8" s="147"/>
      <c r="HW8" s="147"/>
      <c r="HX8" s="147"/>
      <c r="HY8" s="147"/>
      <c r="HZ8" s="147"/>
      <c r="IA8" s="147"/>
      <c r="IB8" s="147"/>
      <c r="IC8" s="147"/>
      <c r="ID8" s="147"/>
      <c r="IE8" s="147"/>
      <c r="IF8" s="147"/>
      <c r="IG8" s="147"/>
      <c r="IH8" s="147"/>
      <c r="II8" s="147"/>
      <c r="IJ8" s="147"/>
      <c r="IK8" s="147"/>
      <c r="IL8" s="147"/>
      <c r="IM8" s="147"/>
      <c r="IN8" s="147"/>
      <c r="IO8" s="147"/>
      <c r="IP8" s="147"/>
      <c r="IQ8" s="147"/>
      <c r="IR8" s="147"/>
      <c r="IS8" s="147"/>
      <c r="IT8" s="147"/>
      <c r="IU8" s="147"/>
      <c r="IV8" s="147"/>
      <c r="IW8" s="147"/>
      <c r="IX8" s="147"/>
      <c r="IY8" s="147"/>
      <c r="IZ8" s="147"/>
      <c r="JA8" s="147"/>
      <c r="JB8" s="147"/>
      <c r="JC8" s="147"/>
      <c r="JD8" s="147"/>
      <c r="JE8" s="147"/>
      <c r="JF8" s="147"/>
      <c r="JG8" s="147"/>
      <c r="JH8" s="147"/>
      <c r="JI8" s="147"/>
      <c r="JJ8" s="147"/>
      <c r="JK8" s="147"/>
      <c r="JL8" s="147"/>
      <c r="JM8" s="147"/>
      <c r="JN8" s="147"/>
      <c r="JO8" s="147"/>
      <c r="JP8" s="147"/>
    </row>
    <row r="9" spans="1:276" s="150" customFormat="1" ht="273.75" customHeight="1" x14ac:dyDescent="0.25">
      <c r="A9" s="398">
        <v>1</v>
      </c>
      <c r="B9" s="401" t="s">
        <v>548</v>
      </c>
      <c r="C9" s="401" t="s">
        <v>32</v>
      </c>
      <c r="D9" s="401" t="s">
        <v>686</v>
      </c>
      <c r="E9" s="401" t="s">
        <v>687</v>
      </c>
      <c r="F9" s="401" t="s">
        <v>688</v>
      </c>
      <c r="G9" s="401" t="str">
        <f>+CONCATENATE(C9," ",D9)</f>
        <v>Posibilidad de recibir o solicitar cualquier dádiva o beneficio Por manipular, alterar, entregar documentación y/o información, que ingresa a la entidad a partir de la recepción de las peticiones, Quejas, Reclamos, Felicitaciones o Denuncias para uso personal o favorecer a un tercero</v>
      </c>
      <c r="H9" s="400" t="s">
        <v>85</v>
      </c>
      <c r="I9" s="402" t="s">
        <v>59</v>
      </c>
      <c r="J9" s="420" t="s">
        <v>689</v>
      </c>
      <c r="K9" s="420" t="s">
        <v>690</v>
      </c>
      <c r="L9" s="420" t="s">
        <v>691</v>
      </c>
      <c r="M9" s="402" t="s">
        <v>77</v>
      </c>
      <c r="N9" s="402" t="s">
        <v>46</v>
      </c>
      <c r="O9" s="416">
        <v>6681</v>
      </c>
      <c r="P9" s="417" t="str">
        <f>IF(O9&lt;=0,"",IF(O9&lt;=2,"Muy Baja",IF(O9&lt;=24,"Baja",IF(O9&lt;=500,"Media",IF(O9&lt;=5000,"Alta","Muy Alta")))))</f>
        <v>Muy Alta</v>
      </c>
      <c r="Q9" s="405">
        <f>IF(P9="","",IF(P9="Muy Baja",0.2,IF(P9="Baja",0.4,IF(P9="Media",0.6,IF(P9="Alta",0.8,IF(P9="Muy Alta",1,))))))</f>
        <v>1</v>
      </c>
      <c r="R9" s="406" t="s">
        <v>427</v>
      </c>
      <c r="S9" s="405" t="str">
        <f>IF(NOT(ISERROR(MATCH(R9,'[3]Tabla Impacto'!$B$245:$B$247,0))),'[3]Tabla Impacto'!$F$224&amp;"Por favor no seleccionar los criterios de impacto(Afectación Económica o presupuestal y Pérdida Reputacional)",R9)</f>
        <v xml:space="preserve">     El riesgo afecta la imagen de de la entidad con efecto publicitario sostenido a nivel de sector administrativo, nivel departamental o municipal</v>
      </c>
      <c r="T9" s="417" t="str">
        <f>IF(OR(S9='[3]Tabla Impacto'!$C$12,S9='[3]Tabla Impacto'!$D$12),"Leve",IF(OR(S9='[3]Tabla Impacto'!$C$13,S9='[3]Tabla Impacto'!$D$13),"Menor",IF(OR(S9='[3]Tabla Impacto'!$C$14,S9='[3]Tabla Impacto'!$D$14),"Moderado",IF(OR(S9='[3]Tabla Impacto'!$C$15,S9='[3]Tabla Impacto'!$D$15),"Mayor",IF(OR(S9='[3]Tabla Impacto'!$C$16,S9='[3]Tabla Impacto'!$D$16),"Catastrófico","")))))</f>
        <v>Mayor</v>
      </c>
      <c r="U9" s="405">
        <f>IF(T9="","",IF(T9="Leve",0.2,IF(T9="Menor",0.4,IF(T9="Moderado",0.6,IF(T9="Mayor",0.8,IF(T9="Catastrófico",1,))))))</f>
        <v>0.8</v>
      </c>
      <c r="V9" s="418" t="str">
        <f>IF(OR(AND(P9="Muy Baja",T9="Leve"),AND(P9="Muy Baja",T9="Menor"),AND(P9="Baja",T9="Leve")),"Bajo",IF(OR(AND(P9="Muy baja",T9="Moderado"),AND(P9="Baja",T9="Menor"),AND(P9="Baja",T9="Moderado"),AND(P9="Media",T9="Leve"),AND(P9="Media",T9="Menor"),AND(P9="Media",T9="Moderado"),AND(P9="Alta",T9="Leve"),AND(P9="Alta",T9="Menor")),"Moderado",IF(OR(AND(P9="Muy Baja",T9="Mayor"),AND(P9="Baja",T9="Mayor"),AND(P9="Media",T9="Mayor"),AND(P9="Alta",T9="Moderado"),AND(P9="Alta",T9="Mayor"),AND(P9="Muy Alta",T9="Leve"),AND(P9="Muy Alta",T9="Menor"),AND(P9="Muy Alta",T9="Moderado"),AND(P9="Muy Alta",T9="Mayor")),"Alto",IF(OR(AND(P9="Muy Baja",T9="Catastrófico"),AND(P9="Baja",T9="Catastrófico"),AND(P9="Media",T9="Catastrófico"),AND(P9="Alta",T9="Catastrófico"),AND(P9="Muy Alta",T9="Catastrófico")),"Extremo",""))))</f>
        <v>Alto</v>
      </c>
      <c r="W9" s="149">
        <v>1</v>
      </c>
      <c r="X9" s="182" t="s">
        <v>692</v>
      </c>
      <c r="Y9" s="182" t="s">
        <v>52</v>
      </c>
      <c r="Z9" s="182" t="s">
        <v>693</v>
      </c>
      <c r="AA9" s="304" t="str">
        <f>+CONCATENATE(X9," ",Y9," ",Z9)</f>
        <v>El contratista designado por el Jefe de la Oficina de Servicio a la Ciudadanía y Sostenibilidad Revisa  Cuatrimestralmente, que todos los contratistas, servidores publicos, director general, jefes o encargados de servicio a la ciudadanía y de correspondencia, así como los funcionarios y colaboradores que hacen parte del ciclo de gestión de las denuncias y peticiones en general, hayan suscrito el compromiso de confidencialidad, reserva y no divulgación de la información, el cual debe ser archivado en sus hojas de vida o carpeta contractual, según corresponda. Estos acuerdos son firmados una unica vez cuando ingresan a la entidad, y no es necesarios firmarse de manera periodica a menos que haya un cambio de formato o de directriz por parte de la Secretaria General de la Alcaldía Mayor de Bogotá. Como evidencia de esta acción se cuenta con formatos de confidencialidad firmados una unica vez, así como memorandos enviados a Talento Humano y Gerencia Administrativa y Financiera con la solicitud de inclusión de estos acuerdos en las hojas de vida y expedientes contractuales. Del mismo modo, acta de reunión firmada por los delegados del jefe de la OSCS, donde se verifique el buen diligenciamiento  y que todos los involucrados cuenten con estos formatos de confidencialidad firmados.
En caso de evidenciar que los formatos de confidencialidad y los memorandos no se han firmado y remitido a talento humano, se procederá de inmediato a surtir dicha acción</v>
      </c>
      <c r="AB9" s="126" t="str">
        <f t="shared" ref="AB9:AB14" si="0">IF(OR(AC9="Preventivo",AC9="Detectivo"),"Probabilidad",IF(AC9="Correctivo","Impacto",""))</f>
        <v>Probabilidad</v>
      </c>
      <c r="AC9" s="127" t="s">
        <v>398</v>
      </c>
      <c r="AD9" s="127" t="s">
        <v>394</v>
      </c>
      <c r="AE9" s="128" t="str">
        <f>IF(AND(AC9="Preventivo",AD9="Automático"),"50%",IF(AND(AC9="Preventivo",AD9="Manual"),"40%",IF(AND(AC9="Detectivo",AD9="Automático"),"40%",IF(AND(AC9="Detectivo",AD9="Manual"),"30%",IF(AND(AC9="Correctivo",AD9="Automático"),"35%",IF(AND(AC9="Correctivo",AD9="Manual"),"25%",""))))))</f>
        <v>40%</v>
      </c>
      <c r="AF9" s="127" t="s">
        <v>395</v>
      </c>
      <c r="AG9" s="127" t="s">
        <v>396</v>
      </c>
      <c r="AH9" s="127" t="s">
        <v>397</v>
      </c>
      <c r="AI9" s="129">
        <f>IFERROR(IF(AB9="Probabilidad",(Q9-(+Q9*AE9)),IF(AB9="Impacto",Q9,"")),"")</f>
        <v>0.6</v>
      </c>
      <c r="AJ9" s="130" t="str">
        <f>IFERROR(IF(AI9="","",IF(AI9&lt;=0.2,"Muy Baja",IF(AI9&lt;=0.4,"Baja",IF(AI9&lt;=0.6,"Media",IF(AI9&lt;=0.8,"Alta","Muy Alta"))))),"")</f>
        <v>Media</v>
      </c>
      <c r="AK9" s="128">
        <f>+AI9</f>
        <v>0.6</v>
      </c>
      <c r="AL9" s="130" t="str">
        <f>IFERROR(IF(AM9="","",IF(AM9&lt;=0.2,"Leve",IF(AM9&lt;=0.4,"Menor",IF(AM9&lt;=0.6,"Moderado",IF(AM9&lt;=0.8,"Mayor","Catastrófico"))))),"")</f>
        <v>Mayor</v>
      </c>
      <c r="AM9" s="128">
        <f>IFERROR(IF(AB9="Impacto",(U9-(+U9*AE9)),IF(AB9="Probabilidad",U9,"")),"")</f>
        <v>0.8</v>
      </c>
      <c r="AN9" s="131" t="str">
        <f>IFERROR(IF(OR(AND(AJ9="Muy Baja",AL9="Leve"),AND(AJ9="Muy Baja",AL9="Menor"),AND(AJ9="Baja",AL9="Leve")),"Bajo",IF(OR(AND(AJ9="Muy baja",AL9="Moderado"),AND(AJ9="Baja",AL9="Menor"),AND(AJ9="Baja",AL9="Moderado"),AND(AJ9="Media",AL9="Leve"),AND(AJ9="Media",AL9="Menor"),AND(AJ9="Media",AL9="Moderado"),AND(AJ9="Alta",AL9="Leve"),AND(AJ9="Alta",AL9="Menor")),"Moderado",IF(OR(AND(AJ9="Muy Baja",AL9="Mayor"),AND(AJ9="Baja",AL9="Mayor"),AND(AJ9="Media",AL9="Mayor"),AND(AJ9="Alta",AL9="Moderado"),AND(AJ9="Alta",AL9="Mayor"),AND(AJ9="Muy Alta",AL9="Leve"),AND(AJ9="Muy Alta",AL9="Menor"),AND(AJ9="Muy Alta",AL9="Moderado"),AND(AJ9="Muy Alta",AL9="Mayor")),"Alto",IF(OR(AND(AJ9="Muy Baja",AL9="Catastrófico"),AND(AJ9="Baja",AL9="Catastrófico"),AND(AJ9="Media",AL9="Catastrófico"),AND(AJ9="Alta",AL9="Catastrófico"),AND(AJ9="Muy Alta",AL9="Catastrófico")),"Extremo","")))),"")</f>
        <v>Alto</v>
      </c>
      <c r="AO9" s="132"/>
      <c r="AP9" s="304" t="s">
        <v>696</v>
      </c>
      <c r="AQ9" s="304" t="s">
        <v>672</v>
      </c>
      <c r="AR9" s="304" t="s">
        <v>697</v>
      </c>
      <c r="AS9" s="354" t="s">
        <v>698</v>
      </c>
      <c r="AT9" s="400" t="s">
        <v>700</v>
      </c>
      <c r="AU9" s="400" t="s">
        <v>699</v>
      </c>
      <c r="AV9" s="400" t="s">
        <v>701</v>
      </c>
    </row>
    <row r="10" spans="1:276" ht="177" customHeight="1" x14ac:dyDescent="0.2">
      <c r="A10" s="398"/>
      <c r="B10" s="401"/>
      <c r="C10" s="401"/>
      <c r="D10" s="401"/>
      <c r="E10" s="401"/>
      <c r="F10" s="401"/>
      <c r="G10" s="401"/>
      <c r="H10" s="400"/>
      <c r="I10" s="403"/>
      <c r="J10" s="421"/>
      <c r="K10" s="421"/>
      <c r="L10" s="421"/>
      <c r="M10" s="403"/>
      <c r="N10" s="403"/>
      <c r="O10" s="416"/>
      <c r="P10" s="417"/>
      <c r="Q10" s="405"/>
      <c r="R10" s="406"/>
      <c r="S10" s="405">
        <f>IF(NOT(ISERROR(MATCH(R10,_xlfn.ANCHORARRAY(G21),0))),Q23&amp;"Por favor no seleccionar los criterios de impacto",R10)</f>
        <v>0</v>
      </c>
      <c r="T10" s="417"/>
      <c r="U10" s="405"/>
      <c r="V10" s="418"/>
      <c r="W10" s="149">
        <v>2</v>
      </c>
      <c r="X10" s="182" t="s">
        <v>694</v>
      </c>
      <c r="Y10" s="149" t="s">
        <v>37</v>
      </c>
      <c r="Z10" s="182" t="s">
        <v>695</v>
      </c>
      <c r="AA10" s="304" t="str">
        <f t="shared" ref="AA10:AA73" si="1">+CONCATENATE(X10," ",Y10," ",Z10)</f>
        <v>El jefe de Oficina de Servicio a la Ciudadanía y Sostenibilidad designa al enlace del proceso SRPI para que Verifica que trimestralmente se realice la apropiación de la Política antisoborno y antifraude de la UAERMV, dirigidas al proceso SRPI, a través de la realización de una jornada de sensibilización, el cual se mide con una evaluación a todos los participantes de la sesión. 
La evidencia será el análisis de la encuesta, que demuestre más del 75% de aprobación en total de todos los participantes, así como, la presentación o material de apoyo de la sesión y el listado de asistencia de esta.
En caso de no alcanzar el porcentaje de aprobación, se repetirá de manera personalizada la sesión y la medición.</v>
      </c>
      <c r="AB10" s="126" t="str">
        <f t="shared" si="0"/>
        <v>Probabilidad</v>
      </c>
      <c r="AC10" s="127" t="s">
        <v>398</v>
      </c>
      <c r="AD10" s="127" t="s">
        <v>394</v>
      </c>
      <c r="AE10" s="128" t="str">
        <f t="shared" ref="AE10:AE14" si="2">IF(AND(AC10="Preventivo",AD10="Automático"),"50%",IF(AND(AC10="Preventivo",AD10="Manual"),"40%",IF(AND(AC10="Detectivo",AD10="Automático"),"40%",IF(AND(AC10="Detectivo",AD10="Manual"),"30%",IF(AND(AC10="Correctivo",AD10="Automático"),"35%",IF(AND(AC10="Correctivo",AD10="Manual"),"25%",""))))))</f>
        <v>40%</v>
      </c>
      <c r="AF10" s="127" t="s">
        <v>421</v>
      </c>
      <c r="AG10" s="127" t="s">
        <v>396</v>
      </c>
      <c r="AH10" s="127" t="s">
        <v>422</v>
      </c>
      <c r="AI10" s="129">
        <f>IFERROR(IF(AND(AB9="Probabilidad",AB10="Probabilidad"),(AK9-(+AK9*AE10)),IF(AB10="Probabilidad",(Q9-(+Q9*AE10)),IF(AB10="Impacto",AK9,""))),"")</f>
        <v>0.36</v>
      </c>
      <c r="AJ10" s="130" t="str">
        <f t="shared" ref="AJ10:AJ68" si="3">IFERROR(IF(AI10="","",IF(AI10&lt;=0.2,"Muy Baja",IF(AI10&lt;=0.4,"Baja",IF(AI10&lt;=0.6,"Media",IF(AI10&lt;=0.8,"Alta","Muy Alta"))))),"")</f>
        <v>Baja</v>
      </c>
      <c r="AK10" s="128">
        <f t="shared" ref="AK10:AK14" si="4">+AI10</f>
        <v>0.36</v>
      </c>
      <c r="AL10" s="130" t="str">
        <f t="shared" ref="AL10:AL68" si="5">IFERROR(IF(AM10="","",IF(AM10&lt;=0.2,"Leve",IF(AM10&lt;=0.4,"Menor",IF(AM10&lt;=0.6,"Moderado",IF(AM10&lt;=0.8,"Mayor","Catastrófico"))))),"")</f>
        <v>Mayor</v>
      </c>
      <c r="AM10" s="128">
        <f>IFERROR(IF(AND(AB9="Impacto",AB10="Impacto"),(AM9-(+AM9*AE10)),IF(AB10="Impacto",($U$9-(+$U$9*AE10)),IF(AB10="Probabilidad",AM9,""))),"")</f>
        <v>0.8</v>
      </c>
      <c r="AN10" s="131" t="str">
        <f t="shared" ref="AN10:AN14" si="6">IFERROR(IF(OR(AND(AJ10="Muy Baja",AL10="Leve"),AND(AJ10="Muy Baja",AL10="Menor"),AND(AJ10="Baja",AL10="Leve")),"Bajo",IF(OR(AND(AJ10="Muy baja",AL10="Moderado"),AND(AJ10="Baja",AL10="Menor"),AND(AJ10="Baja",AL10="Moderado"),AND(AJ10="Media",AL10="Leve"),AND(AJ10="Media",AL10="Menor"),AND(AJ10="Media",AL10="Moderado"),AND(AJ10="Alta",AL10="Leve"),AND(AJ10="Alta",AL10="Menor")),"Moderado",IF(OR(AND(AJ10="Muy Baja",AL10="Mayor"),AND(AJ10="Baja",AL10="Mayor"),AND(AJ10="Media",AL10="Mayor"),AND(AJ10="Alta",AL10="Moderado"),AND(AJ10="Alta",AL10="Mayor"),AND(AJ10="Muy Alta",AL10="Leve"),AND(AJ10="Muy Alta",AL10="Menor"),AND(AJ10="Muy Alta",AL10="Moderado"),AND(AJ10="Muy Alta",AL10="Mayor")),"Alto",IF(OR(AND(AJ10="Muy Baja",AL10="Catastrófico"),AND(AJ10="Baja",AL10="Catastrófico"),AND(AJ10="Media",AL10="Catastrófico"),AND(AJ10="Alta",AL10="Catastrófico"),AND(AJ10="Muy Alta",AL10="Catastrófico")),"Extremo","")))),"")</f>
        <v>Alto</v>
      </c>
      <c r="AO10" s="132" t="s">
        <v>43</v>
      </c>
      <c r="AP10" s="304"/>
      <c r="AQ10" s="353"/>
      <c r="AR10" s="304"/>
      <c r="AS10" s="347"/>
      <c r="AT10" s="400"/>
      <c r="AU10" s="400"/>
      <c r="AV10" s="400"/>
    </row>
    <row r="11" spans="1:276" hidden="1" x14ac:dyDescent="0.2">
      <c r="A11" s="398"/>
      <c r="B11" s="401"/>
      <c r="C11" s="401"/>
      <c r="D11" s="401"/>
      <c r="E11" s="401"/>
      <c r="F11" s="401"/>
      <c r="G11" s="401"/>
      <c r="H11" s="400"/>
      <c r="I11" s="403"/>
      <c r="J11" s="421"/>
      <c r="K11" s="421"/>
      <c r="L11" s="421"/>
      <c r="M11" s="403"/>
      <c r="N11" s="403"/>
      <c r="O11" s="416"/>
      <c r="P11" s="417"/>
      <c r="Q11" s="405"/>
      <c r="R11" s="406"/>
      <c r="S11" s="405">
        <f>IF(NOT(ISERROR(MATCH(R11,_xlfn.ANCHORARRAY(G22),0))),Q24&amp;"Por favor no seleccionar los criterios de impacto",R11)</f>
        <v>0</v>
      </c>
      <c r="T11" s="417"/>
      <c r="U11" s="405"/>
      <c r="V11" s="418"/>
      <c r="W11" s="149">
        <v>3</v>
      </c>
      <c r="X11" s="182"/>
      <c r="Y11" s="149"/>
      <c r="Z11" s="149"/>
      <c r="AA11" s="304" t="str">
        <f t="shared" si="1"/>
        <v xml:space="preserve">  </v>
      </c>
      <c r="AB11" s="126" t="str">
        <f t="shared" si="0"/>
        <v/>
      </c>
      <c r="AC11" s="127"/>
      <c r="AD11" s="127"/>
      <c r="AE11" s="128" t="str">
        <f t="shared" si="2"/>
        <v/>
      </c>
      <c r="AF11" s="127"/>
      <c r="AG11" s="127"/>
      <c r="AH11" s="127"/>
      <c r="AI11" s="129" t="str">
        <f>IFERROR(IF(AND(AB10="Probabilidad",AB11="Probabilidad"),(AK10-(+AK10*AE11)),IF(AND(AB10="Impacto",AB11="Probabilidad"),(AK9-(+AK9*AE11)),IF(AB11="Impacto",AK10,""))),"")</f>
        <v/>
      </c>
      <c r="AJ11" s="130" t="str">
        <f t="shared" si="3"/>
        <v/>
      </c>
      <c r="AK11" s="128" t="str">
        <f t="shared" si="4"/>
        <v/>
      </c>
      <c r="AL11" s="130" t="str">
        <f t="shared" si="5"/>
        <v/>
      </c>
      <c r="AM11" s="128" t="str">
        <f>IFERROR(IF(AND(AB10="Impacto",AB11="Impacto"),(AM10-(+AM10*AE11)),IF(AND(AB10="Probabilidad",AB11="Impacto"),(AM9-(+AM9*AE11)),IF(AB11="Probabilidad",AM10,""))),"")</f>
        <v/>
      </c>
      <c r="AN11" s="131" t="str">
        <f t="shared" si="6"/>
        <v/>
      </c>
      <c r="AO11" s="132"/>
      <c r="AP11" s="304"/>
      <c r="AQ11" s="353"/>
      <c r="AR11" s="353"/>
      <c r="AS11" s="347"/>
      <c r="AT11" s="400"/>
      <c r="AU11" s="400"/>
      <c r="AV11" s="400"/>
    </row>
    <row r="12" spans="1:276" hidden="1" x14ac:dyDescent="0.2">
      <c r="A12" s="398"/>
      <c r="B12" s="401"/>
      <c r="C12" s="401"/>
      <c r="D12" s="401"/>
      <c r="E12" s="401"/>
      <c r="F12" s="401"/>
      <c r="G12" s="401"/>
      <c r="H12" s="400"/>
      <c r="I12" s="403"/>
      <c r="J12" s="421"/>
      <c r="K12" s="421"/>
      <c r="L12" s="421"/>
      <c r="M12" s="403"/>
      <c r="N12" s="403"/>
      <c r="O12" s="416"/>
      <c r="P12" s="417"/>
      <c r="Q12" s="405"/>
      <c r="R12" s="406"/>
      <c r="S12" s="405">
        <f>IF(NOT(ISERROR(MATCH(R12,_xlfn.ANCHORARRAY(G23),0))),Q25&amp;"Por favor no seleccionar los criterios de impacto",R12)</f>
        <v>0</v>
      </c>
      <c r="T12" s="417"/>
      <c r="U12" s="405"/>
      <c r="V12" s="418"/>
      <c r="W12" s="149">
        <v>4</v>
      </c>
      <c r="X12" s="182"/>
      <c r="Y12" s="149"/>
      <c r="Z12" s="149"/>
      <c r="AA12" s="304" t="str">
        <f t="shared" si="1"/>
        <v xml:space="preserve">  </v>
      </c>
      <c r="AB12" s="126" t="str">
        <f t="shared" si="0"/>
        <v/>
      </c>
      <c r="AC12" s="127"/>
      <c r="AD12" s="127"/>
      <c r="AE12" s="128" t="str">
        <f t="shared" si="2"/>
        <v/>
      </c>
      <c r="AF12" s="127"/>
      <c r="AG12" s="127"/>
      <c r="AH12" s="127"/>
      <c r="AI12" s="129" t="str">
        <f t="shared" ref="AI12:AI14" si="7">IFERROR(IF(AND(AB11="Probabilidad",AB12="Probabilidad"),(AK11-(+AK11*AE12)),IF(AND(AB11="Impacto",AB12="Probabilidad"),(AK10-(+AK10*AE12)),IF(AB12="Impacto",AK11,""))),"")</f>
        <v/>
      </c>
      <c r="AJ12" s="130" t="str">
        <f t="shared" si="3"/>
        <v/>
      </c>
      <c r="AK12" s="128" t="str">
        <f t="shared" si="4"/>
        <v/>
      </c>
      <c r="AL12" s="130" t="str">
        <f t="shared" si="5"/>
        <v/>
      </c>
      <c r="AM12" s="128" t="str">
        <f t="shared" ref="AM12:AM14" si="8">IFERROR(IF(AND(AB11="Impacto",AB12="Impacto"),(AM11-(+AM11*AE12)),IF(AND(AB11="Probabilidad",AB12="Impacto"),(AM10-(+AM10*AE12)),IF(AB12="Probabilidad",AM11,""))),"")</f>
        <v/>
      </c>
      <c r="AN12" s="131" t="str">
        <f>IFERROR(IF(OR(AND(AJ12="Muy Baja",AL12="Leve"),AND(AJ12="Muy Baja",AL12="Menor"),AND(AJ12="Baja",AL12="Leve")),"Bajo",IF(OR(AND(AJ12="Muy baja",AL12="Moderado"),AND(AJ12="Baja",AL12="Menor"),AND(AJ12="Baja",AL12="Moderado"),AND(AJ12="Media",AL12="Leve"),AND(AJ12="Media",AL12="Menor"),AND(AJ12="Media",AL12="Moderado"),AND(AJ12="Alta",AL12="Leve"),AND(AJ12="Alta",AL12="Menor")),"Moderado",IF(OR(AND(AJ12="Muy Baja",AL12="Mayor"),AND(AJ12="Baja",AL12="Mayor"),AND(AJ12="Media",AL12="Mayor"),AND(AJ12="Alta",AL12="Moderado"),AND(AJ12="Alta",AL12="Mayor"),AND(AJ12="Muy Alta",AL12="Leve"),AND(AJ12="Muy Alta",AL12="Menor"),AND(AJ12="Muy Alta",AL12="Moderado"),AND(AJ12="Muy Alta",AL12="Mayor")),"Alto",IF(OR(AND(AJ12="Muy Baja",AL12="Catastrófico"),AND(AJ12="Baja",AL12="Catastrófico"),AND(AJ12="Media",AL12="Catastrófico"),AND(AJ12="Alta",AL12="Catastrófico"),AND(AJ12="Muy Alta",AL12="Catastrófico")),"Extremo","")))),"")</f>
        <v/>
      </c>
      <c r="AO12" s="132"/>
      <c r="AP12" s="304"/>
      <c r="AQ12" s="353"/>
      <c r="AR12" s="353"/>
      <c r="AS12" s="347"/>
      <c r="AT12" s="400"/>
      <c r="AU12" s="400"/>
      <c r="AV12" s="400"/>
    </row>
    <row r="13" spans="1:276" hidden="1" x14ac:dyDescent="0.2">
      <c r="A13" s="398"/>
      <c r="B13" s="401"/>
      <c r="C13" s="401"/>
      <c r="D13" s="401"/>
      <c r="E13" s="401"/>
      <c r="F13" s="401"/>
      <c r="G13" s="401"/>
      <c r="H13" s="400"/>
      <c r="I13" s="403"/>
      <c r="J13" s="421"/>
      <c r="K13" s="421"/>
      <c r="L13" s="421"/>
      <c r="M13" s="403"/>
      <c r="N13" s="403"/>
      <c r="O13" s="416"/>
      <c r="P13" s="417"/>
      <c r="Q13" s="405"/>
      <c r="R13" s="406"/>
      <c r="S13" s="405">
        <f>IF(NOT(ISERROR(MATCH(R13,_xlfn.ANCHORARRAY(G24),0))),Q26&amp;"Por favor no seleccionar los criterios de impacto",R13)</f>
        <v>0</v>
      </c>
      <c r="T13" s="417"/>
      <c r="U13" s="405"/>
      <c r="V13" s="418"/>
      <c r="W13" s="149">
        <v>5</v>
      </c>
      <c r="X13" s="182"/>
      <c r="Y13" s="149"/>
      <c r="Z13" s="149"/>
      <c r="AA13" s="304" t="str">
        <f t="shared" si="1"/>
        <v xml:space="preserve">  </v>
      </c>
      <c r="AB13" s="126" t="str">
        <f t="shared" si="0"/>
        <v/>
      </c>
      <c r="AC13" s="127"/>
      <c r="AD13" s="127"/>
      <c r="AE13" s="128" t="str">
        <f t="shared" si="2"/>
        <v/>
      </c>
      <c r="AF13" s="127"/>
      <c r="AG13" s="127"/>
      <c r="AH13" s="127"/>
      <c r="AI13" s="129" t="str">
        <f t="shared" si="7"/>
        <v/>
      </c>
      <c r="AJ13" s="130" t="str">
        <f t="shared" si="3"/>
        <v/>
      </c>
      <c r="AK13" s="128" t="str">
        <f t="shared" si="4"/>
        <v/>
      </c>
      <c r="AL13" s="130" t="str">
        <f t="shared" si="5"/>
        <v/>
      </c>
      <c r="AM13" s="128" t="str">
        <f t="shared" si="8"/>
        <v/>
      </c>
      <c r="AN13" s="131" t="str">
        <f t="shared" si="6"/>
        <v/>
      </c>
      <c r="AO13" s="132"/>
      <c r="AP13" s="304"/>
      <c r="AQ13" s="353"/>
      <c r="AR13" s="353"/>
      <c r="AS13" s="347"/>
      <c r="AT13" s="400"/>
      <c r="AU13" s="400"/>
      <c r="AV13" s="400"/>
    </row>
    <row r="14" spans="1:276" hidden="1" x14ac:dyDescent="0.2">
      <c r="A14" s="398"/>
      <c r="B14" s="401"/>
      <c r="C14" s="401"/>
      <c r="D14" s="401"/>
      <c r="E14" s="401"/>
      <c r="F14" s="401"/>
      <c r="G14" s="401"/>
      <c r="H14" s="400"/>
      <c r="I14" s="404"/>
      <c r="J14" s="422"/>
      <c r="K14" s="422"/>
      <c r="L14" s="422"/>
      <c r="M14" s="404"/>
      <c r="N14" s="404"/>
      <c r="O14" s="416"/>
      <c r="P14" s="417"/>
      <c r="Q14" s="405"/>
      <c r="R14" s="406"/>
      <c r="S14" s="405">
        <f>IF(NOT(ISERROR(MATCH(R14,_xlfn.ANCHORARRAY(G25),0))),Q27&amp;"Por favor no seleccionar los criterios de impacto",R14)</f>
        <v>0</v>
      </c>
      <c r="T14" s="417"/>
      <c r="U14" s="405"/>
      <c r="V14" s="418"/>
      <c r="W14" s="149">
        <v>6</v>
      </c>
      <c r="X14" s="182"/>
      <c r="Y14" s="149"/>
      <c r="Z14" s="149"/>
      <c r="AA14" s="304" t="str">
        <f t="shared" si="1"/>
        <v xml:space="preserve">  </v>
      </c>
      <c r="AB14" s="126" t="str">
        <f t="shared" si="0"/>
        <v/>
      </c>
      <c r="AC14" s="127"/>
      <c r="AD14" s="127"/>
      <c r="AE14" s="128" t="str">
        <f t="shared" si="2"/>
        <v/>
      </c>
      <c r="AF14" s="127"/>
      <c r="AG14" s="127"/>
      <c r="AH14" s="127"/>
      <c r="AI14" s="129" t="str">
        <f t="shared" si="7"/>
        <v/>
      </c>
      <c r="AJ14" s="130" t="str">
        <f t="shared" si="3"/>
        <v/>
      </c>
      <c r="AK14" s="128" t="str">
        <f t="shared" si="4"/>
        <v/>
      </c>
      <c r="AL14" s="130" t="str">
        <f t="shared" si="5"/>
        <v/>
      </c>
      <c r="AM14" s="128" t="str">
        <f t="shared" si="8"/>
        <v/>
      </c>
      <c r="AN14" s="131" t="str">
        <f t="shared" si="6"/>
        <v/>
      </c>
      <c r="AO14" s="132"/>
      <c r="AP14" s="304"/>
      <c r="AQ14" s="353"/>
      <c r="AR14" s="353"/>
      <c r="AS14" s="347"/>
      <c r="AT14" s="400"/>
      <c r="AU14" s="400"/>
      <c r="AV14" s="400"/>
    </row>
    <row r="15" spans="1:276" ht="135" customHeight="1" x14ac:dyDescent="0.2">
      <c r="A15" s="398">
        <v>2</v>
      </c>
      <c r="B15" s="401" t="s">
        <v>549</v>
      </c>
      <c r="C15" s="401" t="s">
        <v>32</v>
      </c>
      <c r="D15" s="401" t="s">
        <v>1040</v>
      </c>
      <c r="E15" s="420" t="s">
        <v>713</v>
      </c>
      <c r="F15" s="401" t="s">
        <v>1041</v>
      </c>
      <c r="G15" s="401" t="str">
        <f t="shared" ref="G15" si="9">+CONCATENATE(C15," ",D15)</f>
        <v>Posibilidad de recibir o solicitar cualquier dádiva o beneficio al certificar pagos sin cumplir los requistos exigidos para el pago establecidos en el contrato, en el desarrollo de la supervisión de los contratos de adquisición de bienes y servicios, en provecho personal o de un tercero.</v>
      </c>
      <c r="H15" s="400" t="s">
        <v>85</v>
      </c>
      <c r="I15" s="402" t="s">
        <v>62</v>
      </c>
      <c r="J15" s="420"/>
      <c r="K15" s="420"/>
      <c r="L15" s="420" t="s">
        <v>714</v>
      </c>
      <c r="M15" s="402" t="s">
        <v>65</v>
      </c>
      <c r="N15" s="402" t="s">
        <v>50</v>
      </c>
      <c r="O15" s="416">
        <v>60</v>
      </c>
      <c r="P15" s="417" t="str">
        <f>IF(O15&lt;=0,"",IF(O15&lt;=2,"Muy Baja",IF(O15&lt;=24,"Baja",IF(O15&lt;=500,"Media",IF(O15&lt;=5000,"Alta","Muy Alta")))))</f>
        <v>Media</v>
      </c>
      <c r="Q15" s="405">
        <f>IF(P15="","",IF(P15="Muy Baja",0.2,IF(P15="Baja",0.4,IF(P15="Media",0.6,IF(P15="Alta",0.8,IF(P15="Muy Alta",1,))))))</f>
        <v>0.6</v>
      </c>
      <c r="R15" s="406" t="s">
        <v>427</v>
      </c>
      <c r="S15" s="405" t="str">
        <f>IF(NOT(ISERROR(MATCH(R15,'[3]Tabla Impacto'!$B$245:$B$247,0))),'[3]Tabla Impacto'!$F$224&amp;"Por favor no seleccionar los criterios de impacto(Afectación Económica o presupuestal y Pérdida Reputacional)",R15)</f>
        <v xml:space="preserve">     El riesgo afecta la imagen de de la entidad con efecto publicitario sostenido a nivel de sector administrativo, nivel departamental o municipal</v>
      </c>
      <c r="T15" s="417" t="str">
        <f>IF(OR(S15='[3]Tabla Impacto'!$C$12,S15='[3]Tabla Impacto'!$D$12),"Leve",IF(OR(S15='[3]Tabla Impacto'!$C$13,S15='[3]Tabla Impacto'!$D$13),"Menor",IF(OR(S15='[3]Tabla Impacto'!$C$14,S15='[3]Tabla Impacto'!$D$14),"Moderado",IF(OR(S15='[3]Tabla Impacto'!$C$15,S15='[3]Tabla Impacto'!$D$15),"Mayor",IF(OR(S15='[3]Tabla Impacto'!$C$16,S15='[3]Tabla Impacto'!$D$16),"Catastrófico","")))))</f>
        <v>Mayor</v>
      </c>
      <c r="U15" s="405">
        <f>IF(T15="","",IF(T15="Leve",0.2,IF(T15="Menor",0.4,IF(T15="Moderado",0.6,IF(T15="Mayor",0.8,IF(T15="Catastrófico",1,))))))</f>
        <v>0.8</v>
      </c>
      <c r="V15" s="418" t="str">
        <f>IF(OR(AND(P15="Muy Baja",T15="Leve"),AND(P15="Muy Baja",T15="Menor"),AND(P15="Baja",T15="Leve")),"Bajo",IF(OR(AND(P15="Muy baja",T15="Moderado"),AND(P15="Baja",T15="Menor"),AND(P15="Baja",T15="Moderado"),AND(P15="Media",T15="Leve"),AND(P15="Media",T15="Menor"),AND(P15="Media",T15="Moderado"),AND(P15="Alta",T15="Leve"),AND(P15="Alta",T15="Menor")),"Moderado",IF(OR(AND(P15="Muy Baja",T15="Mayor"),AND(P15="Baja",T15="Mayor"),AND(P15="Media",T15="Mayor"),AND(P15="Alta",T15="Moderado"),AND(P15="Alta",T15="Mayor"),AND(P15="Muy Alta",T15="Leve"),AND(P15="Muy Alta",T15="Menor"),AND(P15="Muy Alta",T15="Moderado"),AND(P15="Muy Alta",T15="Mayor")),"Alto",IF(OR(AND(P15="Muy Baja",T15="Catastrófico"),AND(P15="Baja",T15="Catastrófico"),AND(P15="Media",T15="Catastrófico"),AND(P15="Alta",T15="Catastrófico"),AND(P15="Muy Alta",T15="Catastrófico")),"Extremo",""))))</f>
        <v>Alto</v>
      </c>
      <c r="W15" s="149">
        <v>1</v>
      </c>
      <c r="X15" s="182" t="s">
        <v>715</v>
      </c>
      <c r="Y15" s="149" t="s">
        <v>52</v>
      </c>
      <c r="Z15" s="343" t="s">
        <v>774</v>
      </c>
      <c r="AA15" s="304" t="str">
        <f t="shared" si="1"/>
        <v>El supervisor del contrato Revisa Mensualmente, los productos o servicios entregados conforme a lo establecido en la minuta del contrato, asegurando el cumplimiento de las especificaciones pactadas y los estándares de calidad requeridos.
Cómo se realiza: La verificación será llevada a cabo por el área técnica o el responsable designado, mediante la comparación de los productos o servicios entregados con las condiciones establecidas en el contrato y sus anexos, incluyendo características, cantidades, plazos y especificaciones técnicas.
Evidencia: Actas de recepción firmadas por ambas partes, informes de conformidad técnica, y registros fotográficos o documentales de los productos o servicios entregados si lo requiere.
Desviación: Se notificará al proveedor o contratista para realizar las correcciones necesarias en un plazo acordado, dejando constancia en las actas correspondientes.</v>
      </c>
      <c r="AB15" s="126" t="str">
        <f>IF(OR(AC15="Preventivo",AC15="Detectivo"),"Probabilidad",IF(AC15="Correctivo","Impacto",""))</f>
        <v>Probabilidad</v>
      </c>
      <c r="AC15" s="127" t="s">
        <v>398</v>
      </c>
      <c r="AD15" s="127" t="s">
        <v>394</v>
      </c>
      <c r="AE15" s="128" t="str">
        <f>IF(AND(AC15="Preventivo",AD15="Automático"),"50%",IF(AND(AC15="Preventivo",AD15="Manual"),"40%",IF(AND(AC15="Detectivo",AD15="Automático"),"40%",IF(AND(AC15="Detectivo",AD15="Manual"),"30%",IF(AND(AC15="Correctivo",AD15="Automático"),"35%",IF(AND(AC15="Correctivo",AD15="Manual"),"25%",""))))))</f>
        <v>40%</v>
      </c>
      <c r="AF15" s="127" t="s">
        <v>395</v>
      </c>
      <c r="AG15" s="127" t="s">
        <v>396</v>
      </c>
      <c r="AH15" s="127" t="s">
        <v>397</v>
      </c>
      <c r="AI15" s="129">
        <f>IFERROR(IF(AB15="Probabilidad",(Q15-(+Q15*AE15)),IF(AB15="Impacto",Q15,"")),"")</f>
        <v>0.36</v>
      </c>
      <c r="AJ15" s="130" t="str">
        <f>IFERROR(IF(AI15="","",IF(AI15&lt;=0.2,"Muy Baja",IF(AI15&lt;=0.4,"Baja",IF(AI15&lt;=0.6,"Media",IF(AI15&lt;=0.8,"Alta","Muy Alta"))))),"")</f>
        <v>Baja</v>
      </c>
      <c r="AK15" s="128">
        <f>+AI15</f>
        <v>0.36</v>
      </c>
      <c r="AL15" s="130" t="str">
        <f>IFERROR(IF(AM15="","",IF(AM15&lt;=0.2,"Leve",IF(AM15&lt;=0.4,"Menor",IF(AM15&lt;=0.6,"Moderado",IF(AM15&lt;=0.8,"Mayor","Catastrófico"))))),"")</f>
        <v>Mayor</v>
      </c>
      <c r="AM15" s="128">
        <f t="shared" ref="AM15" si="10">IFERROR(IF(AB15="Impacto",(U15-(+U15*AE15)),IF(AB15="Probabilidad",U15,"")),"")</f>
        <v>0.8</v>
      </c>
      <c r="AN15" s="131" t="str">
        <f>IFERROR(IF(OR(AND(AJ15="Muy Baja",AL15="Leve"),AND(AJ15="Muy Baja",AL15="Menor"),AND(AJ15="Baja",AL15="Leve")),"Bajo",IF(OR(AND(AJ15="Muy baja",AL15="Moderado"),AND(AJ15="Baja",AL15="Menor"),AND(AJ15="Baja",AL15="Moderado"),AND(AJ15="Media",AL15="Leve"),AND(AJ15="Media",AL15="Menor"),AND(AJ15="Media",AL15="Moderado"),AND(AJ15="Alta",AL15="Leve"),AND(AJ15="Alta",AL15="Menor")),"Moderado",IF(OR(AND(AJ15="Muy Baja",AL15="Mayor"),AND(AJ15="Baja",AL15="Mayor"),AND(AJ15="Media",AL15="Mayor"),AND(AJ15="Alta",AL15="Moderado"),AND(AJ15="Alta",AL15="Mayor"),AND(AJ15="Muy Alta",AL15="Leve"),AND(AJ15="Muy Alta",AL15="Menor"),AND(AJ15="Muy Alta",AL15="Moderado"),AND(AJ15="Muy Alta",AL15="Mayor")),"Alto",IF(OR(AND(AJ15="Muy Baja",AL15="Catastrófico"),AND(AJ15="Baja",AL15="Catastrófico"),AND(AJ15="Media",AL15="Catastrófico"),AND(AJ15="Alta",AL15="Catastrófico"),AND(AJ15="Muy Alta",AL15="Catastrófico")),"Extremo","")))),"")</f>
        <v>Alto</v>
      </c>
      <c r="AO15" s="132" t="s">
        <v>43</v>
      </c>
      <c r="AP15" s="304" t="s">
        <v>716</v>
      </c>
      <c r="AQ15" s="304" t="s">
        <v>715</v>
      </c>
      <c r="AR15" s="304" t="s">
        <v>717</v>
      </c>
      <c r="AS15" s="354" t="s">
        <v>718</v>
      </c>
      <c r="AT15" s="400" t="s">
        <v>1042</v>
      </c>
      <c r="AU15" s="400" t="s">
        <v>1043</v>
      </c>
      <c r="AV15" s="400" t="s">
        <v>1044</v>
      </c>
    </row>
    <row r="16" spans="1:276" hidden="1" x14ac:dyDescent="0.2">
      <c r="A16" s="398"/>
      <c r="B16" s="401"/>
      <c r="C16" s="401"/>
      <c r="D16" s="401"/>
      <c r="E16" s="421"/>
      <c r="F16" s="401"/>
      <c r="G16" s="401"/>
      <c r="H16" s="400"/>
      <c r="I16" s="403"/>
      <c r="J16" s="421"/>
      <c r="K16" s="421"/>
      <c r="L16" s="421"/>
      <c r="M16" s="403"/>
      <c r="N16" s="403"/>
      <c r="O16" s="416"/>
      <c r="P16" s="417"/>
      <c r="Q16" s="405"/>
      <c r="R16" s="406"/>
      <c r="S16" s="405">
        <f>IF(NOT(ISERROR(MATCH(R16,_xlfn.ANCHORARRAY(G27),0))),Q29&amp;"Por favor no seleccionar los criterios de impacto",R16)</f>
        <v>0</v>
      </c>
      <c r="T16" s="417"/>
      <c r="U16" s="405"/>
      <c r="V16" s="418"/>
      <c r="W16" s="149">
        <v>2</v>
      </c>
      <c r="X16" s="182"/>
      <c r="Y16" s="149"/>
      <c r="Z16" s="149"/>
      <c r="AA16" s="304" t="str">
        <f t="shared" si="1"/>
        <v xml:space="preserve">  </v>
      </c>
      <c r="AB16" s="126" t="str">
        <f>IF(OR(AC16="Preventivo",AC16="Detectivo"),"Probabilidad",IF(AC16="Correctivo","Impacto",""))</f>
        <v/>
      </c>
      <c r="AC16" s="127"/>
      <c r="AD16" s="127"/>
      <c r="AE16" s="128" t="str">
        <f t="shared" ref="AE16:AE20" si="11">IF(AND(AC16="Preventivo",AD16="Automático"),"50%",IF(AND(AC16="Preventivo",AD16="Manual"),"40%",IF(AND(AC16="Detectivo",AD16="Automático"),"40%",IF(AND(AC16="Detectivo",AD16="Manual"),"30%",IF(AND(AC16="Correctivo",AD16="Automático"),"35%",IF(AND(AC16="Correctivo",AD16="Manual"),"25%",""))))))</f>
        <v/>
      </c>
      <c r="AF16" s="127"/>
      <c r="AG16" s="127"/>
      <c r="AH16" s="127"/>
      <c r="AI16" s="129" t="str">
        <f>IFERROR(IF(AND(AB15="Probabilidad",AB16="Probabilidad"),(AK15-(+AK15*AE16)),IF(AB16="Probabilidad",(Q15-(+Q15*AE16)),IF(AB16="Impacto",AK15,""))),"")</f>
        <v/>
      </c>
      <c r="AJ16" s="130" t="str">
        <f t="shared" si="3"/>
        <v/>
      </c>
      <c r="AK16" s="128" t="str">
        <f t="shared" ref="AK16:AK20" si="12">+AI16</f>
        <v/>
      </c>
      <c r="AL16" s="130" t="str">
        <f t="shared" si="5"/>
        <v/>
      </c>
      <c r="AM16" s="128" t="str">
        <f t="shared" ref="AM16" si="13">IFERROR(IF(AND(AB15="Impacto",AB16="Impacto"),(AM15-(+AM15*AE16)),IF(AB16="Impacto",($U$9-(+$U$9*AE16)),IF(AB16="Probabilidad",AM15,""))),"")</f>
        <v/>
      </c>
      <c r="AN16" s="131" t="str">
        <f t="shared" ref="AN16:AN17" si="14">IFERROR(IF(OR(AND(AJ16="Muy Baja",AL16="Leve"),AND(AJ16="Muy Baja",AL16="Menor"),AND(AJ16="Baja",AL16="Leve")),"Bajo",IF(OR(AND(AJ16="Muy baja",AL16="Moderado"),AND(AJ16="Baja",AL16="Menor"),AND(AJ16="Baja",AL16="Moderado"),AND(AJ16="Media",AL16="Leve"),AND(AJ16="Media",AL16="Menor"),AND(AJ16="Media",AL16="Moderado"),AND(AJ16="Alta",AL16="Leve"),AND(AJ16="Alta",AL16="Menor")),"Moderado",IF(OR(AND(AJ16="Muy Baja",AL16="Mayor"),AND(AJ16="Baja",AL16="Mayor"),AND(AJ16="Media",AL16="Mayor"),AND(AJ16="Alta",AL16="Moderado"),AND(AJ16="Alta",AL16="Mayor"),AND(AJ16="Muy Alta",AL16="Leve"),AND(AJ16="Muy Alta",AL16="Menor"),AND(AJ16="Muy Alta",AL16="Moderado"),AND(AJ16="Muy Alta",AL16="Mayor")),"Alto",IF(OR(AND(AJ16="Muy Baja",AL16="Catastrófico"),AND(AJ16="Baja",AL16="Catastrófico"),AND(AJ16="Media",AL16="Catastrófico"),AND(AJ16="Alta",AL16="Catastrófico"),AND(AJ16="Muy Alta",AL16="Catastrófico")),"Extremo","")))),"")</f>
        <v/>
      </c>
      <c r="AO16" s="132"/>
      <c r="AP16" s="304"/>
      <c r="AQ16" s="353"/>
      <c r="AR16" s="304"/>
      <c r="AS16" s="347"/>
      <c r="AT16" s="400"/>
      <c r="AU16" s="400"/>
      <c r="AV16" s="400"/>
    </row>
    <row r="17" spans="1:48" hidden="1" x14ac:dyDescent="0.2">
      <c r="A17" s="398"/>
      <c r="B17" s="401"/>
      <c r="C17" s="401"/>
      <c r="D17" s="401"/>
      <c r="E17" s="421"/>
      <c r="F17" s="401"/>
      <c r="G17" s="401"/>
      <c r="H17" s="400"/>
      <c r="I17" s="403"/>
      <c r="J17" s="421"/>
      <c r="K17" s="421"/>
      <c r="L17" s="421"/>
      <c r="M17" s="403"/>
      <c r="N17" s="403"/>
      <c r="O17" s="416"/>
      <c r="P17" s="417"/>
      <c r="Q17" s="405"/>
      <c r="R17" s="406"/>
      <c r="S17" s="405">
        <f>IF(NOT(ISERROR(MATCH(R17,_xlfn.ANCHORARRAY(G28),0))),Q30&amp;"Por favor no seleccionar los criterios de impacto",R17)</f>
        <v>0</v>
      </c>
      <c r="T17" s="417"/>
      <c r="U17" s="405"/>
      <c r="V17" s="418"/>
      <c r="W17" s="149">
        <v>3</v>
      </c>
      <c r="X17" s="182"/>
      <c r="Y17" s="149"/>
      <c r="Z17" s="149"/>
      <c r="AA17" s="304" t="str">
        <f t="shared" si="1"/>
        <v xml:space="preserve">  </v>
      </c>
      <c r="AB17" s="126" t="str">
        <f>IF(OR(AC17="Preventivo",AC17="Detectivo"),"Probabilidad",IF(AC17="Correctivo","Impacto",""))</f>
        <v/>
      </c>
      <c r="AC17" s="127"/>
      <c r="AD17" s="127"/>
      <c r="AE17" s="128" t="str">
        <f t="shared" si="11"/>
        <v/>
      </c>
      <c r="AF17" s="127"/>
      <c r="AG17" s="127"/>
      <c r="AH17" s="127"/>
      <c r="AI17" s="129" t="str">
        <f>IFERROR(IF(AND(AB16="Probabilidad",AB17="Probabilidad"),(AK16-(+AK16*AE17)),IF(AND(AB16="Impacto",AB17="Probabilidad"),(AK15-(+AK15*AE17)),IF(AB17="Impacto",AK16,""))),"")</f>
        <v/>
      </c>
      <c r="AJ17" s="130" t="str">
        <f t="shared" si="3"/>
        <v/>
      </c>
      <c r="AK17" s="128" t="str">
        <f t="shared" si="12"/>
        <v/>
      </c>
      <c r="AL17" s="130" t="str">
        <f t="shared" si="5"/>
        <v/>
      </c>
      <c r="AM17" s="128" t="str">
        <f t="shared" ref="AM17:AM68" si="15">IFERROR(IF(AND(AB16="Impacto",AB17="Impacto"),(AM16-(+AM16*AE17)),IF(AND(AB16="Probabilidad",AB17="Impacto"),(AM15-(+AM15*AE17)),IF(AB17="Probabilidad",AM16,""))),"")</f>
        <v/>
      </c>
      <c r="AN17" s="131" t="str">
        <f t="shared" si="14"/>
        <v/>
      </c>
      <c r="AO17" s="132"/>
      <c r="AP17" s="304"/>
      <c r="AQ17" s="353"/>
      <c r="AR17" s="353"/>
      <c r="AS17" s="347"/>
      <c r="AT17" s="400"/>
      <c r="AU17" s="400"/>
      <c r="AV17" s="400"/>
    </row>
    <row r="18" spans="1:48" hidden="1" x14ac:dyDescent="0.2">
      <c r="A18" s="398"/>
      <c r="B18" s="401"/>
      <c r="C18" s="401"/>
      <c r="D18" s="401"/>
      <c r="E18" s="421"/>
      <c r="F18" s="401"/>
      <c r="G18" s="401"/>
      <c r="H18" s="400"/>
      <c r="I18" s="403"/>
      <c r="J18" s="421"/>
      <c r="K18" s="421"/>
      <c r="L18" s="421"/>
      <c r="M18" s="403"/>
      <c r="N18" s="403"/>
      <c r="O18" s="416"/>
      <c r="P18" s="417"/>
      <c r="Q18" s="405"/>
      <c r="R18" s="406"/>
      <c r="S18" s="405">
        <f>IF(NOT(ISERROR(MATCH(R18,_xlfn.ANCHORARRAY(G29),0))),Q31&amp;"Por favor no seleccionar los criterios de impacto",R18)</f>
        <v>0</v>
      </c>
      <c r="T18" s="417"/>
      <c r="U18" s="405"/>
      <c r="V18" s="418"/>
      <c r="W18" s="149">
        <v>4</v>
      </c>
      <c r="X18" s="182"/>
      <c r="Y18" s="149"/>
      <c r="Z18" s="149"/>
      <c r="AA18" s="304" t="str">
        <f t="shared" si="1"/>
        <v xml:space="preserve">  </v>
      </c>
      <c r="AB18" s="126" t="str">
        <f t="shared" ref="AB18:AB20" si="16">IF(OR(AC18="Preventivo",AC18="Detectivo"),"Probabilidad",IF(AC18="Correctivo","Impacto",""))</f>
        <v/>
      </c>
      <c r="AC18" s="127"/>
      <c r="AD18" s="127"/>
      <c r="AE18" s="128" t="str">
        <f t="shared" si="11"/>
        <v/>
      </c>
      <c r="AF18" s="127"/>
      <c r="AG18" s="127"/>
      <c r="AH18" s="127"/>
      <c r="AI18" s="129" t="str">
        <f t="shared" ref="AI18:AI20" si="17">IFERROR(IF(AND(AB17="Probabilidad",AB18="Probabilidad"),(AK17-(+AK17*AE18)),IF(AND(AB17="Impacto",AB18="Probabilidad"),(AK16-(+AK16*AE18)),IF(AB18="Impacto",AK17,""))),"")</f>
        <v/>
      </c>
      <c r="AJ18" s="130" t="str">
        <f t="shared" si="3"/>
        <v/>
      </c>
      <c r="AK18" s="128" t="str">
        <f t="shared" si="12"/>
        <v/>
      </c>
      <c r="AL18" s="130" t="str">
        <f t="shared" si="5"/>
        <v/>
      </c>
      <c r="AM18" s="128" t="str">
        <f t="shared" si="15"/>
        <v/>
      </c>
      <c r="AN18" s="131" t="str">
        <f>IFERROR(IF(OR(AND(AJ18="Muy Baja",AL18="Leve"),AND(AJ18="Muy Baja",AL18="Menor"),AND(AJ18="Baja",AL18="Leve")),"Bajo",IF(OR(AND(AJ18="Muy baja",AL18="Moderado"),AND(AJ18="Baja",AL18="Menor"),AND(AJ18="Baja",AL18="Moderado"),AND(AJ18="Media",AL18="Leve"),AND(AJ18="Media",AL18="Menor"),AND(AJ18="Media",AL18="Moderado"),AND(AJ18="Alta",AL18="Leve"),AND(AJ18="Alta",AL18="Menor")),"Moderado",IF(OR(AND(AJ18="Muy Baja",AL18="Mayor"),AND(AJ18="Baja",AL18="Mayor"),AND(AJ18="Media",AL18="Mayor"),AND(AJ18="Alta",AL18="Moderado"),AND(AJ18="Alta",AL18="Mayor"),AND(AJ18="Muy Alta",AL18="Leve"),AND(AJ18="Muy Alta",AL18="Menor"),AND(AJ18="Muy Alta",AL18="Moderado"),AND(AJ18="Muy Alta",AL18="Mayor")),"Alto",IF(OR(AND(AJ18="Muy Baja",AL18="Catastrófico"),AND(AJ18="Baja",AL18="Catastrófico"),AND(AJ18="Media",AL18="Catastrófico"),AND(AJ18="Alta",AL18="Catastrófico"),AND(AJ18="Muy Alta",AL18="Catastrófico")),"Extremo","")))),"")</f>
        <v/>
      </c>
      <c r="AO18" s="132"/>
      <c r="AP18" s="304"/>
      <c r="AQ18" s="353"/>
      <c r="AR18" s="353"/>
      <c r="AS18" s="347"/>
      <c r="AT18" s="400"/>
      <c r="AU18" s="400"/>
      <c r="AV18" s="400"/>
    </row>
    <row r="19" spans="1:48" hidden="1" x14ac:dyDescent="0.2">
      <c r="A19" s="398"/>
      <c r="B19" s="401"/>
      <c r="C19" s="401"/>
      <c r="D19" s="401"/>
      <c r="E19" s="421"/>
      <c r="F19" s="401"/>
      <c r="G19" s="401"/>
      <c r="H19" s="400"/>
      <c r="I19" s="403"/>
      <c r="J19" s="421"/>
      <c r="K19" s="421"/>
      <c r="L19" s="421"/>
      <c r="M19" s="403"/>
      <c r="N19" s="403"/>
      <c r="O19" s="416"/>
      <c r="P19" s="417"/>
      <c r="Q19" s="405"/>
      <c r="R19" s="406"/>
      <c r="S19" s="405">
        <f>IF(NOT(ISERROR(MATCH(R19,_xlfn.ANCHORARRAY(G30),0))),Q32&amp;"Por favor no seleccionar los criterios de impacto",R19)</f>
        <v>0</v>
      </c>
      <c r="T19" s="417"/>
      <c r="U19" s="405"/>
      <c r="V19" s="418"/>
      <c r="W19" s="149">
        <v>5</v>
      </c>
      <c r="X19" s="182"/>
      <c r="Y19" s="149"/>
      <c r="Z19" s="149"/>
      <c r="AA19" s="304" t="str">
        <f t="shared" si="1"/>
        <v xml:space="preserve">  </v>
      </c>
      <c r="AB19" s="126" t="str">
        <f t="shared" si="16"/>
        <v/>
      </c>
      <c r="AC19" s="127"/>
      <c r="AD19" s="127"/>
      <c r="AE19" s="128" t="str">
        <f t="shared" si="11"/>
        <v/>
      </c>
      <c r="AF19" s="127"/>
      <c r="AG19" s="127"/>
      <c r="AH19" s="127"/>
      <c r="AI19" s="129" t="str">
        <f t="shared" si="17"/>
        <v/>
      </c>
      <c r="AJ19" s="130" t="str">
        <f t="shared" si="3"/>
        <v/>
      </c>
      <c r="AK19" s="128" t="str">
        <f t="shared" si="12"/>
        <v/>
      </c>
      <c r="AL19" s="130" t="str">
        <f t="shared" si="5"/>
        <v/>
      </c>
      <c r="AM19" s="128" t="str">
        <f t="shared" si="15"/>
        <v/>
      </c>
      <c r="AN19" s="131" t="str">
        <f t="shared" ref="AN19:AN20" si="18">IFERROR(IF(OR(AND(AJ19="Muy Baja",AL19="Leve"),AND(AJ19="Muy Baja",AL19="Menor"),AND(AJ19="Baja",AL19="Leve")),"Bajo",IF(OR(AND(AJ19="Muy baja",AL19="Moderado"),AND(AJ19="Baja",AL19="Menor"),AND(AJ19="Baja",AL19="Moderado"),AND(AJ19="Media",AL19="Leve"),AND(AJ19="Media",AL19="Menor"),AND(AJ19="Media",AL19="Moderado"),AND(AJ19="Alta",AL19="Leve"),AND(AJ19="Alta",AL19="Menor")),"Moderado",IF(OR(AND(AJ19="Muy Baja",AL19="Mayor"),AND(AJ19="Baja",AL19="Mayor"),AND(AJ19="Media",AL19="Mayor"),AND(AJ19="Alta",AL19="Moderado"),AND(AJ19="Alta",AL19="Mayor"),AND(AJ19="Muy Alta",AL19="Leve"),AND(AJ19="Muy Alta",AL19="Menor"),AND(AJ19="Muy Alta",AL19="Moderado"),AND(AJ19="Muy Alta",AL19="Mayor")),"Alto",IF(OR(AND(AJ19="Muy Baja",AL19="Catastrófico"),AND(AJ19="Baja",AL19="Catastrófico"),AND(AJ19="Media",AL19="Catastrófico"),AND(AJ19="Alta",AL19="Catastrófico"),AND(AJ19="Muy Alta",AL19="Catastrófico")),"Extremo","")))),"")</f>
        <v/>
      </c>
      <c r="AO19" s="132"/>
      <c r="AP19" s="304"/>
      <c r="AQ19" s="353"/>
      <c r="AR19" s="353"/>
      <c r="AS19" s="347"/>
      <c r="AT19" s="400"/>
      <c r="AU19" s="400"/>
      <c r="AV19" s="400"/>
    </row>
    <row r="20" spans="1:48" hidden="1" x14ac:dyDescent="0.2">
      <c r="A20" s="398"/>
      <c r="B20" s="401"/>
      <c r="C20" s="401"/>
      <c r="D20" s="401"/>
      <c r="E20" s="422"/>
      <c r="F20" s="401"/>
      <c r="G20" s="401"/>
      <c r="H20" s="400"/>
      <c r="I20" s="404"/>
      <c r="J20" s="422"/>
      <c r="K20" s="422"/>
      <c r="L20" s="422"/>
      <c r="M20" s="404"/>
      <c r="N20" s="404"/>
      <c r="O20" s="416"/>
      <c r="P20" s="417"/>
      <c r="Q20" s="405"/>
      <c r="R20" s="406"/>
      <c r="S20" s="405">
        <f>IF(NOT(ISERROR(MATCH(R20,_xlfn.ANCHORARRAY(G31),0))),Q33&amp;"Por favor no seleccionar los criterios de impacto",R20)</f>
        <v>0</v>
      </c>
      <c r="T20" s="417"/>
      <c r="U20" s="405"/>
      <c r="V20" s="418"/>
      <c r="W20" s="149">
        <v>6</v>
      </c>
      <c r="X20" s="149"/>
      <c r="Y20" s="149"/>
      <c r="Z20" s="149"/>
      <c r="AA20" s="304" t="str">
        <f t="shared" si="1"/>
        <v xml:space="preserve">  </v>
      </c>
      <c r="AB20" s="126" t="str">
        <f t="shared" si="16"/>
        <v/>
      </c>
      <c r="AC20" s="127"/>
      <c r="AD20" s="127"/>
      <c r="AE20" s="128" t="str">
        <f t="shared" si="11"/>
        <v/>
      </c>
      <c r="AF20" s="127"/>
      <c r="AG20" s="127"/>
      <c r="AH20" s="127"/>
      <c r="AI20" s="129" t="str">
        <f t="shared" si="17"/>
        <v/>
      </c>
      <c r="AJ20" s="130" t="str">
        <f t="shared" si="3"/>
        <v/>
      </c>
      <c r="AK20" s="128" t="str">
        <f t="shared" si="12"/>
        <v/>
      </c>
      <c r="AL20" s="130" t="str">
        <f t="shared" si="5"/>
        <v/>
      </c>
      <c r="AM20" s="128" t="str">
        <f t="shared" si="15"/>
        <v/>
      </c>
      <c r="AN20" s="131" t="str">
        <f t="shared" si="18"/>
        <v/>
      </c>
      <c r="AO20" s="132"/>
      <c r="AP20" s="304"/>
      <c r="AQ20" s="353"/>
      <c r="AR20" s="353"/>
      <c r="AS20" s="347"/>
      <c r="AT20" s="400"/>
      <c r="AU20" s="400"/>
      <c r="AV20" s="400"/>
    </row>
    <row r="21" spans="1:48" ht="119.25" customHeight="1" x14ac:dyDescent="0.2">
      <c r="A21" s="398">
        <v>3</v>
      </c>
      <c r="B21" s="401" t="s">
        <v>551</v>
      </c>
      <c r="C21" s="401" t="s">
        <v>32</v>
      </c>
      <c r="D21" s="401" t="s">
        <v>763</v>
      </c>
      <c r="E21" s="420" t="s">
        <v>766</v>
      </c>
      <c r="F21" s="401" t="s">
        <v>736</v>
      </c>
      <c r="G21" s="401" t="str">
        <f t="shared" ref="G21" si="19">+CONCATENATE(C21," ",D21)</f>
        <v>Posibilidad de recibir o solicitar cualquier dádiva o beneficio Por Modificar los resultados y/o los tiempos de entrega de informes de ensayos a cambio de beneficio a nombre propio o de terceros, con el fin agilizar, retrasar la entrega de informes o hacer que los materiales cumplan especificaciones técnicas.</v>
      </c>
      <c r="H21" s="400" t="s">
        <v>84</v>
      </c>
      <c r="I21" s="402" t="s">
        <v>59</v>
      </c>
      <c r="J21" s="420" t="s">
        <v>769</v>
      </c>
      <c r="K21" s="420" t="s">
        <v>768</v>
      </c>
      <c r="L21" s="420" t="s">
        <v>767</v>
      </c>
      <c r="M21" s="402" t="s">
        <v>63</v>
      </c>
      <c r="N21" s="402" t="s">
        <v>42</v>
      </c>
      <c r="O21" s="416">
        <v>261</v>
      </c>
      <c r="P21" s="417" t="str">
        <f>IF(O21&lt;=0,"",IF(O21&lt;=2,"Muy Baja",IF(O21&lt;=24,"Baja",IF(O21&lt;=500,"Media",IF(O21&lt;=5000,"Alta","Muy Alta")))))</f>
        <v>Media</v>
      </c>
      <c r="Q21" s="405">
        <f>IF(P21="","",IF(P21="Muy Baja",0.2,IF(P21="Baja",0.4,IF(P21="Media",0.6,IF(P21="Alta",0.8,IF(P21="Muy Alta",1,))))))</f>
        <v>0.6</v>
      </c>
      <c r="R21" s="406" t="s">
        <v>428</v>
      </c>
      <c r="S21" s="405" t="str">
        <f>IF(NOT(ISERROR(MATCH(R21,'[3]Tabla Impacto'!$B$245:$B$247,0))),'[3]Tabla Impacto'!$F$224&amp;"Por favor no seleccionar los criterios de impacto(Afectación Económica o presupuestal y Pérdida Reputacional)",R21)</f>
        <v xml:space="preserve">     El riesgo afecta la imagen de la entidad con algunos usuarios de relevancia frente al logro de los objetivos</v>
      </c>
      <c r="T21" s="417" t="str">
        <f>IF(OR(S21='[3]Tabla Impacto'!$C$12,S21='[3]Tabla Impacto'!$D$12),"Leve",IF(OR(S21='[3]Tabla Impacto'!$C$13,S21='[3]Tabla Impacto'!$D$13),"Menor",IF(OR(S21='[3]Tabla Impacto'!$C$14,S21='[3]Tabla Impacto'!$D$14),"Moderado",IF(OR(S21='[3]Tabla Impacto'!$C$15,S21='[3]Tabla Impacto'!$D$15),"Mayor",IF(OR(S21='[3]Tabla Impacto'!$C$16,S21='[3]Tabla Impacto'!$D$16),"Catastrófico","")))))</f>
        <v>Moderado</v>
      </c>
      <c r="U21" s="405">
        <f>IF(T21="","",IF(T21="Leve",0.2,IF(T21="Menor",0.4,IF(T21="Moderado",0.6,IF(T21="Mayor",0.8,IF(T21="Catastrófico",1,))))))</f>
        <v>0.6</v>
      </c>
      <c r="V21" s="418" t="str">
        <f>IF(OR(AND(P21="Muy Baja",T21="Leve"),AND(P21="Muy Baja",T21="Menor"),AND(P21="Baja",T21="Leve")),"Bajo",IF(OR(AND(P21="Muy baja",T21="Moderado"),AND(P21="Baja",T21="Menor"),AND(P21="Baja",T21="Moderado"),AND(P21="Media",T21="Leve"),AND(P21="Media",T21="Menor"),AND(P21="Media",T21="Moderado"),AND(P21="Alta",T21="Leve"),AND(P21="Alta",T21="Menor")),"Moderado",IF(OR(AND(P21="Muy Baja",T21="Mayor"),AND(P21="Baja",T21="Mayor"),AND(P21="Media",T21="Mayor"),AND(P21="Alta",T21="Moderado"),AND(P21="Alta",T21="Mayor"),AND(P21="Muy Alta",T21="Leve"),AND(P21="Muy Alta",T21="Menor"),AND(P21="Muy Alta",T21="Moderado"),AND(P21="Muy Alta",T21="Mayor")),"Alto",IF(OR(AND(P21="Muy Baja",T21="Catastrófico"),AND(P21="Baja",T21="Catastrófico"),AND(P21="Media",T21="Catastrófico"),AND(P21="Alta",T21="Catastrófico"),AND(P21="Muy Alta",T21="Catastrófico")),"Extremo",""))))</f>
        <v>Moderado</v>
      </c>
      <c r="W21" s="149">
        <v>1</v>
      </c>
      <c r="X21" s="182" t="s">
        <v>770</v>
      </c>
      <c r="Y21" s="149" t="s">
        <v>37</v>
      </c>
      <c r="Z21" s="342" t="s">
        <v>771</v>
      </c>
      <c r="AA21" s="304" t="str">
        <f t="shared" si="1"/>
        <v xml:space="preserve"> El auxiliar administrativo Verifica cada vez que se genera una solicitud de servicio, que exista un documento (acuerdo de servicio, acta o correo) entre las partes (cliente interno y laboratorio), en donde se establezcan los requisitos mínimos para la solitud (El material a ensayar, el o los ensayos a realizar, fecha de recepción de la muestra, fecha en la que se requiere el informe de ensayo, medio de envió de los resultados.).
Si  hay solicitudes de servicios en donde no se especifique algún requisito, el servicio no se prestara hasta que el documento cuente con el o los requisitos faltantes.</v>
      </c>
      <c r="AB21" s="126" t="str">
        <f>IF(OR(AC21="Preventivo",AC21="Detectivo"),"Probabilidad",IF(AC21="Correctivo","Impacto",""))</f>
        <v>Probabilidad</v>
      </c>
      <c r="AC21" s="127" t="s">
        <v>398</v>
      </c>
      <c r="AD21" s="127" t="s">
        <v>394</v>
      </c>
      <c r="AE21" s="128" t="str">
        <f>IF(AND(AC21="Preventivo",AD21="Automático"),"50%",IF(AND(AC21="Preventivo",AD21="Manual"),"40%",IF(AND(AC21="Detectivo",AD21="Automático"),"40%",IF(AND(AC21="Detectivo",AD21="Manual"),"30%",IF(AND(AC21="Correctivo",AD21="Automático"),"35%",IF(AND(AC21="Correctivo",AD21="Manual"),"25%",""))))))</f>
        <v>40%</v>
      </c>
      <c r="AF21" s="127" t="s">
        <v>395</v>
      </c>
      <c r="AG21" s="127" t="s">
        <v>396</v>
      </c>
      <c r="AH21" s="127" t="s">
        <v>397</v>
      </c>
      <c r="AI21" s="129">
        <f>IFERROR(IF(AB21="Probabilidad",(Q21-(+Q21*AE21)),IF(AB21="Impacto",Q21,"")),"")</f>
        <v>0.36</v>
      </c>
      <c r="AJ21" s="130" t="str">
        <f>IFERROR(IF(AI21="","",IF(AI21&lt;=0.2,"Muy Baja",IF(AI21&lt;=0.4,"Baja",IF(AI21&lt;=0.6,"Media",IF(AI21&lt;=0.8,"Alta","Muy Alta"))))),"")</f>
        <v>Baja</v>
      </c>
      <c r="AK21" s="128">
        <f>+AI21</f>
        <v>0.36</v>
      </c>
      <c r="AL21" s="130" t="str">
        <f>IFERROR(IF(AM21="","",IF(AM21&lt;=0.2,"Leve",IF(AM21&lt;=0.4,"Menor",IF(AM21&lt;=0.6,"Moderado",IF(AM21&lt;=0.8,"Mayor","Catastrófico"))))),"")</f>
        <v>Moderado</v>
      </c>
      <c r="AM21" s="128">
        <f t="shared" ref="AM21" si="20">IFERROR(IF(AB21="Impacto",(U21-(+U21*AE21)),IF(AB21="Probabilidad",U21,"")),"")</f>
        <v>0.6</v>
      </c>
      <c r="AN21" s="131" t="str">
        <f>IFERROR(IF(OR(AND(AJ21="Muy Baja",AL21="Leve"),AND(AJ21="Muy Baja",AL21="Menor"),AND(AJ21="Baja",AL21="Leve")),"Bajo",IF(OR(AND(AJ21="Muy baja",AL21="Moderado"),AND(AJ21="Baja",AL21="Menor"),AND(AJ21="Baja",AL21="Moderado"),AND(AJ21="Media",AL21="Leve"),AND(AJ21="Media",AL21="Menor"),AND(AJ21="Media",AL21="Moderado"),AND(AJ21="Alta",AL21="Leve"),AND(AJ21="Alta",AL21="Menor")),"Moderado",IF(OR(AND(AJ21="Muy Baja",AL21="Mayor"),AND(AJ21="Baja",AL21="Mayor"),AND(AJ21="Media",AL21="Mayor"),AND(AJ21="Alta",AL21="Moderado"),AND(AJ21="Alta",AL21="Mayor"),AND(AJ21="Muy Alta",AL21="Leve"),AND(AJ21="Muy Alta",AL21="Menor"),AND(AJ21="Muy Alta",AL21="Moderado"),AND(AJ21="Muy Alta",AL21="Mayor")),"Alto",IF(OR(AND(AJ21="Muy Baja",AL21="Catastrófico"),AND(AJ21="Baja",AL21="Catastrófico"),AND(AJ21="Media",AL21="Catastrófico"),AND(AJ21="Alta",AL21="Catastrófico"),AND(AJ21="Muy Alta",AL21="Catastrófico")),"Extremo","")))),"")</f>
        <v>Moderado</v>
      </c>
      <c r="AO21" s="132"/>
      <c r="AP21" s="304" t="s">
        <v>943</v>
      </c>
      <c r="AQ21" s="353" t="s">
        <v>944</v>
      </c>
      <c r="AR21" s="353" t="s">
        <v>945</v>
      </c>
      <c r="AS21" s="347">
        <v>46022</v>
      </c>
      <c r="AT21" s="400" t="s">
        <v>946</v>
      </c>
      <c r="AU21" s="400" t="s">
        <v>947</v>
      </c>
      <c r="AV21" s="400" t="s">
        <v>948</v>
      </c>
    </row>
    <row r="22" spans="1:48" ht="119.25" customHeight="1" x14ac:dyDescent="0.2">
      <c r="A22" s="398"/>
      <c r="B22" s="401"/>
      <c r="C22" s="401"/>
      <c r="D22" s="401"/>
      <c r="E22" s="421"/>
      <c r="F22" s="401"/>
      <c r="G22" s="401"/>
      <c r="H22" s="400"/>
      <c r="I22" s="403"/>
      <c r="J22" s="421"/>
      <c r="K22" s="421"/>
      <c r="L22" s="421"/>
      <c r="M22" s="403"/>
      <c r="N22" s="403"/>
      <c r="O22" s="416"/>
      <c r="P22" s="417"/>
      <c r="Q22" s="405"/>
      <c r="R22" s="406"/>
      <c r="S22" s="405">
        <f>IF(NOT(ISERROR(MATCH(R22,_xlfn.ANCHORARRAY(G33),0))),Q35&amp;"Por favor no seleccionar los criterios de impacto",R22)</f>
        <v>0</v>
      </c>
      <c r="T22" s="417"/>
      <c r="U22" s="405"/>
      <c r="V22" s="418"/>
      <c r="W22" s="149">
        <v>2</v>
      </c>
      <c r="X22" s="182" t="s">
        <v>760</v>
      </c>
      <c r="Y22" s="149" t="s">
        <v>41</v>
      </c>
      <c r="Z22" s="342" t="s">
        <v>772</v>
      </c>
      <c r="AA22" s="304" t="str">
        <f t="shared" si="1"/>
        <v>El auxiliar administrativo Valida cada vez que se emite un informe de ensayo, por  medio  del formato  de matriz de trazabilidad  GLAB-FM-103, que  los tiempos  establecidos en la  solicitud de servicio se cumpla, 
de encontrarse desviaciones en los  tiempos se le comunica al cliente justificando las razones de dicho cambio.</v>
      </c>
      <c r="AB22" s="126" t="str">
        <f>IF(OR(AC22="Preventivo",AC22="Detectivo"),"Probabilidad",IF(AC22="Correctivo","Impacto",""))</f>
        <v>Probabilidad</v>
      </c>
      <c r="AC22" s="127" t="s">
        <v>393</v>
      </c>
      <c r="AD22" s="127" t="s">
        <v>394</v>
      </c>
      <c r="AE22" s="128" t="str">
        <f t="shared" ref="AE22:AE26" si="21">IF(AND(AC22="Preventivo",AD22="Automático"),"50%",IF(AND(AC22="Preventivo",AD22="Manual"),"40%",IF(AND(AC22="Detectivo",AD22="Automático"),"40%",IF(AND(AC22="Detectivo",AD22="Manual"),"30%",IF(AND(AC22="Correctivo",AD22="Automático"),"35%",IF(AND(AC22="Correctivo",AD22="Manual"),"25%",""))))))</f>
        <v>30%</v>
      </c>
      <c r="AF22" s="127" t="s">
        <v>395</v>
      </c>
      <c r="AG22" s="127" t="s">
        <v>396</v>
      </c>
      <c r="AH22" s="127" t="s">
        <v>397</v>
      </c>
      <c r="AI22" s="129">
        <f>IFERROR(IF(AND(AB21="Probabilidad",AB22="Probabilidad"),(AK21-(+AK21*AE22)),IF(AB22="Probabilidad",(Q21-(+Q21*AE22)),IF(AB22="Impacto",AK21,""))),"")</f>
        <v>0.252</v>
      </c>
      <c r="AJ22" s="130" t="str">
        <f t="shared" si="3"/>
        <v>Baja</v>
      </c>
      <c r="AK22" s="128">
        <f t="shared" ref="AK22:AK26" si="22">+AI22</f>
        <v>0.252</v>
      </c>
      <c r="AL22" s="130" t="str">
        <f t="shared" si="5"/>
        <v>Moderado</v>
      </c>
      <c r="AM22" s="128">
        <f t="shared" ref="AM22" si="23">IFERROR(IF(AND(AB21="Impacto",AB22="Impacto"),(AM21-(+AM21*AE22)),IF(AB22="Impacto",($U$9-(+$U$9*AE22)),IF(AB22="Probabilidad",AM21,""))),"")</f>
        <v>0.6</v>
      </c>
      <c r="AN22" s="131" t="str">
        <f t="shared" ref="AN22:AN23" si="24">IFERROR(IF(OR(AND(AJ22="Muy Baja",AL22="Leve"),AND(AJ22="Muy Baja",AL22="Menor"),AND(AJ22="Baja",AL22="Leve")),"Bajo",IF(OR(AND(AJ22="Muy baja",AL22="Moderado"),AND(AJ22="Baja",AL22="Menor"),AND(AJ22="Baja",AL22="Moderado"),AND(AJ22="Media",AL22="Leve"),AND(AJ22="Media",AL22="Menor"),AND(AJ22="Media",AL22="Moderado"),AND(AJ22="Alta",AL22="Leve"),AND(AJ22="Alta",AL22="Menor")),"Moderado",IF(OR(AND(AJ22="Muy Baja",AL22="Mayor"),AND(AJ22="Baja",AL22="Mayor"),AND(AJ22="Media",AL22="Mayor"),AND(AJ22="Alta",AL22="Moderado"),AND(AJ22="Alta",AL22="Mayor"),AND(AJ22="Muy Alta",AL22="Leve"),AND(AJ22="Muy Alta",AL22="Menor"),AND(AJ22="Muy Alta",AL22="Moderado"),AND(AJ22="Muy Alta",AL22="Mayor")),"Alto",IF(OR(AND(AJ22="Muy Baja",AL22="Catastrófico"),AND(AJ22="Baja",AL22="Catastrófico"),AND(AJ22="Media",AL22="Catastrófico"),AND(AJ22="Alta",AL22="Catastrófico"),AND(AJ22="Muy Alta",AL22="Catastrófico")),"Extremo","")))),"")</f>
        <v>Moderado</v>
      </c>
      <c r="AO22" s="132"/>
      <c r="AP22" s="304"/>
      <c r="AQ22" s="353"/>
      <c r="AR22" s="353"/>
      <c r="AS22" s="347"/>
      <c r="AT22" s="400"/>
      <c r="AU22" s="400"/>
      <c r="AV22" s="400"/>
    </row>
    <row r="23" spans="1:48" ht="119.25" customHeight="1" x14ac:dyDescent="0.2">
      <c r="A23" s="398"/>
      <c r="B23" s="401"/>
      <c r="C23" s="401"/>
      <c r="D23" s="401"/>
      <c r="E23" s="421"/>
      <c r="F23" s="401"/>
      <c r="G23" s="401"/>
      <c r="H23" s="400"/>
      <c r="I23" s="403"/>
      <c r="J23" s="421"/>
      <c r="K23" s="421"/>
      <c r="L23" s="421"/>
      <c r="M23" s="403"/>
      <c r="N23" s="403"/>
      <c r="O23" s="416"/>
      <c r="P23" s="417"/>
      <c r="Q23" s="405"/>
      <c r="R23" s="406"/>
      <c r="S23" s="405">
        <f>IF(NOT(ISERROR(MATCH(R23,_xlfn.ANCHORARRAY(G34),0))),Q36&amp;"Por favor no seleccionar los criterios de impacto",R23)</f>
        <v>0</v>
      </c>
      <c r="T23" s="417"/>
      <c r="U23" s="405"/>
      <c r="V23" s="418"/>
      <c r="W23" s="149">
        <v>3</v>
      </c>
      <c r="X23" s="182" t="s">
        <v>715</v>
      </c>
      <c r="Y23" s="149" t="s">
        <v>37</v>
      </c>
      <c r="Z23" s="336" t="s">
        <v>773</v>
      </c>
      <c r="AA23" s="304" t="str">
        <f t="shared" si="1"/>
        <v>El supervisor del contrato Verifica cada vez que ingresa una persona al laboratorio, que firme el compromiso de confidencialidad e imparcialidad en el formato compromiso de confidencialidad e imparcialidad GLAB-FM-126, con el fin de garantizar la imparcialidad en la ejecución de las actividades del laboratorio. Si no se ha firmado el compromiso no se da inicio para desarrollar las actividades en el laboratorio.</v>
      </c>
      <c r="AB23" s="126" t="str">
        <f>IF(OR(AC23="Preventivo",AC23="Detectivo"),"Probabilidad",IF(AC23="Correctivo","Impacto",""))</f>
        <v>Probabilidad</v>
      </c>
      <c r="AC23" s="127" t="s">
        <v>398</v>
      </c>
      <c r="AD23" s="127" t="s">
        <v>394</v>
      </c>
      <c r="AE23" s="128" t="str">
        <f t="shared" si="21"/>
        <v>40%</v>
      </c>
      <c r="AF23" s="127" t="s">
        <v>395</v>
      </c>
      <c r="AG23" s="127" t="s">
        <v>396</v>
      </c>
      <c r="AH23" s="127" t="s">
        <v>397</v>
      </c>
      <c r="AI23" s="129">
        <f>IFERROR(IF(AND(AB22="Probabilidad",AB23="Probabilidad"),(AK22-(+AK22*AE23)),IF(AND(AB22="Impacto",AB23="Probabilidad"),(AK21-(+AK21*AE23)),IF(AB23="Impacto",AK22,""))),"")</f>
        <v>0.1512</v>
      </c>
      <c r="AJ23" s="130" t="str">
        <f t="shared" si="3"/>
        <v>Muy Baja</v>
      </c>
      <c r="AK23" s="128">
        <f t="shared" si="22"/>
        <v>0.1512</v>
      </c>
      <c r="AL23" s="130" t="str">
        <f t="shared" si="5"/>
        <v>Moderado</v>
      </c>
      <c r="AM23" s="128">
        <f t="shared" ref="AM23" si="25">IFERROR(IF(AND(AB22="Impacto",AB23="Impacto"),(AM22-(+AM22*AE23)),IF(AND(AB22="Probabilidad",AB23="Impacto"),(AM21-(+AM21*AE23)),IF(AB23="Probabilidad",AM22,""))),"")</f>
        <v>0.6</v>
      </c>
      <c r="AN23" s="131" t="str">
        <f t="shared" si="24"/>
        <v>Moderado</v>
      </c>
      <c r="AO23" s="132" t="s">
        <v>43</v>
      </c>
      <c r="AP23" s="304"/>
      <c r="AQ23" s="353"/>
      <c r="AR23" s="353"/>
      <c r="AS23" s="347"/>
      <c r="AT23" s="400"/>
      <c r="AU23" s="400"/>
      <c r="AV23" s="400"/>
    </row>
    <row r="24" spans="1:48" hidden="1" x14ac:dyDescent="0.2">
      <c r="A24" s="398"/>
      <c r="B24" s="401"/>
      <c r="C24" s="401"/>
      <c r="D24" s="401"/>
      <c r="E24" s="421"/>
      <c r="F24" s="401"/>
      <c r="G24" s="401"/>
      <c r="H24" s="400"/>
      <c r="I24" s="403"/>
      <c r="J24" s="421"/>
      <c r="K24" s="421"/>
      <c r="L24" s="421"/>
      <c r="M24" s="403"/>
      <c r="N24" s="403"/>
      <c r="O24" s="416"/>
      <c r="P24" s="417"/>
      <c r="Q24" s="405"/>
      <c r="R24" s="406"/>
      <c r="S24" s="405">
        <f>IF(NOT(ISERROR(MATCH(R24,_xlfn.ANCHORARRAY(G35),0))),Q37&amp;"Por favor no seleccionar los criterios de impacto",R24)</f>
        <v>0</v>
      </c>
      <c r="T24" s="417"/>
      <c r="U24" s="405"/>
      <c r="V24" s="418"/>
      <c r="W24" s="149">
        <v>4</v>
      </c>
      <c r="X24" s="149"/>
      <c r="Y24" s="149"/>
      <c r="Z24" s="149"/>
      <c r="AA24" s="304" t="str">
        <f t="shared" si="1"/>
        <v xml:space="preserve">  </v>
      </c>
      <c r="AB24" s="126" t="str">
        <f t="shared" ref="AB24:AB26" si="26">IF(OR(AC24="Preventivo",AC24="Detectivo"),"Probabilidad",IF(AC24="Correctivo","Impacto",""))</f>
        <v/>
      </c>
      <c r="AC24" s="127"/>
      <c r="AD24" s="127"/>
      <c r="AE24" s="128" t="str">
        <f t="shared" si="21"/>
        <v/>
      </c>
      <c r="AF24" s="127"/>
      <c r="AG24" s="127"/>
      <c r="AH24" s="127"/>
      <c r="AI24" s="129" t="str">
        <f t="shared" ref="AI24:AI26" si="27">IFERROR(IF(AND(AB23="Probabilidad",AB24="Probabilidad"),(AK23-(+AK23*AE24)),IF(AND(AB23="Impacto",AB24="Probabilidad"),(AK22-(+AK22*AE24)),IF(AB24="Impacto",AK23,""))),"")</f>
        <v/>
      </c>
      <c r="AJ24" s="130" t="str">
        <f t="shared" si="3"/>
        <v/>
      </c>
      <c r="AK24" s="128" t="str">
        <f t="shared" si="22"/>
        <v/>
      </c>
      <c r="AL24" s="130" t="str">
        <f t="shared" si="5"/>
        <v/>
      </c>
      <c r="AM24" s="128" t="str">
        <f t="shared" si="15"/>
        <v/>
      </c>
      <c r="AN24" s="131" t="str">
        <f>IFERROR(IF(OR(AND(AJ24="Muy Baja",AL24="Leve"),AND(AJ24="Muy Baja",AL24="Menor"),AND(AJ24="Baja",AL24="Leve")),"Bajo",IF(OR(AND(AJ24="Muy baja",AL24="Moderado"),AND(AJ24="Baja",AL24="Menor"),AND(AJ24="Baja",AL24="Moderado"),AND(AJ24="Media",AL24="Leve"),AND(AJ24="Media",AL24="Menor"),AND(AJ24="Media",AL24="Moderado"),AND(AJ24="Alta",AL24="Leve"),AND(AJ24="Alta",AL24="Menor")),"Moderado",IF(OR(AND(AJ24="Muy Baja",AL24="Mayor"),AND(AJ24="Baja",AL24="Mayor"),AND(AJ24="Media",AL24="Mayor"),AND(AJ24="Alta",AL24="Moderado"),AND(AJ24="Alta",AL24="Mayor"),AND(AJ24="Muy Alta",AL24="Leve"),AND(AJ24="Muy Alta",AL24="Menor"),AND(AJ24="Muy Alta",AL24="Moderado"),AND(AJ24="Muy Alta",AL24="Mayor")),"Alto",IF(OR(AND(AJ24="Muy Baja",AL24="Catastrófico"),AND(AJ24="Baja",AL24="Catastrófico"),AND(AJ24="Media",AL24="Catastrófico"),AND(AJ24="Alta",AL24="Catastrófico"),AND(AJ24="Muy Alta",AL24="Catastrófico")),"Extremo","")))),"")</f>
        <v/>
      </c>
      <c r="AO24" s="132"/>
      <c r="AP24" s="304"/>
      <c r="AQ24" s="353"/>
      <c r="AR24" s="353"/>
      <c r="AS24" s="347"/>
      <c r="AT24" s="400"/>
      <c r="AU24" s="400"/>
      <c r="AV24" s="400"/>
    </row>
    <row r="25" spans="1:48" hidden="1" x14ac:dyDescent="0.2">
      <c r="A25" s="398"/>
      <c r="B25" s="401"/>
      <c r="C25" s="401"/>
      <c r="D25" s="401"/>
      <c r="E25" s="421"/>
      <c r="F25" s="401"/>
      <c r="G25" s="401"/>
      <c r="H25" s="400"/>
      <c r="I25" s="403"/>
      <c r="J25" s="421"/>
      <c r="K25" s="421"/>
      <c r="L25" s="421"/>
      <c r="M25" s="403"/>
      <c r="N25" s="403"/>
      <c r="O25" s="416"/>
      <c r="P25" s="417"/>
      <c r="Q25" s="405"/>
      <c r="R25" s="406"/>
      <c r="S25" s="405">
        <f>IF(NOT(ISERROR(MATCH(R25,_xlfn.ANCHORARRAY(G36),0))),Q38&amp;"Por favor no seleccionar los criterios de impacto",R25)</f>
        <v>0</v>
      </c>
      <c r="T25" s="417"/>
      <c r="U25" s="405"/>
      <c r="V25" s="418"/>
      <c r="W25" s="149">
        <v>5</v>
      </c>
      <c r="X25" s="149"/>
      <c r="Y25" s="149"/>
      <c r="Z25" s="149"/>
      <c r="AA25" s="304" t="str">
        <f t="shared" si="1"/>
        <v xml:space="preserve">  </v>
      </c>
      <c r="AB25" s="126" t="str">
        <f t="shared" si="26"/>
        <v/>
      </c>
      <c r="AC25" s="127"/>
      <c r="AD25" s="127"/>
      <c r="AE25" s="128" t="str">
        <f t="shared" si="21"/>
        <v/>
      </c>
      <c r="AF25" s="127"/>
      <c r="AG25" s="127"/>
      <c r="AH25" s="127"/>
      <c r="AI25" s="129" t="str">
        <f t="shared" si="27"/>
        <v/>
      </c>
      <c r="AJ25" s="130" t="str">
        <f t="shared" si="3"/>
        <v/>
      </c>
      <c r="AK25" s="128" t="str">
        <f t="shared" si="22"/>
        <v/>
      </c>
      <c r="AL25" s="130" t="str">
        <f t="shared" si="5"/>
        <v/>
      </c>
      <c r="AM25" s="128" t="str">
        <f t="shared" si="15"/>
        <v/>
      </c>
      <c r="AN25" s="131" t="str">
        <f t="shared" ref="AN25:AN26" si="28">IFERROR(IF(OR(AND(AJ25="Muy Baja",AL25="Leve"),AND(AJ25="Muy Baja",AL25="Menor"),AND(AJ25="Baja",AL25="Leve")),"Bajo",IF(OR(AND(AJ25="Muy baja",AL25="Moderado"),AND(AJ25="Baja",AL25="Menor"),AND(AJ25="Baja",AL25="Moderado"),AND(AJ25="Media",AL25="Leve"),AND(AJ25="Media",AL25="Menor"),AND(AJ25="Media",AL25="Moderado"),AND(AJ25="Alta",AL25="Leve"),AND(AJ25="Alta",AL25="Menor")),"Moderado",IF(OR(AND(AJ25="Muy Baja",AL25="Mayor"),AND(AJ25="Baja",AL25="Mayor"),AND(AJ25="Media",AL25="Mayor"),AND(AJ25="Alta",AL25="Moderado"),AND(AJ25="Alta",AL25="Mayor"),AND(AJ25="Muy Alta",AL25="Leve"),AND(AJ25="Muy Alta",AL25="Menor"),AND(AJ25="Muy Alta",AL25="Moderado"),AND(AJ25="Muy Alta",AL25="Mayor")),"Alto",IF(OR(AND(AJ25="Muy Baja",AL25="Catastrófico"),AND(AJ25="Baja",AL25="Catastrófico"),AND(AJ25="Media",AL25="Catastrófico"),AND(AJ25="Alta",AL25="Catastrófico"),AND(AJ25="Muy Alta",AL25="Catastrófico")),"Extremo","")))),"")</f>
        <v/>
      </c>
      <c r="AO25" s="132"/>
      <c r="AP25" s="304"/>
      <c r="AQ25" s="353"/>
      <c r="AR25" s="353"/>
      <c r="AS25" s="347"/>
      <c r="AT25" s="400"/>
      <c r="AU25" s="400"/>
      <c r="AV25" s="400"/>
    </row>
    <row r="26" spans="1:48" hidden="1" x14ac:dyDescent="0.2">
      <c r="A26" s="398"/>
      <c r="B26" s="401"/>
      <c r="C26" s="401"/>
      <c r="D26" s="401"/>
      <c r="E26" s="422"/>
      <c r="F26" s="401"/>
      <c r="G26" s="401"/>
      <c r="H26" s="400"/>
      <c r="I26" s="404"/>
      <c r="J26" s="422"/>
      <c r="K26" s="422"/>
      <c r="L26" s="422"/>
      <c r="M26" s="404"/>
      <c r="N26" s="404"/>
      <c r="O26" s="416"/>
      <c r="P26" s="417"/>
      <c r="Q26" s="405"/>
      <c r="R26" s="406"/>
      <c r="S26" s="405">
        <f>IF(NOT(ISERROR(MATCH(R26,_xlfn.ANCHORARRAY(G37),0))),Q39&amp;"Por favor no seleccionar los criterios de impacto",R26)</f>
        <v>0</v>
      </c>
      <c r="T26" s="417"/>
      <c r="U26" s="405"/>
      <c r="V26" s="418"/>
      <c r="W26" s="149">
        <v>6</v>
      </c>
      <c r="X26" s="149"/>
      <c r="Y26" s="149"/>
      <c r="Z26" s="149"/>
      <c r="AA26" s="304" t="str">
        <f t="shared" si="1"/>
        <v xml:space="preserve">  </v>
      </c>
      <c r="AB26" s="126" t="str">
        <f t="shared" si="26"/>
        <v/>
      </c>
      <c r="AC26" s="127"/>
      <c r="AD26" s="127"/>
      <c r="AE26" s="128" t="str">
        <f t="shared" si="21"/>
        <v/>
      </c>
      <c r="AF26" s="127"/>
      <c r="AG26" s="127"/>
      <c r="AH26" s="127"/>
      <c r="AI26" s="129" t="str">
        <f t="shared" si="27"/>
        <v/>
      </c>
      <c r="AJ26" s="130" t="str">
        <f t="shared" si="3"/>
        <v/>
      </c>
      <c r="AK26" s="128" t="str">
        <f t="shared" si="22"/>
        <v/>
      </c>
      <c r="AL26" s="130" t="str">
        <f t="shared" si="5"/>
        <v/>
      </c>
      <c r="AM26" s="128" t="str">
        <f t="shared" si="15"/>
        <v/>
      </c>
      <c r="AN26" s="131" t="str">
        <f t="shared" si="28"/>
        <v/>
      </c>
      <c r="AO26" s="132"/>
      <c r="AP26" s="304"/>
      <c r="AQ26" s="353"/>
      <c r="AR26" s="353"/>
      <c r="AS26" s="347"/>
      <c r="AT26" s="400"/>
      <c r="AU26" s="400"/>
      <c r="AV26" s="400"/>
    </row>
    <row r="27" spans="1:48" ht="128.25" customHeight="1" x14ac:dyDescent="0.2">
      <c r="A27" s="398">
        <v>4</v>
      </c>
      <c r="B27" s="401" t="s">
        <v>552</v>
      </c>
      <c r="C27" s="401" t="s">
        <v>33</v>
      </c>
      <c r="D27" s="401" t="s">
        <v>949</v>
      </c>
      <c r="E27" s="420" t="s">
        <v>950</v>
      </c>
      <c r="F27" s="401" t="s">
        <v>951</v>
      </c>
      <c r="G27" s="401" t="str">
        <f t="shared" ref="G27" si="29">+CONCATENATE(C27," ",D27)</f>
        <v>Posibilidad de omitir la revisión o control de los servidores públicos que participan en el proceso de despacho y asignación de materias primas o producto terminado en favor de un privado o tercero,</v>
      </c>
      <c r="H27" s="675" t="s">
        <v>85</v>
      </c>
      <c r="I27" s="676" t="s">
        <v>62</v>
      </c>
      <c r="J27" s="420" t="s">
        <v>952</v>
      </c>
      <c r="K27" s="420" t="s">
        <v>953</v>
      </c>
      <c r="L27" s="420" t="s">
        <v>954</v>
      </c>
      <c r="M27" s="402" t="s">
        <v>63</v>
      </c>
      <c r="N27" s="402" t="s">
        <v>42</v>
      </c>
      <c r="O27" s="674">
        <v>300</v>
      </c>
      <c r="P27" s="417" t="str">
        <f>IF(O27&lt;=0,"",IF(O27&lt;=2,"Muy Baja",IF(O27&lt;=24,"Baja",IF(O27&lt;=500,"Media",IF(O27&lt;=5000,"Alta","Muy Alta")))))</f>
        <v>Media</v>
      </c>
      <c r="Q27" s="405">
        <f>IF(P27="","",IF(P27="Muy Baja",0.2,IF(P27="Baja",0.4,IF(P27="Media",0.6,IF(P27="Alta",0.8,IF(P27="Muy Alta",1,))))))</f>
        <v>0.6</v>
      </c>
      <c r="R27" s="406" t="s">
        <v>428</v>
      </c>
      <c r="S27" s="405" t="str">
        <f>IF(NOT(ISERROR(MATCH(R27,'[3]Tabla Impacto'!$B$245:$B$247,0))),'[3]Tabla Impacto'!$F$224&amp;"Por favor no seleccionar los criterios de impacto(Afectación Económica o presupuestal y Pérdida Reputacional)",R27)</f>
        <v xml:space="preserve">     El riesgo afecta la imagen de la entidad con algunos usuarios de relevancia frente al logro de los objetivos</v>
      </c>
      <c r="T27" s="417" t="str">
        <f>IF(OR(S27='[3]Tabla Impacto'!$C$12,S27='[3]Tabla Impacto'!$D$12),"Leve",IF(OR(S27='[3]Tabla Impacto'!$C$13,S27='[3]Tabla Impacto'!$D$13),"Menor",IF(OR(S27='[3]Tabla Impacto'!$C$14,S27='[3]Tabla Impacto'!$D$14),"Moderado",IF(OR(S27='[3]Tabla Impacto'!$C$15,S27='[3]Tabla Impacto'!$D$15),"Mayor",IF(OR(S27='[3]Tabla Impacto'!$C$16,S27='[3]Tabla Impacto'!$D$16),"Catastrófico","")))))</f>
        <v>Moderado</v>
      </c>
      <c r="U27" s="405">
        <f>IF(T27="","",IF(T27="Leve",0.2,IF(T27="Menor",0.4,IF(T27="Moderado",0.6,IF(T27="Mayor",0.8,IF(T27="Catastrófico",1,))))))</f>
        <v>0.6</v>
      </c>
      <c r="V27" s="418" t="str">
        <f>IF(OR(AND(P27="Muy Baja",T27="Leve"),AND(P27="Muy Baja",T27="Menor"),AND(P27="Baja",T27="Leve")),"Bajo",IF(OR(AND(P27="Muy baja",T27="Moderado"),AND(P27="Baja",T27="Menor"),AND(P27="Baja",T27="Moderado"),AND(P27="Media",T27="Leve"),AND(P27="Media",T27="Menor"),AND(P27="Media",T27="Moderado"),AND(P27="Alta",T27="Leve"),AND(P27="Alta",T27="Menor")),"Moderado",IF(OR(AND(P27="Muy Baja",T27="Mayor"),AND(P27="Baja",T27="Mayor"),AND(P27="Media",T27="Mayor"),AND(P27="Alta",T27="Moderado"),AND(P27="Alta",T27="Mayor"),AND(P27="Muy Alta",T27="Leve"),AND(P27="Muy Alta",T27="Menor"),AND(P27="Muy Alta",T27="Moderado"),AND(P27="Muy Alta",T27="Mayor")),"Alto",IF(OR(AND(P27="Muy Baja",T27="Catastrófico"),AND(P27="Baja",T27="Catastrófico"),AND(P27="Media",T27="Catastrófico"),AND(P27="Alta",T27="Catastrófico"),AND(P27="Muy Alta",T27="Catastrófico")),"Extremo",""))))</f>
        <v>Moderado</v>
      </c>
      <c r="W27" s="149">
        <v>1</v>
      </c>
      <c r="X27" s="182" t="s">
        <v>955</v>
      </c>
      <c r="Y27" s="182" t="s">
        <v>52</v>
      </c>
      <c r="Z27" s="342" t="s">
        <v>956</v>
      </c>
      <c r="AA27" s="304" t="str">
        <f t="shared" si="1"/>
        <v>El profesional lider de produccion Revisa la exactitud en PRO-DI-001 donde se registran las ordenes de producción y los documentos soporte de materias primas por pedido a corte mensual. Registrando la trazabilidad en el acta de la mesa de trabajo con el Gerente de producción.
De encontrar diferencias el Gerente de producción solicita las verificaciones correspondientes respecto a los tiquetes de báscula de entrada y salida en inventario físico y la base de datos para identificar el faltante y escalar al área correspondiente para iniciar la investigación</v>
      </c>
      <c r="AB27" s="126" t="str">
        <f>IF(OR(AC27="Preventivo",AC27="Detectivo"),"Probabilidad",IF(AC27="Correctivo","Impacto",""))</f>
        <v>Probabilidad</v>
      </c>
      <c r="AC27" s="127" t="s">
        <v>393</v>
      </c>
      <c r="AD27" s="127" t="s">
        <v>394</v>
      </c>
      <c r="AE27" s="128" t="str">
        <f>IF(AND(AC27="Preventivo",AD27="Automático"),"50%",IF(AND(AC27="Preventivo",AD27="Manual"),"40%",IF(AND(AC27="Detectivo",AD27="Automático"),"40%",IF(AND(AC27="Detectivo",AD27="Manual"),"30%",IF(AND(AC27="Correctivo",AD27="Automático"),"35%",IF(AND(AC27="Correctivo",AD27="Manual"),"25%",""))))))</f>
        <v>30%</v>
      </c>
      <c r="AF27" s="127" t="s">
        <v>395</v>
      </c>
      <c r="AG27" s="127" t="s">
        <v>541</v>
      </c>
      <c r="AH27" s="127" t="s">
        <v>397</v>
      </c>
      <c r="AI27" s="129">
        <f>IFERROR(IF(AB27="Probabilidad",(Q27-(+Q27*AE27)),IF(AB27="Impacto",Q27,"")),"")</f>
        <v>0.42</v>
      </c>
      <c r="AJ27" s="130" t="str">
        <f>IFERROR(IF(AI27="","",IF(AI27&lt;=0.2,"Muy Baja",IF(AI27&lt;=0.4,"Baja",IF(AI27&lt;=0.6,"Media",IF(AI27&lt;=0.8,"Alta","Muy Alta"))))),"")</f>
        <v>Media</v>
      </c>
      <c r="AK27" s="128">
        <f>+AI27</f>
        <v>0.42</v>
      </c>
      <c r="AL27" s="130" t="str">
        <f>IFERROR(IF(AM27="","",IF(AM27&lt;=0.2,"Leve",IF(AM27&lt;=0.4,"Menor",IF(AM27&lt;=0.6,"Moderado",IF(AM27&lt;=0.8,"Mayor","Catastrófico"))))),"")</f>
        <v>Moderado</v>
      </c>
      <c r="AM27" s="128">
        <f t="shared" ref="AM27" si="30">IFERROR(IF(AB27="Impacto",(U27-(+U27*AE27)),IF(AB27="Probabilidad",U27,"")),"")</f>
        <v>0.6</v>
      </c>
      <c r="AN27" s="131" t="str">
        <f>IFERROR(IF(OR(AND(AJ27="Muy Baja",AL27="Leve"),AND(AJ27="Muy Baja",AL27="Menor"),AND(AJ27="Baja",AL27="Leve")),"Bajo",IF(OR(AND(AJ27="Muy baja",AL27="Moderado"),AND(AJ27="Baja",AL27="Menor"),AND(AJ27="Baja",AL27="Moderado"),AND(AJ27="Media",AL27="Leve"),AND(AJ27="Media",AL27="Menor"),AND(AJ27="Media",AL27="Moderado"),AND(AJ27="Alta",AL27="Leve"),AND(AJ27="Alta",AL27="Menor")),"Moderado",IF(OR(AND(AJ27="Muy Baja",AL27="Mayor"),AND(AJ27="Baja",AL27="Mayor"),AND(AJ27="Media",AL27="Mayor"),AND(AJ27="Alta",AL27="Moderado"),AND(AJ27="Alta",AL27="Mayor"),AND(AJ27="Muy Alta",AL27="Leve"),AND(AJ27="Muy Alta",AL27="Menor"),AND(AJ27="Muy Alta",AL27="Moderado"),AND(AJ27="Muy Alta",AL27="Mayor")),"Alto",IF(OR(AND(AJ27="Muy Baja",AL27="Catastrófico"),AND(AJ27="Baja",AL27="Catastrófico"),AND(AJ27="Media",AL27="Catastrófico"),AND(AJ27="Alta",AL27="Catastrófico"),AND(AJ27="Muy Alta",AL27="Catastrófico")),"Extremo","")))),"")</f>
        <v>Moderado</v>
      </c>
      <c r="AO27" s="132"/>
      <c r="AP27" s="304" t="s">
        <v>957</v>
      </c>
      <c r="AQ27" s="304" t="s">
        <v>958</v>
      </c>
      <c r="AR27" s="304" t="s">
        <v>959</v>
      </c>
      <c r="AS27" s="354">
        <v>45657</v>
      </c>
      <c r="AT27" s="400" t="s">
        <v>960</v>
      </c>
      <c r="AU27" s="400" t="s">
        <v>961</v>
      </c>
      <c r="AV27" s="400" t="s">
        <v>962</v>
      </c>
    </row>
    <row r="28" spans="1:48" ht="128.25" customHeight="1" x14ac:dyDescent="0.2">
      <c r="A28" s="398"/>
      <c r="B28" s="401"/>
      <c r="C28" s="401"/>
      <c r="D28" s="401"/>
      <c r="E28" s="421"/>
      <c r="F28" s="401"/>
      <c r="G28" s="401"/>
      <c r="H28" s="675"/>
      <c r="I28" s="677"/>
      <c r="J28" s="421"/>
      <c r="K28" s="421"/>
      <c r="L28" s="421"/>
      <c r="M28" s="403"/>
      <c r="N28" s="403"/>
      <c r="O28" s="674"/>
      <c r="P28" s="417"/>
      <c r="Q28" s="405"/>
      <c r="R28" s="406"/>
      <c r="S28" s="405">
        <f>IF(NOT(ISERROR(MATCH(R28,_xlfn.ANCHORARRAY(G39),0))),Q41&amp;"Por favor no seleccionar los criterios de impacto",R28)</f>
        <v>0</v>
      </c>
      <c r="T28" s="417"/>
      <c r="U28" s="405"/>
      <c r="V28" s="418"/>
      <c r="W28" s="149">
        <v>2</v>
      </c>
      <c r="X28" s="182" t="s">
        <v>963</v>
      </c>
      <c r="Y28" s="149" t="s">
        <v>37</v>
      </c>
      <c r="Z28" s="342" t="s">
        <v>964</v>
      </c>
      <c r="AA28" s="304" t="str">
        <f t="shared" si="1"/>
        <v>El gerente de produccion Verifica mensualmente los avances de ejecución reportados en los informes de supervisión de los contratos de suministro de materias primas de la Gerencia de producción, registrando la trazabilidad en el acta del Comité de seguimiento contractual y presupuestal Proyectos Misionales de la Subdirección de producción
De encontrar diferencias el Gerente de producción solicita las verificaciones correspondientes respecto a los informes de supervisión de los contratos de materias primas y la corroboración de báscula de entrada, para identificar el faltante y escalar al área correspondiente para iniciar la investigación.</v>
      </c>
      <c r="AB28" s="126" t="str">
        <f>IF(OR(AC28="Preventivo",AC28="Detectivo"),"Probabilidad",IF(AC28="Correctivo","Impacto",""))</f>
        <v>Probabilidad</v>
      </c>
      <c r="AC28" s="127" t="s">
        <v>393</v>
      </c>
      <c r="AD28" s="127" t="s">
        <v>394</v>
      </c>
      <c r="AE28" s="128" t="str">
        <f t="shared" ref="AE28:AE32" si="31">IF(AND(AC28="Preventivo",AD28="Automático"),"50%",IF(AND(AC28="Preventivo",AD28="Manual"),"40%",IF(AND(AC28="Detectivo",AD28="Automático"),"40%",IF(AND(AC28="Detectivo",AD28="Manual"),"30%",IF(AND(AC28="Correctivo",AD28="Automático"),"35%",IF(AND(AC28="Correctivo",AD28="Manual"),"25%",""))))))</f>
        <v>30%</v>
      </c>
      <c r="AF28" s="127" t="s">
        <v>395</v>
      </c>
      <c r="AG28" s="127" t="s">
        <v>541</v>
      </c>
      <c r="AH28" s="127" t="s">
        <v>397</v>
      </c>
      <c r="AI28" s="129">
        <f>IFERROR(IF(AND(AB27="Probabilidad",AB28="Probabilidad"),(AK27-(+AK27*AE28)),IF(AB28="Probabilidad",(Q27-(+Q27*AE28)),IF(AB28="Impacto",AK27,""))),"")</f>
        <v>0.29399999999999998</v>
      </c>
      <c r="AJ28" s="130" t="str">
        <f t="shared" si="3"/>
        <v>Baja</v>
      </c>
      <c r="AK28" s="128">
        <f t="shared" ref="AK28:AK32" si="32">+AI28</f>
        <v>0.29399999999999998</v>
      </c>
      <c r="AL28" s="130" t="str">
        <f t="shared" si="5"/>
        <v>Moderado</v>
      </c>
      <c r="AM28" s="128">
        <f t="shared" ref="AM28" si="33">IFERROR(IF(AND(AB27="Impacto",AB28="Impacto"),(AM27-(+AM27*AE28)),IF(AB28="Impacto",($U$9-(+$U$9*AE28)),IF(AB28="Probabilidad",AM27,""))),"")</f>
        <v>0.6</v>
      </c>
      <c r="AN28" s="131" t="str">
        <f t="shared" ref="AN28:AN29" si="34">IFERROR(IF(OR(AND(AJ28="Muy Baja",AL28="Leve"),AND(AJ28="Muy Baja",AL28="Menor"),AND(AJ28="Baja",AL28="Leve")),"Bajo",IF(OR(AND(AJ28="Muy baja",AL28="Moderado"),AND(AJ28="Baja",AL28="Menor"),AND(AJ28="Baja",AL28="Moderado"),AND(AJ28="Media",AL28="Leve"),AND(AJ28="Media",AL28="Menor"),AND(AJ28="Media",AL28="Moderado"),AND(AJ28="Alta",AL28="Leve"),AND(AJ28="Alta",AL28="Menor")),"Moderado",IF(OR(AND(AJ28="Muy Baja",AL28="Mayor"),AND(AJ28="Baja",AL28="Mayor"),AND(AJ28="Media",AL28="Mayor"),AND(AJ28="Alta",AL28="Moderado"),AND(AJ28="Alta",AL28="Mayor"),AND(AJ28="Muy Alta",AL28="Leve"),AND(AJ28="Muy Alta",AL28="Menor"),AND(AJ28="Muy Alta",AL28="Moderado"),AND(AJ28="Muy Alta",AL28="Mayor")),"Alto",IF(OR(AND(AJ28="Muy Baja",AL28="Catastrófico"),AND(AJ28="Baja",AL28="Catastrófico"),AND(AJ28="Media",AL28="Catastrófico"),AND(AJ28="Alta",AL28="Catastrófico"),AND(AJ28="Muy Alta",AL28="Catastrófico")),"Extremo","")))),"")</f>
        <v>Moderado</v>
      </c>
      <c r="AO28" s="132" t="s">
        <v>43</v>
      </c>
      <c r="AP28" s="304" t="s">
        <v>965</v>
      </c>
      <c r="AQ28" s="304" t="s">
        <v>966</v>
      </c>
      <c r="AR28" s="304" t="s">
        <v>967</v>
      </c>
      <c r="AS28" s="354">
        <v>45657</v>
      </c>
      <c r="AT28" s="400"/>
      <c r="AU28" s="400"/>
      <c r="AV28" s="400"/>
    </row>
    <row r="29" spans="1:48" hidden="1" x14ac:dyDescent="0.2">
      <c r="A29" s="398"/>
      <c r="B29" s="401"/>
      <c r="C29" s="401"/>
      <c r="D29" s="401"/>
      <c r="E29" s="421"/>
      <c r="F29" s="401"/>
      <c r="G29" s="401"/>
      <c r="H29" s="675"/>
      <c r="I29" s="677"/>
      <c r="J29" s="421"/>
      <c r="K29" s="421"/>
      <c r="L29" s="421"/>
      <c r="M29" s="403"/>
      <c r="N29" s="403"/>
      <c r="O29" s="674"/>
      <c r="P29" s="417"/>
      <c r="Q29" s="405"/>
      <c r="R29" s="406"/>
      <c r="S29" s="405">
        <f>IF(NOT(ISERROR(MATCH(R29,_xlfn.ANCHORARRAY(G40),0))),Q42&amp;"Por favor no seleccionar los criterios de impacto",R29)</f>
        <v>0</v>
      </c>
      <c r="T29" s="417"/>
      <c r="U29" s="405"/>
      <c r="V29" s="418"/>
      <c r="W29" s="149">
        <v>3</v>
      </c>
      <c r="X29" s="149"/>
      <c r="Y29" s="149"/>
      <c r="Z29" s="149"/>
      <c r="AA29" s="304" t="str">
        <f t="shared" si="1"/>
        <v xml:space="preserve">  </v>
      </c>
      <c r="AB29" s="126" t="str">
        <f>IF(OR(AC29="Preventivo",AC29="Detectivo"),"Probabilidad",IF(AC29="Correctivo","Impacto",""))</f>
        <v/>
      </c>
      <c r="AC29" s="127"/>
      <c r="AD29" s="127"/>
      <c r="AE29" s="128" t="str">
        <f t="shared" si="31"/>
        <v/>
      </c>
      <c r="AF29" s="127"/>
      <c r="AG29" s="127"/>
      <c r="AH29" s="127"/>
      <c r="AI29" s="129" t="str">
        <f>IFERROR(IF(AND(AB28="Probabilidad",AB29="Probabilidad"),(AK28-(+AK28*AE29)),IF(AND(AB28="Impacto",AB29="Probabilidad"),(AK27-(+AK27*AE29)),IF(AB29="Impacto",AK28,""))),"")</f>
        <v/>
      </c>
      <c r="AJ29" s="130" t="str">
        <f t="shared" si="3"/>
        <v/>
      </c>
      <c r="AK29" s="128" t="str">
        <f t="shared" si="32"/>
        <v/>
      </c>
      <c r="AL29" s="130" t="str">
        <f t="shared" si="5"/>
        <v/>
      </c>
      <c r="AM29" s="128" t="str">
        <f t="shared" ref="AM29" si="35">IFERROR(IF(AND(AB28="Impacto",AB29="Impacto"),(AM28-(+AM28*AE29)),IF(AND(AB28="Probabilidad",AB29="Impacto"),(AM27-(+AM27*AE29)),IF(AB29="Probabilidad",AM28,""))),"")</f>
        <v/>
      </c>
      <c r="AN29" s="131" t="str">
        <f t="shared" si="34"/>
        <v/>
      </c>
      <c r="AO29" s="132"/>
      <c r="AP29" s="358"/>
      <c r="AQ29" s="359"/>
      <c r="AR29" s="359"/>
      <c r="AS29" s="360"/>
      <c r="AT29" s="400"/>
      <c r="AU29" s="400"/>
      <c r="AV29" s="400"/>
    </row>
    <row r="30" spans="1:48" hidden="1" x14ac:dyDescent="0.2">
      <c r="A30" s="398"/>
      <c r="B30" s="401"/>
      <c r="C30" s="401"/>
      <c r="D30" s="401"/>
      <c r="E30" s="421"/>
      <c r="F30" s="401"/>
      <c r="G30" s="401"/>
      <c r="H30" s="675"/>
      <c r="I30" s="677"/>
      <c r="J30" s="421"/>
      <c r="K30" s="421"/>
      <c r="L30" s="421"/>
      <c r="M30" s="403"/>
      <c r="N30" s="403"/>
      <c r="O30" s="674"/>
      <c r="P30" s="417"/>
      <c r="Q30" s="405"/>
      <c r="R30" s="406"/>
      <c r="S30" s="405">
        <f>IF(NOT(ISERROR(MATCH(R30,_xlfn.ANCHORARRAY(G41),0))),Q43&amp;"Por favor no seleccionar los criterios de impacto",R30)</f>
        <v>0</v>
      </c>
      <c r="T30" s="417"/>
      <c r="U30" s="405"/>
      <c r="V30" s="418"/>
      <c r="W30" s="149">
        <v>4</v>
      </c>
      <c r="X30" s="149"/>
      <c r="Y30" s="149"/>
      <c r="Z30" s="149"/>
      <c r="AA30" s="304" t="str">
        <f t="shared" si="1"/>
        <v xml:space="preserve">  </v>
      </c>
      <c r="AB30" s="126" t="str">
        <f t="shared" ref="AB30:AB32" si="36">IF(OR(AC30="Preventivo",AC30="Detectivo"),"Probabilidad",IF(AC30="Correctivo","Impacto",""))</f>
        <v/>
      </c>
      <c r="AC30" s="127"/>
      <c r="AD30" s="127"/>
      <c r="AE30" s="128" t="str">
        <f t="shared" si="31"/>
        <v/>
      </c>
      <c r="AF30" s="127"/>
      <c r="AG30" s="127"/>
      <c r="AH30" s="127"/>
      <c r="AI30" s="129" t="str">
        <f t="shared" ref="AI30:AI32" si="37">IFERROR(IF(AND(AB29="Probabilidad",AB30="Probabilidad"),(AK29-(+AK29*AE30)),IF(AND(AB29="Impacto",AB30="Probabilidad"),(AK28-(+AK28*AE30)),IF(AB30="Impacto",AK29,""))),"")</f>
        <v/>
      </c>
      <c r="AJ30" s="130" t="str">
        <f t="shared" si="3"/>
        <v/>
      </c>
      <c r="AK30" s="128" t="str">
        <f t="shared" si="32"/>
        <v/>
      </c>
      <c r="AL30" s="130" t="str">
        <f t="shared" si="5"/>
        <v/>
      </c>
      <c r="AM30" s="128" t="str">
        <f t="shared" si="15"/>
        <v/>
      </c>
      <c r="AN30" s="131" t="str">
        <f>IFERROR(IF(OR(AND(AJ30="Muy Baja",AL30="Leve"),AND(AJ30="Muy Baja",AL30="Menor"),AND(AJ30="Baja",AL30="Leve")),"Bajo",IF(OR(AND(AJ30="Muy baja",AL30="Moderado"),AND(AJ30="Baja",AL30="Menor"),AND(AJ30="Baja",AL30="Moderado"),AND(AJ30="Media",AL30="Leve"),AND(AJ30="Media",AL30="Menor"),AND(AJ30="Media",AL30="Moderado"),AND(AJ30="Alta",AL30="Leve"),AND(AJ30="Alta",AL30="Menor")),"Moderado",IF(OR(AND(AJ30="Muy Baja",AL30="Mayor"),AND(AJ30="Baja",AL30="Mayor"),AND(AJ30="Media",AL30="Mayor"),AND(AJ30="Alta",AL30="Moderado"),AND(AJ30="Alta",AL30="Mayor"),AND(AJ30="Muy Alta",AL30="Leve"),AND(AJ30="Muy Alta",AL30="Menor"),AND(AJ30="Muy Alta",AL30="Moderado"),AND(AJ30="Muy Alta",AL30="Mayor")),"Alto",IF(OR(AND(AJ30="Muy Baja",AL30="Catastrófico"),AND(AJ30="Baja",AL30="Catastrófico"),AND(AJ30="Media",AL30="Catastrófico"),AND(AJ30="Alta",AL30="Catastrófico"),AND(AJ30="Muy Alta",AL30="Catastrófico")),"Extremo","")))),"")</f>
        <v/>
      </c>
      <c r="AO30" s="132"/>
      <c r="AP30" s="358"/>
      <c r="AQ30" s="359"/>
      <c r="AR30" s="359"/>
      <c r="AS30" s="360"/>
      <c r="AT30" s="400"/>
      <c r="AU30" s="400"/>
      <c r="AV30" s="400"/>
    </row>
    <row r="31" spans="1:48" hidden="1" x14ac:dyDescent="0.2">
      <c r="A31" s="398"/>
      <c r="B31" s="401"/>
      <c r="C31" s="401"/>
      <c r="D31" s="401"/>
      <c r="E31" s="421"/>
      <c r="F31" s="401"/>
      <c r="G31" s="401"/>
      <c r="H31" s="675"/>
      <c r="I31" s="677"/>
      <c r="J31" s="421"/>
      <c r="K31" s="421"/>
      <c r="L31" s="421"/>
      <c r="M31" s="403"/>
      <c r="N31" s="403"/>
      <c r="O31" s="674"/>
      <c r="P31" s="417"/>
      <c r="Q31" s="405"/>
      <c r="R31" s="406"/>
      <c r="S31" s="405">
        <f>IF(NOT(ISERROR(MATCH(R31,_xlfn.ANCHORARRAY(G42),0))),Q44&amp;"Por favor no seleccionar los criterios de impacto",R31)</f>
        <v>0</v>
      </c>
      <c r="T31" s="417"/>
      <c r="U31" s="405"/>
      <c r="V31" s="418"/>
      <c r="W31" s="149">
        <v>5</v>
      </c>
      <c r="X31" s="149"/>
      <c r="Y31" s="149"/>
      <c r="Z31" s="149"/>
      <c r="AA31" s="304" t="str">
        <f t="shared" si="1"/>
        <v xml:space="preserve">  </v>
      </c>
      <c r="AB31" s="126" t="str">
        <f t="shared" si="36"/>
        <v/>
      </c>
      <c r="AC31" s="127"/>
      <c r="AD31" s="127"/>
      <c r="AE31" s="128" t="str">
        <f t="shared" si="31"/>
        <v/>
      </c>
      <c r="AF31" s="127"/>
      <c r="AG31" s="127"/>
      <c r="AH31" s="127"/>
      <c r="AI31" s="129" t="str">
        <f t="shared" si="37"/>
        <v/>
      </c>
      <c r="AJ31" s="130" t="str">
        <f>IFERROR(IF(AI31="","",IF(AI31&lt;=0.2,"Muy Baja",IF(AI31&lt;=0.4,"Baja",IF(AI31&lt;=0.6,"Media",IF(AI31&lt;=0.8,"Alta","Muy Alta"))))),"")</f>
        <v/>
      </c>
      <c r="AK31" s="128" t="str">
        <f t="shared" si="32"/>
        <v/>
      </c>
      <c r="AL31" s="130" t="str">
        <f t="shared" si="5"/>
        <v/>
      </c>
      <c r="AM31" s="128" t="str">
        <f t="shared" si="15"/>
        <v/>
      </c>
      <c r="AN31" s="131" t="str">
        <f t="shared" ref="AN31:AN32" si="38">IFERROR(IF(OR(AND(AJ31="Muy Baja",AL31="Leve"),AND(AJ31="Muy Baja",AL31="Menor"),AND(AJ31="Baja",AL31="Leve")),"Bajo",IF(OR(AND(AJ31="Muy baja",AL31="Moderado"),AND(AJ31="Baja",AL31="Menor"),AND(AJ31="Baja",AL31="Moderado"),AND(AJ31="Media",AL31="Leve"),AND(AJ31="Media",AL31="Menor"),AND(AJ31="Media",AL31="Moderado"),AND(AJ31="Alta",AL31="Leve"),AND(AJ31="Alta",AL31="Menor")),"Moderado",IF(OR(AND(AJ31="Muy Baja",AL31="Mayor"),AND(AJ31="Baja",AL31="Mayor"),AND(AJ31="Media",AL31="Mayor"),AND(AJ31="Alta",AL31="Moderado"),AND(AJ31="Alta",AL31="Mayor"),AND(AJ31="Muy Alta",AL31="Leve"),AND(AJ31="Muy Alta",AL31="Menor"),AND(AJ31="Muy Alta",AL31="Moderado"),AND(AJ31="Muy Alta",AL31="Mayor")),"Alto",IF(OR(AND(AJ31="Muy Baja",AL31="Catastrófico"),AND(AJ31="Baja",AL31="Catastrófico"),AND(AJ31="Media",AL31="Catastrófico"),AND(AJ31="Alta",AL31="Catastrófico"),AND(AJ31="Muy Alta",AL31="Catastrófico")),"Extremo","")))),"")</f>
        <v/>
      </c>
      <c r="AO31" s="132"/>
      <c r="AP31" s="358"/>
      <c r="AQ31" s="359"/>
      <c r="AR31" s="359"/>
      <c r="AS31" s="360"/>
      <c r="AT31" s="400"/>
      <c r="AU31" s="400"/>
      <c r="AV31" s="400"/>
    </row>
    <row r="32" spans="1:48" hidden="1" x14ac:dyDescent="0.2">
      <c r="A32" s="398"/>
      <c r="B32" s="401"/>
      <c r="C32" s="401"/>
      <c r="D32" s="401"/>
      <c r="E32" s="422"/>
      <c r="F32" s="401"/>
      <c r="G32" s="401"/>
      <c r="H32" s="675"/>
      <c r="I32" s="678"/>
      <c r="J32" s="422"/>
      <c r="K32" s="422"/>
      <c r="L32" s="422"/>
      <c r="M32" s="404"/>
      <c r="N32" s="404"/>
      <c r="O32" s="674"/>
      <c r="P32" s="417"/>
      <c r="Q32" s="405"/>
      <c r="R32" s="406"/>
      <c r="S32" s="405">
        <f>IF(NOT(ISERROR(MATCH(R32,_xlfn.ANCHORARRAY(G43),0))),Q45&amp;"Por favor no seleccionar los criterios de impacto",R32)</f>
        <v>0</v>
      </c>
      <c r="T32" s="417"/>
      <c r="U32" s="405"/>
      <c r="V32" s="418"/>
      <c r="W32" s="149">
        <v>6</v>
      </c>
      <c r="X32" s="149"/>
      <c r="Y32" s="149"/>
      <c r="Z32" s="149"/>
      <c r="AA32" s="304" t="str">
        <f t="shared" si="1"/>
        <v xml:space="preserve">  </v>
      </c>
      <c r="AB32" s="126" t="str">
        <f t="shared" si="36"/>
        <v/>
      </c>
      <c r="AC32" s="127"/>
      <c r="AD32" s="127"/>
      <c r="AE32" s="128" t="str">
        <f t="shared" si="31"/>
        <v/>
      </c>
      <c r="AF32" s="127"/>
      <c r="AG32" s="127"/>
      <c r="AH32" s="127"/>
      <c r="AI32" s="129" t="str">
        <f t="shared" si="37"/>
        <v/>
      </c>
      <c r="AJ32" s="130" t="str">
        <f t="shared" si="3"/>
        <v/>
      </c>
      <c r="AK32" s="128" t="str">
        <f t="shared" si="32"/>
        <v/>
      </c>
      <c r="AL32" s="130" t="str">
        <f t="shared" si="5"/>
        <v/>
      </c>
      <c r="AM32" s="128" t="str">
        <f t="shared" si="15"/>
        <v/>
      </c>
      <c r="AN32" s="131" t="str">
        <f t="shared" si="38"/>
        <v/>
      </c>
      <c r="AO32" s="132"/>
      <c r="AP32" s="358"/>
      <c r="AQ32" s="359"/>
      <c r="AR32" s="359"/>
      <c r="AS32" s="360"/>
      <c r="AT32" s="400"/>
      <c r="AU32" s="400"/>
      <c r="AV32" s="400"/>
    </row>
    <row r="33" spans="1:48" ht="133.5" customHeight="1" x14ac:dyDescent="0.2">
      <c r="A33" s="398">
        <v>5</v>
      </c>
      <c r="B33" s="401" t="s">
        <v>553</v>
      </c>
      <c r="C33" s="401" t="s">
        <v>33</v>
      </c>
      <c r="D33" s="401" t="s">
        <v>968</v>
      </c>
      <c r="E33" s="420" t="s">
        <v>969</v>
      </c>
      <c r="F33" s="401" t="s">
        <v>970</v>
      </c>
      <c r="G33" s="401" t="str">
        <f t="shared" ref="G33" si="39">+CONCATENATE(C33," ",D33)</f>
        <v>Posibilidad de omitir el seguimiento a la ejecución los procedimientos establecidos para el provisionamiento, mantenimiento, suministro y alquiler de maquinaria, vehículos, equipo menor y plantas industriales, generando un beneficio indebido para sí mismo o para terceros, en detrimento de la transparencia y el interés público</v>
      </c>
      <c r="H33" s="400" t="s">
        <v>84</v>
      </c>
      <c r="I33" s="402" t="s">
        <v>59</v>
      </c>
      <c r="J33" s="420" t="s">
        <v>971</v>
      </c>
      <c r="K33" s="420" t="s">
        <v>972</v>
      </c>
      <c r="L33" s="420" t="s">
        <v>973</v>
      </c>
      <c r="M33" s="402" t="s">
        <v>63</v>
      </c>
      <c r="N33" s="402" t="s">
        <v>42</v>
      </c>
      <c r="O33" s="416">
        <v>12</v>
      </c>
      <c r="P33" s="417" t="str">
        <f>IF(O33&lt;=0,"",IF(O33&lt;=2,"Muy Baja",IF(O33&lt;=24,"Baja",IF(O33&lt;=500,"Media",IF(O33&lt;=5000,"Alta","Muy Alta")))))</f>
        <v>Baja</v>
      </c>
      <c r="Q33" s="405">
        <f>IF(P33="","",IF(P33="Muy Baja",0.2,IF(P33="Baja",0.4,IF(P33="Media",0.6,IF(P33="Alta",0.8,IF(P33="Muy Alta",1,))))))</f>
        <v>0.4</v>
      </c>
      <c r="R33" s="406" t="s">
        <v>428</v>
      </c>
      <c r="S33" s="405" t="str">
        <f>IF(NOT(ISERROR(MATCH(R33,'[3]Tabla Impacto'!$B$245:$B$247,0))),'[3]Tabla Impacto'!$F$224&amp;"Por favor no seleccionar los criterios de impacto(Afectación Económica o presupuestal y Pérdida Reputacional)",R33)</f>
        <v xml:space="preserve">     El riesgo afecta la imagen de la entidad con algunos usuarios de relevancia frente al logro de los objetivos</v>
      </c>
      <c r="T33" s="417" t="str">
        <f>IF(OR(S33='[3]Tabla Impacto'!$C$12,S33='[3]Tabla Impacto'!$D$12),"Leve",IF(OR(S33='[3]Tabla Impacto'!$C$13,S33='[3]Tabla Impacto'!$D$13),"Menor",IF(OR(S33='[3]Tabla Impacto'!$C$14,S33='[3]Tabla Impacto'!$D$14),"Moderado",IF(OR(S33='[3]Tabla Impacto'!$C$15,S33='[3]Tabla Impacto'!$D$15),"Mayor",IF(OR(S33='[3]Tabla Impacto'!$C$16,S33='[3]Tabla Impacto'!$D$16),"Catastrófico","")))))</f>
        <v>Moderado</v>
      </c>
      <c r="U33" s="405">
        <f>IF(T33="","",IF(T33="Leve",0.2,IF(T33="Menor",0.4,IF(T33="Moderado",0.6,IF(T33="Mayor",0.8,IF(T33="Catastrófico",1,))))))</f>
        <v>0.6</v>
      </c>
      <c r="V33" s="418" t="str">
        <f>IF(OR(AND(P33="Muy Baja",T33="Leve"),AND(P33="Muy Baja",T33="Menor"),AND(P33="Baja",T33="Leve")),"Bajo",IF(OR(AND(P33="Muy baja",T33="Moderado"),AND(P33="Baja",T33="Menor"),AND(P33="Baja",T33="Moderado"),AND(P33="Media",T33="Leve"),AND(P33="Media",T33="Menor"),AND(P33="Media",T33="Moderado"),AND(P33="Alta",T33="Leve"),AND(P33="Alta",T33="Menor")),"Moderado",IF(OR(AND(P33="Muy Baja",T33="Mayor"),AND(P33="Baja",T33="Mayor"),AND(P33="Media",T33="Mayor"),AND(P33="Alta",T33="Moderado"),AND(P33="Alta",T33="Mayor"),AND(P33="Muy Alta",T33="Leve"),AND(P33="Muy Alta",T33="Menor"),AND(P33="Muy Alta",T33="Moderado"),AND(P33="Muy Alta",T33="Mayor")),"Alto",IF(OR(AND(P33="Muy Baja",T33="Catastrófico"),AND(P33="Baja",T33="Catastrófico"),AND(P33="Media",T33="Catastrófico"),AND(P33="Alta",T33="Catastrófico"),AND(P33="Muy Alta",T33="Catastrófico")),"Extremo",""))))</f>
        <v>Moderado</v>
      </c>
      <c r="W33" s="149">
        <v>1</v>
      </c>
      <c r="X33" s="182" t="s">
        <v>835</v>
      </c>
      <c r="Y33" s="149" t="s">
        <v>37</v>
      </c>
      <c r="Z33" s="182" t="s">
        <v>974</v>
      </c>
      <c r="AA33" s="304" t="str">
        <f t="shared" si="1"/>
        <v xml:space="preserve">El designado por la Gerencia de Maquinaria y equipos Verifica Mensualmente se actualiza y revisa la base de datos (Base de Datos de Control de Costos de Mantenimiento) para confirmar y/o ratificar que los costos sean consistentes con los valores de mercado. Como evidencia, se documentan los resultados en el acta de la reunión de parque automotor, incluyendo las observaciones y acuerdos alcanzados. En caso de detectar una desviación, se realiza verificacion uno a uno de los registros de GPS involucrados registrando las acciones correctivas acordadas </v>
      </c>
      <c r="AB33" s="126" t="str">
        <f>IF(OR(AC33="Preventivo",AC33="Detectivo"),"Probabilidad",IF(AC33="Correctivo","Impacto",""))</f>
        <v>Probabilidad</v>
      </c>
      <c r="AC33" s="127" t="s">
        <v>398</v>
      </c>
      <c r="AD33" s="127" t="s">
        <v>394</v>
      </c>
      <c r="AE33" s="128" t="str">
        <f>IF(AND(AC33="Preventivo",AD33="Automático"),"50%",IF(AND(AC33="Preventivo",AD33="Manual"),"40%",IF(AND(AC33="Detectivo",AD33="Automático"),"40%",IF(AND(AC33="Detectivo",AD33="Manual"),"30%",IF(AND(AC33="Correctivo",AD33="Automático"),"35%",IF(AND(AC33="Correctivo",AD33="Manual"),"25%",""))))))</f>
        <v>40%</v>
      </c>
      <c r="AF33" s="127" t="s">
        <v>395</v>
      </c>
      <c r="AG33" s="127" t="s">
        <v>396</v>
      </c>
      <c r="AH33" s="127" t="s">
        <v>397</v>
      </c>
      <c r="AI33" s="129">
        <f>IFERROR(IF(AB33="Probabilidad",(Q33-(+Q33*AE33)),IF(AB33="Impacto",Q33,"")),"")</f>
        <v>0.24</v>
      </c>
      <c r="AJ33" s="130" t="str">
        <f>IFERROR(IF(AI33="","",IF(AI33&lt;=0.2,"Muy Baja",IF(AI33&lt;=0.4,"Baja",IF(AI33&lt;=0.6,"Media",IF(AI33&lt;=0.8,"Alta","Muy Alta"))))),"")</f>
        <v>Baja</v>
      </c>
      <c r="AK33" s="128">
        <f>+AI33</f>
        <v>0.24</v>
      </c>
      <c r="AL33" s="130" t="str">
        <f>IFERROR(IF(AM33="","",IF(AM33&lt;=0.2,"Leve",IF(AM33&lt;=0.4,"Menor",IF(AM33&lt;=0.6,"Moderado",IF(AM33&lt;=0.8,"Mayor","Catastrófico"))))),"")</f>
        <v>Moderado</v>
      </c>
      <c r="AM33" s="128">
        <f t="shared" ref="AM33" si="40">IFERROR(IF(AB33="Impacto",(U33-(+U33*AE33)),IF(AB33="Probabilidad",U33,"")),"")</f>
        <v>0.6</v>
      </c>
      <c r="AN33" s="131" t="str">
        <f>IFERROR(IF(OR(AND(AJ33="Muy Baja",AL33="Leve"),AND(AJ33="Muy Baja",AL33="Menor"),AND(AJ33="Baja",AL33="Leve")),"Bajo",IF(OR(AND(AJ33="Muy baja",AL33="Moderado"),AND(AJ33="Baja",AL33="Menor"),AND(AJ33="Baja",AL33="Moderado"),AND(AJ33="Media",AL33="Leve"),AND(AJ33="Media",AL33="Menor"),AND(AJ33="Media",AL33="Moderado"),AND(AJ33="Alta",AL33="Leve"),AND(AJ33="Alta",AL33="Menor")),"Moderado",IF(OR(AND(AJ33="Muy Baja",AL33="Mayor"),AND(AJ33="Baja",AL33="Mayor"),AND(AJ33="Media",AL33="Mayor"),AND(AJ33="Alta",AL33="Moderado"),AND(AJ33="Alta",AL33="Mayor"),AND(AJ33="Muy Alta",AL33="Leve"),AND(AJ33="Muy Alta",AL33="Menor"),AND(AJ33="Muy Alta",AL33="Moderado"),AND(AJ33="Muy Alta",AL33="Mayor")),"Alto",IF(OR(AND(AJ33="Muy Baja",AL33="Catastrófico"),AND(AJ33="Baja",AL33="Catastrófico"),AND(AJ33="Media",AL33="Catastrófico"),AND(AJ33="Alta",AL33="Catastrófico"),AND(AJ33="Muy Alta",AL33="Catastrófico")),"Extremo","")))),"")</f>
        <v>Moderado</v>
      </c>
      <c r="AO33" s="132"/>
      <c r="AP33" s="304" t="s">
        <v>975</v>
      </c>
      <c r="AQ33" s="353" t="s">
        <v>976</v>
      </c>
      <c r="AR33" s="353" t="s">
        <v>977</v>
      </c>
      <c r="AS33" s="347" t="s">
        <v>822</v>
      </c>
      <c r="AT33" s="400" t="s">
        <v>978</v>
      </c>
      <c r="AU33" s="400" t="s">
        <v>979</v>
      </c>
      <c r="AV33" s="400" t="s">
        <v>976</v>
      </c>
    </row>
    <row r="34" spans="1:48" ht="133.5" customHeight="1" x14ac:dyDescent="0.2">
      <c r="A34" s="398"/>
      <c r="B34" s="401"/>
      <c r="C34" s="401"/>
      <c r="D34" s="401"/>
      <c r="E34" s="421"/>
      <c r="F34" s="401"/>
      <c r="G34" s="401"/>
      <c r="H34" s="400"/>
      <c r="I34" s="403"/>
      <c r="J34" s="421"/>
      <c r="K34" s="421"/>
      <c r="L34" s="421"/>
      <c r="M34" s="403"/>
      <c r="N34" s="403"/>
      <c r="O34" s="416"/>
      <c r="P34" s="417"/>
      <c r="Q34" s="405"/>
      <c r="R34" s="406"/>
      <c r="S34" s="405">
        <f>IF(NOT(ISERROR(MATCH(R34,_xlfn.ANCHORARRAY(G45),0))),Q47&amp;"Por favor no seleccionar los criterios de impacto",R34)</f>
        <v>0</v>
      </c>
      <c r="T34" s="417"/>
      <c r="U34" s="405"/>
      <c r="V34" s="418"/>
      <c r="W34" s="149">
        <v>2</v>
      </c>
      <c r="X34" s="182" t="s">
        <v>835</v>
      </c>
      <c r="Y34" s="149" t="s">
        <v>37</v>
      </c>
      <c r="Z34" s="182" t="s">
        <v>980</v>
      </c>
      <c r="AA34" s="304" t="str">
        <f t="shared" si="1"/>
        <v>El designado por la Gerencia de Maquinaria y equipos Verifica Mensualmente, durante la reunión de seguimiento del Parque Automotor, se verifica el control del suministro de combustible y el rastreo satelital de los vehículos. Como evidencia, se documentan los resultados en el acta de la reunión, incluyendo los registros de suministro y rastreo. En caso de detectar una desviación, se presenta el análisis correspondiente en la misma reunión, y se definen acciones correctivas con responsables y plazos específicos</v>
      </c>
      <c r="AB34" s="126" t="str">
        <f>IF(OR(AC34="Preventivo",AC34="Detectivo"),"Probabilidad",IF(AC34="Correctivo","Impacto",""))</f>
        <v>Probabilidad</v>
      </c>
      <c r="AC34" s="127" t="s">
        <v>398</v>
      </c>
      <c r="AD34" s="127" t="s">
        <v>394</v>
      </c>
      <c r="AE34" s="128" t="str">
        <f t="shared" ref="AE34:AE38" si="41">IF(AND(AC34="Preventivo",AD34="Automático"),"50%",IF(AND(AC34="Preventivo",AD34="Manual"),"40%",IF(AND(AC34="Detectivo",AD34="Automático"),"40%",IF(AND(AC34="Detectivo",AD34="Manual"),"30%",IF(AND(AC34="Correctivo",AD34="Automático"),"35%",IF(AND(AC34="Correctivo",AD34="Manual"),"25%",""))))))</f>
        <v>40%</v>
      </c>
      <c r="AF34" s="127" t="s">
        <v>395</v>
      </c>
      <c r="AG34" s="127" t="s">
        <v>396</v>
      </c>
      <c r="AH34" s="127" t="s">
        <v>397</v>
      </c>
      <c r="AI34" s="129">
        <f>IFERROR(IF(AND(AB33="Probabilidad",AB34="Probabilidad"),(AK33-(+AK33*AE34)),IF(AB34="Probabilidad",(Q33-(+Q33*AE34)),IF(AB34="Impacto",AK33,""))),"")</f>
        <v>0.14399999999999999</v>
      </c>
      <c r="AJ34" s="130" t="str">
        <f t="shared" si="3"/>
        <v>Muy Baja</v>
      </c>
      <c r="AK34" s="128">
        <f t="shared" ref="AK34:AK38" si="42">+AI34</f>
        <v>0.14399999999999999</v>
      </c>
      <c r="AL34" s="130" t="str">
        <f t="shared" si="5"/>
        <v>Moderado</v>
      </c>
      <c r="AM34" s="128">
        <f t="shared" ref="AM34" si="43">IFERROR(IF(AND(AB33="Impacto",AB34="Impacto"),(AM33-(+AM33*AE34)),IF(AB34="Impacto",($U$9-(+$U$9*AE34)),IF(AB34="Probabilidad",AM33,""))),"")</f>
        <v>0.6</v>
      </c>
      <c r="AN34" s="131" t="str">
        <f t="shared" ref="AN34:AN35" si="44">IFERROR(IF(OR(AND(AJ34="Muy Baja",AL34="Leve"),AND(AJ34="Muy Baja",AL34="Menor"),AND(AJ34="Baja",AL34="Leve")),"Bajo",IF(OR(AND(AJ34="Muy baja",AL34="Moderado"),AND(AJ34="Baja",AL34="Menor"),AND(AJ34="Baja",AL34="Moderado"),AND(AJ34="Media",AL34="Leve"),AND(AJ34="Media",AL34="Menor"),AND(AJ34="Media",AL34="Moderado"),AND(AJ34="Alta",AL34="Leve"),AND(AJ34="Alta",AL34="Menor")),"Moderado",IF(OR(AND(AJ34="Muy Baja",AL34="Mayor"),AND(AJ34="Baja",AL34="Mayor"),AND(AJ34="Media",AL34="Mayor"),AND(AJ34="Alta",AL34="Moderado"),AND(AJ34="Alta",AL34="Mayor"),AND(AJ34="Muy Alta",AL34="Leve"),AND(AJ34="Muy Alta",AL34="Menor"),AND(AJ34="Muy Alta",AL34="Moderado"),AND(AJ34="Muy Alta",AL34="Mayor")),"Alto",IF(OR(AND(AJ34="Muy Baja",AL34="Catastrófico"),AND(AJ34="Baja",AL34="Catastrófico"),AND(AJ34="Media",AL34="Catastrófico"),AND(AJ34="Alta",AL34="Catastrófico"),AND(AJ34="Muy Alta",AL34="Catastrófico")),"Extremo","")))),"")</f>
        <v>Moderado</v>
      </c>
      <c r="AO34" s="132"/>
      <c r="AP34" s="304"/>
      <c r="AQ34" s="353"/>
      <c r="AR34" s="353"/>
      <c r="AS34" s="347"/>
      <c r="AT34" s="400"/>
      <c r="AU34" s="400"/>
      <c r="AV34" s="400"/>
    </row>
    <row r="35" spans="1:48" ht="133.5" customHeight="1" x14ac:dyDescent="0.2">
      <c r="A35" s="398"/>
      <c r="B35" s="401"/>
      <c r="C35" s="401"/>
      <c r="D35" s="401"/>
      <c r="E35" s="421"/>
      <c r="F35" s="401"/>
      <c r="G35" s="401"/>
      <c r="H35" s="400"/>
      <c r="I35" s="403"/>
      <c r="J35" s="421"/>
      <c r="K35" s="421"/>
      <c r="L35" s="421"/>
      <c r="M35" s="403"/>
      <c r="N35" s="403"/>
      <c r="O35" s="416"/>
      <c r="P35" s="417"/>
      <c r="Q35" s="405"/>
      <c r="R35" s="406"/>
      <c r="S35" s="405">
        <f>IF(NOT(ISERROR(MATCH(R35,_xlfn.ANCHORARRAY(G46),0))),Q48&amp;"Por favor no seleccionar los criterios de impacto",R35)</f>
        <v>0</v>
      </c>
      <c r="T35" s="417"/>
      <c r="U35" s="405"/>
      <c r="V35" s="418"/>
      <c r="W35" s="149">
        <v>3</v>
      </c>
      <c r="X35" s="182" t="s">
        <v>835</v>
      </c>
      <c r="Y35" s="149" t="s">
        <v>37</v>
      </c>
      <c r="Z35" s="182" t="s">
        <v>981</v>
      </c>
      <c r="AA35" s="304" t="str">
        <f t="shared" si="1"/>
        <v>El designado por la Gerencia de Maquinaria y equipos Verifica Mensualmente, durante la reunión de seguimiento del contrato de arrendamiento y provisión de maquinaria y vehículos, se verifica el cumplimiento de las obligaciones contractuales y la gestión del contratista. Como evidencia, se documentan los resultados en el acta de la reunión, incluyendo las observaciones y acuerdos alcanzados. En caso de detectar una desviación, se registra en el acta y se definen acciones correctivas con plazos y responsables específicos</v>
      </c>
      <c r="AB35" s="126" t="str">
        <f>IF(OR(AC35="Preventivo",AC35="Detectivo"),"Probabilidad",IF(AC35="Correctivo","Impacto",""))</f>
        <v>Probabilidad</v>
      </c>
      <c r="AC35" s="127" t="s">
        <v>398</v>
      </c>
      <c r="AD35" s="127" t="s">
        <v>394</v>
      </c>
      <c r="AE35" s="128" t="str">
        <f t="shared" si="41"/>
        <v>40%</v>
      </c>
      <c r="AF35" s="127" t="s">
        <v>395</v>
      </c>
      <c r="AG35" s="127" t="s">
        <v>396</v>
      </c>
      <c r="AH35" s="127" t="s">
        <v>397</v>
      </c>
      <c r="AI35" s="129">
        <f>IFERROR(IF(AND(AB34="Probabilidad",AB35="Probabilidad"),(AK34-(+AK34*AE35)),IF(AND(AB34="Impacto",AB35="Probabilidad"),(AK33-(+AK33*AE35)),IF(AB35="Impacto",AK34,""))),"")</f>
        <v>8.6399999999999991E-2</v>
      </c>
      <c r="AJ35" s="130" t="str">
        <f t="shared" si="3"/>
        <v>Muy Baja</v>
      </c>
      <c r="AK35" s="128">
        <f t="shared" si="42"/>
        <v>8.6399999999999991E-2</v>
      </c>
      <c r="AL35" s="130" t="str">
        <f t="shared" si="5"/>
        <v>Moderado</v>
      </c>
      <c r="AM35" s="128">
        <f t="shared" ref="AM35" si="45">IFERROR(IF(AND(AB34="Impacto",AB35="Impacto"),(AM34-(+AM34*AE35)),IF(AND(AB34="Probabilidad",AB35="Impacto"),(AM33-(+AM33*AE35)),IF(AB35="Probabilidad",AM34,""))),"")</f>
        <v>0.6</v>
      </c>
      <c r="AN35" s="131" t="str">
        <f t="shared" si="44"/>
        <v>Moderado</v>
      </c>
      <c r="AO35" s="132" t="s">
        <v>43</v>
      </c>
      <c r="AP35" s="304"/>
      <c r="AQ35" s="353"/>
      <c r="AR35" s="353"/>
      <c r="AS35" s="347"/>
      <c r="AT35" s="400"/>
      <c r="AU35" s="400"/>
      <c r="AV35" s="400"/>
    </row>
    <row r="36" spans="1:48" hidden="1" x14ac:dyDescent="0.2">
      <c r="A36" s="398"/>
      <c r="B36" s="401"/>
      <c r="C36" s="401"/>
      <c r="D36" s="401"/>
      <c r="E36" s="421"/>
      <c r="F36" s="401"/>
      <c r="G36" s="401"/>
      <c r="H36" s="400"/>
      <c r="I36" s="403"/>
      <c r="J36" s="421"/>
      <c r="K36" s="421"/>
      <c r="L36" s="421"/>
      <c r="M36" s="403"/>
      <c r="N36" s="403"/>
      <c r="O36" s="416"/>
      <c r="P36" s="417"/>
      <c r="Q36" s="405"/>
      <c r="R36" s="406"/>
      <c r="S36" s="405">
        <f>IF(NOT(ISERROR(MATCH(R36,_xlfn.ANCHORARRAY(G47),0))),Q49&amp;"Por favor no seleccionar los criterios de impacto",R36)</f>
        <v>0</v>
      </c>
      <c r="T36" s="417"/>
      <c r="U36" s="405"/>
      <c r="V36" s="418"/>
      <c r="W36" s="149">
        <v>4</v>
      </c>
      <c r="X36" s="149"/>
      <c r="Y36" s="149"/>
      <c r="Z36" s="149"/>
      <c r="AA36" s="304" t="str">
        <f t="shared" si="1"/>
        <v xml:space="preserve">  </v>
      </c>
      <c r="AB36" s="126" t="str">
        <f t="shared" ref="AB36:AB38" si="46">IF(OR(AC36="Preventivo",AC36="Detectivo"),"Probabilidad",IF(AC36="Correctivo","Impacto",""))</f>
        <v/>
      </c>
      <c r="AC36" s="127"/>
      <c r="AD36" s="127"/>
      <c r="AE36" s="128" t="str">
        <f t="shared" si="41"/>
        <v/>
      </c>
      <c r="AF36" s="127"/>
      <c r="AG36" s="127"/>
      <c r="AH36" s="127"/>
      <c r="AI36" s="129" t="str">
        <f t="shared" ref="AI36:AI38" si="47">IFERROR(IF(AND(AB35="Probabilidad",AB36="Probabilidad"),(AK35-(+AK35*AE36)),IF(AND(AB35="Impacto",AB36="Probabilidad"),(AK34-(+AK34*AE36)),IF(AB36="Impacto",AK35,""))),"")</f>
        <v/>
      </c>
      <c r="AJ36" s="130" t="str">
        <f t="shared" si="3"/>
        <v/>
      </c>
      <c r="AK36" s="128" t="str">
        <f t="shared" si="42"/>
        <v/>
      </c>
      <c r="AL36" s="130" t="str">
        <f t="shared" si="5"/>
        <v/>
      </c>
      <c r="AM36" s="128" t="str">
        <f t="shared" si="15"/>
        <v/>
      </c>
      <c r="AN36" s="131" t="str">
        <f>IFERROR(IF(OR(AND(AJ36="Muy Baja",AL36="Leve"),AND(AJ36="Muy Baja",AL36="Menor"),AND(AJ36="Baja",AL36="Leve")),"Bajo",IF(OR(AND(AJ36="Muy baja",AL36="Moderado"),AND(AJ36="Baja",AL36="Menor"),AND(AJ36="Baja",AL36="Moderado"),AND(AJ36="Media",AL36="Leve"),AND(AJ36="Media",AL36="Menor"),AND(AJ36="Media",AL36="Moderado"),AND(AJ36="Alta",AL36="Leve"),AND(AJ36="Alta",AL36="Menor")),"Moderado",IF(OR(AND(AJ36="Muy Baja",AL36="Mayor"),AND(AJ36="Baja",AL36="Mayor"),AND(AJ36="Media",AL36="Mayor"),AND(AJ36="Alta",AL36="Moderado"),AND(AJ36="Alta",AL36="Mayor"),AND(AJ36="Muy Alta",AL36="Leve"),AND(AJ36="Muy Alta",AL36="Menor"),AND(AJ36="Muy Alta",AL36="Moderado"),AND(AJ36="Muy Alta",AL36="Mayor")),"Alto",IF(OR(AND(AJ36="Muy Baja",AL36="Catastrófico"),AND(AJ36="Baja",AL36="Catastrófico"),AND(AJ36="Media",AL36="Catastrófico"),AND(AJ36="Alta",AL36="Catastrófico"),AND(AJ36="Muy Alta",AL36="Catastrófico")),"Extremo","")))),"")</f>
        <v/>
      </c>
      <c r="AO36" s="132"/>
      <c r="AP36" s="304"/>
      <c r="AQ36" s="353"/>
      <c r="AR36" s="353"/>
      <c r="AS36" s="347"/>
      <c r="AT36" s="400"/>
      <c r="AU36" s="400"/>
      <c r="AV36" s="400"/>
    </row>
    <row r="37" spans="1:48" hidden="1" x14ac:dyDescent="0.2">
      <c r="A37" s="398"/>
      <c r="B37" s="401"/>
      <c r="C37" s="401"/>
      <c r="D37" s="401"/>
      <c r="E37" s="421"/>
      <c r="F37" s="401"/>
      <c r="G37" s="401"/>
      <c r="H37" s="400"/>
      <c r="I37" s="403"/>
      <c r="J37" s="421"/>
      <c r="K37" s="421"/>
      <c r="L37" s="421"/>
      <c r="M37" s="403"/>
      <c r="N37" s="403"/>
      <c r="O37" s="416"/>
      <c r="P37" s="417"/>
      <c r="Q37" s="405"/>
      <c r="R37" s="406"/>
      <c r="S37" s="405">
        <f>IF(NOT(ISERROR(MATCH(R37,_xlfn.ANCHORARRAY(G48),0))),Q50&amp;"Por favor no seleccionar los criterios de impacto",R37)</f>
        <v>0</v>
      </c>
      <c r="T37" s="417"/>
      <c r="U37" s="405"/>
      <c r="V37" s="418"/>
      <c r="W37" s="149">
        <v>5</v>
      </c>
      <c r="X37" s="149"/>
      <c r="Y37" s="149"/>
      <c r="Z37" s="149"/>
      <c r="AA37" s="304" t="str">
        <f t="shared" si="1"/>
        <v xml:space="preserve">  </v>
      </c>
      <c r="AB37" s="126" t="str">
        <f t="shared" si="46"/>
        <v/>
      </c>
      <c r="AC37" s="127"/>
      <c r="AD37" s="127"/>
      <c r="AE37" s="128" t="str">
        <f t="shared" si="41"/>
        <v/>
      </c>
      <c r="AF37" s="127"/>
      <c r="AG37" s="127"/>
      <c r="AH37" s="127"/>
      <c r="AI37" s="129" t="str">
        <f t="shared" si="47"/>
        <v/>
      </c>
      <c r="AJ37" s="130" t="str">
        <f t="shared" si="3"/>
        <v/>
      </c>
      <c r="AK37" s="128" t="str">
        <f t="shared" si="42"/>
        <v/>
      </c>
      <c r="AL37" s="130" t="str">
        <f t="shared" si="5"/>
        <v/>
      </c>
      <c r="AM37" s="128" t="str">
        <f t="shared" si="15"/>
        <v/>
      </c>
      <c r="AN37" s="131" t="str">
        <f t="shared" ref="AN37:AN38" si="48">IFERROR(IF(OR(AND(AJ37="Muy Baja",AL37="Leve"),AND(AJ37="Muy Baja",AL37="Menor"),AND(AJ37="Baja",AL37="Leve")),"Bajo",IF(OR(AND(AJ37="Muy baja",AL37="Moderado"),AND(AJ37="Baja",AL37="Menor"),AND(AJ37="Baja",AL37="Moderado"),AND(AJ37="Media",AL37="Leve"),AND(AJ37="Media",AL37="Menor"),AND(AJ37="Media",AL37="Moderado"),AND(AJ37="Alta",AL37="Leve"),AND(AJ37="Alta",AL37="Menor")),"Moderado",IF(OR(AND(AJ37="Muy Baja",AL37="Mayor"),AND(AJ37="Baja",AL37="Mayor"),AND(AJ37="Media",AL37="Mayor"),AND(AJ37="Alta",AL37="Moderado"),AND(AJ37="Alta",AL37="Mayor"),AND(AJ37="Muy Alta",AL37="Leve"),AND(AJ37="Muy Alta",AL37="Menor"),AND(AJ37="Muy Alta",AL37="Moderado"),AND(AJ37="Muy Alta",AL37="Mayor")),"Alto",IF(OR(AND(AJ37="Muy Baja",AL37="Catastrófico"),AND(AJ37="Baja",AL37="Catastrófico"),AND(AJ37="Media",AL37="Catastrófico"),AND(AJ37="Alta",AL37="Catastrófico"),AND(AJ37="Muy Alta",AL37="Catastrófico")),"Extremo","")))),"")</f>
        <v/>
      </c>
      <c r="AO37" s="132"/>
      <c r="AP37" s="304"/>
      <c r="AQ37" s="353"/>
      <c r="AR37" s="353"/>
      <c r="AS37" s="347"/>
      <c r="AT37" s="400"/>
      <c r="AU37" s="400"/>
      <c r="AV37" s="400"/>
    </row>
    <row r="38" spans="1:48" hidden="1" x14ac:dyDescent="0.2">
      <c r="A38" s="398"/>
      <c r="B38" s="401"/>
      <c r="C38" s="401"/>
      <c r="D38" s="401"/>
      <c r="E38" s="422"/>
      <c r="F38" s="401"/>
      <c r="G38" s="401"/>
      <c r="H38" s="400"/>
      <c r="I38" s="404"/>
      <c r="J38" s="422"/>
      <c r="K38" s="422"/>
      <c r="L38" s="422"/>
      <c r="M38" s="404"/>
      <c r="N38" s="404"/>
      <c r="O38" s="416"/>
      <c r="P38" s="417"/>
      <c r="Q38" s="405"/>
      <c r="R38" s="406"/>
      <c r="S38" s="405">
        <f>IF(NOT(ISERROR(MATCH(R38,_xlfn.ANCHORARRAY(G49),0))),Q51&amp;"Por favor no seleccionar los criterios de impacto",R38)</f>
        <v>0</v>
      </c>
      <c r="T38" s="417"/>
      <c r="U38" s="405"/>
      <c r="V38" s="418"/>
      <c r="W38" s="149">
        <v>6</v>
      </c>
      <c r="X38" s="149"/>
      <c r="Y38" s="149"/>
      <c r="Z38" s="149"/>
      <c r="AA38" s="304" t="str">
        <f t="shared" si="1"/>
        <v xml:space="preserve">  </v>
      </c>
      <c r="AB38" s="126" t="str">
        <f t="shared" si="46"/>
        <v/>
      </c>
      <c r="AC38" s="127"/>
      <c r="AD38" s="127"/>
      <c r="AE38" s="128" t="str">
        <f t="shared" si="41"/>
        <v/>
      </c>
      <c r="AF38" s="127"/>
      <c r="AG38" s="127"/>
      <c r="AH38" s="127"/>
      <c r="AI38" s="129" t="str">
        <f t="shared" si="47"/>
        <v/>
      </c>
      <c r="AJ38" s="130" t="str">
        <f t="shared" si="3"/>
        <v/>
      </c>
      <c r="AK38" s="128" t="str">
        <f t="shared" si="42"/>
        <v/>
      </c>
      <c r="AL38" s="130" t="str">
        <f t="shared" si="5"/>
        <v/>
      </c>
      <c r="AM38" s="128" t="str">
        <f t="shared" si="15"/>
        <v/>
      </c>
      <c r="AN38" s="131" t="str">
        <f t="shared" si="48"/>
        <v/>
      </c>
      <c r="AO38" s="132"/>
      <c r="AP38" s="304"/>
      <c r="AQ38" s="353"/>
      <c r="AR38" s="353"/>
      <c r="AS38" s="347"/>
      <c r="AT38" s="400"/>
      <c r="AU38" s="400"/>
      <c r="AV38" s="400"/>
    </row>
    <row r="39" spans="1:48" ht="129.75" customHeight="1" x14ac:dyDescent="0.2">
      <c r="A39" s="398">
        <v>6</v>
      </c>
      <c r="B39" s="401" t="s">
        <v>555</v>
      </c>
      <c r="C39" s="401" t="s">
        <v>32</v>
      </c>
      <c r="D39" s="401" t="s">
        <v>982</v>
      </c>
      <c r="E39" s="420" t="s">
        <v>983</v>
      </c>
      <c r="F39" s="401" t="s">
        <v>984</v>
      </c>
      <c r="G39" s="401" t="str">
        <f t="shared" ref="G39" si="49">+CONCATENATE(C39," ",D39)</f>
        <v>Posibilidad de recibir o solicitar cualquier dádiva o beneficio por modificar los resultados de informes de las pruebas experimentales con el fin  dar viabilidad a un proyecto inviable para obtener un beneficio propio o de terceros</v>
      </c>
      <c r="H39" s="400" t="s">
        <v>85</v>
      </c>
      <c r="I39" s="402" t="s">
        <v>59</v>
      </c>
      <c r="J39" s="420" t="s">
        <v>985</v>
      </c>
      <c r="K39" s="420" t="s">
        <v>986</v>
      </c>
      <c r="L39" s="420" t="s">
        <v>987</v>
      </c>
      <c r="M39" s="402" t="s">
        <v>63</v>
      </c>
      <c r="N39" s="402" t="s">
        <v>42</v>
      </c>
      <c r="O39" s="416">
        <v>6</v>
      </c>
      <c r="P39" s="417" t="str">
        <f>IF(O39&lt;=0,"",IF(O39&lt;=2,"Muy Baja",IF(O39&lt;=24,"Baja",IF(O39&lt;=500,"Media",IF(O39&lt;=5000,"Alta","Muy Alta")))))</f>
        <v>Baja</v>
      </c>
      <c r="Q39" s="405">
        <f>IF(P39="","",IF(P39="Muy Baja",0.2,IF(P39="Baja",0.4,IF(P39="Media",0.6,IF(P39="Alta",0.8,IF(P39="Muy Alta",1,))))))</f>
        <v>0.4</v>
      </c>
      <c r="R39" s="406" t="s">
        <v>428</v>
      </c>
      <c r="S39" s="405" t="str">
        <f>IF(NOT(ISERROR(MATCH(R39,'[3]Tabla Impacto'!$B$245:$B$247,0))),'[3]Tabla Impacto'!$F$224&amp;"Por favor no seleccionar los criterios de impacto(Afectación Económica o presupuestal y Pérdida Reputacional)",R39)</f>
        <v xml:space="preserve">     El riesgo afecta la imagen de la entidad con algunos usuarios de relevancia frente al logro de los objetivos</v>
      </c>
      <c r="T39" s="417" t="str">
        <f>IF(OR(S39='[3]Tabla Impacto'!$C$12,S39='[3]Tabla Impacto'!$D$12),"Leve",IF(OR(S39='[3]Tabla Impacto'!$C$13,S39='[3]Tabla Impacto'!$D$13),"Menor",IF(OR(S39='[3]Tabla Impacto'!$C$14,S39='[3]Tabla Impacto'!$D$14),"Moderado",IF(OR(S39='[3]Tabla Impacto'!$C$15,S39='[3]Tabla Impacto'!$D$15),"Mayor",IF(OR(S39='[3]Tabla Impacto'!$C$16,S39='[3]Tabla Impacto'!$D$16),"Catastrófico","")))))</f>
        <v>Moderado</v>
      </c>
      <c r="U39" s="405">
        <f>IF(T39="","",IF(T39="Leve",0.2,IF(T39="Menor",0.4,IF(T39="Moderado",0.6,IF(T39="Mayor",0.8,IF(T39="Catastrófico",1,))))))</f>
        <v>0.6</v>
      </c>
      <c r="V39" s="418" t="str">
        <f>IF(OR(AND(P39="Muy Baja",T39="Leve"),AND(P39="Muy Baja",T39="Menor"),AND(P39="Baja",T39="Leve")),"Bajo",IF(OR(AND(P39="Muy baja",T39="Moderado"),AND(P39="Baja",T39="Menor"),AND(P39="Baja",T39="Moderado"),AND(P39="Media",T39="Leve"),AND(P39="Media",T39="Menor"),AND(P39="Media",T39="Moderado"),AND(P39="Alta",T39="Leve"),AND(P39="Alta",T39="Menor")),"Moderado",IF(OR(AND(P39="Muy Baja",T39="Mayor"),AND(P39="Baja",T39="Mayor"),AND(P39="Media",T39="Mayor"),AND(P39="Alta",T39="Moderado"),AND(P39="Alta",T39="Mayor"),AND(P39="Muy Alta",T39="Leve"),AND(P39="Muy Alta",T39="Menor"),AND(P39="Muy Alta",T39="Moderado"),AND(P39="Muy Alta",T39="Mayor")),"Alto",IF(OR(AND(P39="Muy Baja",T39="Catastrófico"),AND(P39="Baja",T39="Catastrófico"),AND(P39="Media",T39="Catastrófico"),AND(P39="Alta",T39="Catastrófico"),AND(P39="Muy Alta",T39="Catastrófico")),"Extremo",""))))</f>
        <v>Moderado</v>
      </c>
      <c r="W39" s="149">
        <v>1</v>
      </c>
      <c r="X39" s="182" t="s">
        <v>988</v>
      </c>
      <c r="Y39" s="182" t="s">
        <v>52</v>
      </c>
      <c r="Z39" s="182" t="s">
        <v>905</v>
      </c>
      <c r="AA39" s="304" t="str">
        <f t="shared" si="1"/>
        <v>El lider de innovación Revisa Cada vez que se plantea la iniciativa de un proyecto de innovación, la viabilidad tecnica en las mesas de trabajo de iniciativas de proyectos, dejando como evidencia un  acta de reunion de las iniciativas. si la propuesta no cumple con lo establecido, no sera aprobada para continuar con su ejecución</v>
      </c>
      <c r="AB39" s="126" t="str">
        <f>IF(OR(AC39="Preventivo",AC39="Detectivo"),"Probabilidad",IF(AC39="Correctivo","Impacto",""))</f>
        <v>Probabilidad</v>
      </c>
      <c r="AC39" s="127" t="s">
        <v>393</v>
      </c>
      <c r="AD39" s="127" t="s">
        <v>394</v>
      </c>
      <c r="AE39" s="128" t="str">
        <f>IF(AND(AC39="Preventivo",AD39="Automático"),"50%",IF(AND(AC39="Preventivo",AD39="Manual"),"40%",IF(AND(AC39="Detectivo",AD39="Automático"),"40%",IF(AND(AC39="Detectivo",AD39="Manual"),"30%",IF(AND(AC39="Correctivo",AD39="Automático"),"35%",IF(AND(AC39="Correctivo",AD39="Manual"),"25%",""))))))</f>
        <v>30%</v>
      </c>
      <c r="AF39" s="127" t="s">
        <v>395</v>
      </c>
      <c r="AG39" s="127" t="s">
        <v>396</v>
      </c>
      <c r="AH39" s="127" t="s">
        <v>397</v>
      </c>
      <c r="AI39" s="129">
        <f>IFERROR(IF(AB39="Probabilidad",(Q39-(+Q39*AE39)),IF(AB39="Impacto",Q39,"")),"")</f>
        <v>0.28000000000000003</v>
      </c>
      <c r="AJ39" s="130" t="str">
        <f>IFERROR(IF(AI39="","",IF(AI39&lt;=0.2,"Muy Baja",IF(AI39&lt;=0.4,"Baja",IF(AI39&lt;=0.6,"Media",IF(AI39&lt;=0.8,"Alta","Muy Alta"))))),"")</f>
        <v>Baja</v>
      </c>
      <c r="AK39" s="128">
        <f>+AI39</f>
        <v>0.28000000000000003</v>
      </c>
      <c r="AL39" s="130" t="str">
        <f>IFERROR(IF(AM39="","",IF(AM39&lt;=0.2,"Leve",IF(AM39&lt;=0.4,"Menor",IF(AM39&lt;=0.6,"Moderado",IF(AM39&lt;=0.8,"Mayor","Catastrófico"))))),"")</f>
        <v>Moderado</v>
      </c>
      <c r="AM39" s="128">
        <f t="shared" ref="AM39" si="50">IFERROR(IF(AB39="Impacto",(U39-(+U39*AE39)),IF(AB39="Probabilidad",U39,"")),"")</f>
        <v>0.6</v>
      </c>
      <c r="AN39" s="131" t="str">
        <f>IFERROR(IF(OR(AND(AJ39="Muy Baja",AL39="Leve"),AND(AJ39="Muy Baja",AL39="Menor"),AND(AJ39="Baja",AL39="Leve")),"Bajo",IF(OR(AND(AJ39="Muy baja",AL39="Moderado"),AND(AJ39="Baja",AL39="Menor"),AND(AJ39="Baja",AL39="Moderado"),AND(AJ39="Media",AL39="Leve"),AND(AJ39="Media",AL39="Menor"),AND(AJ39="Media",AL39="Moderado"),AND(AJ39="Alta",AL39="Leve"),AND(AJ39="Alta",AL39="Menor")),"Moderado",IF(OR(AND(AJ39="Muy Baja",AL39="Mayor"),AND(AJ39="Baja",AL39="Mayor"),AND(AJ39="Media",AL39="Mayor"),AND(AJ39="Alta",AL39="Moderado"),AND(AJ39="Alta",AL39="Mayor"),AND(AJ39="Muy Alta",AL39="Leve"),AND(AJ39="Muy Alta",AL39="Menor"),AND(AJ39="Muy Alta",AL39="Moderado"),AND(AJ39="Muy Alta",AL39="Mayor")),"Alto",IF(OR(AND(AJ39="Muy Baja",AL39="Catastrófico"),AND(AJ39="Baja",AL39="Catastrófico"),AND(AJ39="Media",AL39="Catastrófico"),AND(AJ39="Alta",AL39="Catastrófico"),AND(AJ39="Muy Alta",AL39="Catastrófico")),"Extremo","")))),"")</f>
        <v>Moderado</v>
      </c>
      <c r="AO39" s="127"/>
      <c r="AP39" s="125" t="s">
        <v>989</v>
      </c>
      <c r="AQ39" s="125" t="s">
        <v>988</v>
      </c>
      <c r="AR39" s="125" t="s">
        <v>990</v>
      </c>
      <c r="AS39" s="134">
        <v>46021</v>
      </c>
      <c r="AT39" s="400" t="s">
        <v>946</v>
      </c>
      <c r="AU39" s="400" t="s">
        <v>947</v>
      </c>
      <c r="AV39" s="400" t="s">
        <v>991</v>
      </c>
    </row>
    <row r="40" spans="1:48" ht="129.75" customHeight="1" x14ac:dyDescent="0.2">
      <c r="A40" s="398"/>
      <c r="B40" s="401"/>
      <c r="C40" s="401"/>
      <c r="D40" s="401"/>
      <c r="E40" s="421"/>
      <c r="F40" s="401"/>
      <c r="G40" s="401"/>
      <c r="H40" s="400"/>
      <c r="I40" s="403"/>
      <c r="J40" s="421"/>
      <c r="K40" s="421"/>
      <c r="L40" s="421"/>
      <c r="M40" s="403"/>
      <c r="N40" s="403"/>
      <c r="O40" s="416"/>
      <c r="P40" s="417"/>
      <c r="Q40" s="405"/>
      <c r="R40" s="406"/>
      <c r="S40" s="405">
        <f>IF(NOT(ISERROR(MATCH(R40,_xlfn.ANCHORARRAY(G51),0))),Q53&amp;"Por favor no seleccionar los criterios de impacto",R40)</f>
        <v>0</v>
      </c>
      <c r="T40" s="417"/>
      <c r="U40" s="405"/>
      <c r="V40" s="418"/>
      <c r="W40" s="149">
        <v>2</v>
      </c>
      <c r="X40" s="182" t="s">
        <v>992</v>
      </c>
      <c r="Y40" s="149" t="s">
        <v>41</v>
      </c>
      <c r="Z40" s="182" t="s">
        <v>993</v>
      </c>
      <c r="AA40" s="304" t="str">
        <f t="shared" si="1"/>
        <v>Lider de proyecto Valida Cada vez que un proyecto finaliza su fase experimental, que los resultados obtenidos en la pruebas realizadas cumplan de acuerdo a lo planteado y aprobado en el acta de constitución del proyecto, dejando como evidencia en el formato DMIC-FM-002_V1 INFORME DE PROYECTO DE INVESTIGACIÓN las pruebas realizadas, de no ser asi, se dara por finalizado el proyecto planteado inicialmente.</v>
      </c>
      <c r="AB40" s="126" t="str">
        <f>IF(OR(AC40="Preventivo",AC40="Detectivo"),"Probabilidad",IF(AC40="Correctivo","Impacto",""))</f>
        <v>Probabilidad</v>
      </c>
      <c r="AC40" s="127" t="s">
        <v>393</v>
      </c>
      <c r="AD40" s="127" t="s">
        <v>394</v>
      </c>
      <c r="AE40" s="128" t="str">
        <f t="shared" ref="AE40:AE44" si="51">IF(AND(AC40="Preventivo",AD40="Automático"),"50%",IF(AND(AC40="Preventivo",AD40="Manual"),"40%",IF(AND(AC40="Detectivo",AD40="Automático"),"40%",IF(AND(AC40="Detectivo",AD40="Manual"),"30%",IF(AND(AC40="Correctivo",AD40="Automático"),"35%",IF(AND(AC40="Correctivo",AD40="Manual"),"25%",""))))))</f>
        <v>30%</v>
      </c>
      <c r="AF40" s="127" t="s">
        <v>395</v>
      </c>
      <c r="AG40" s="127" t="s">
        <v>396</v>
      </c>
      <c r="AH40" s="127" t="s">
        <v>397</v>
      </c>
      <c r="AI40" s="129">
        <f>IFERROR(IF(AND(AB39="Probabilidad",AB40="Probabilidad"),(AK39-(+AK39*AE40)),IF(AB40="Probabilidad",(Q39-(+Q39*AE40)),IF(AB40="Impacto",AK39,""))),"")</f>
        <v>0.19600000000000001</v>
      </c>
      <c r="AJ40" s="130" t="str">
        <f t="shared" si="3"/>
        <v>Muy Baja</v>
      </c>
      <c r="AK40" s="128">
        <f t="shared" ref="AK40:AK44" si="52">+AI40</f>
        <v>0.19600000000000001</v>
      </c>
      <c r="AL40" s="130" t="str">
        <f t="shared" si="5"/>
        <v>Moderado</v>
      </c>
      <c r="AM40" s="128">
        <f t="shared" ref="AM40" si="53">IFERROR(IF(AND(AB39="Impacto",AB40="Impacto"),(AM39-(+AM39*AE40)),IF(AB40="Impacto",($U$9-(+$U$9*AE40)),IF(AB40="Probabilidad",AM39,""))),"")</f>
        <v>0.6</v>
      </c>
      <c r="AN40" s="131" t="str">
        <f t="shared" ref="AN40:AN41" si="54">IFERROR(IF(OR(AND(AJ40="Muy Baja",AL40="Leve"),AND(AJ40="Muy Baja",AL40="Menor"),AND(AJ40="Baja",AL40="Leve")),"Bajo",IF(OR(AND(AJ40="Muy baja",AL40="Moderado"),AND(AJ40="Baja",AL40="Menor"),AND(AJ40="Baja",AL40="Moderado"),AND(AJ40="Media",AL40="Leve"),AND(AJ40="Media",AL40="Menor"),AND(AJ40="Media",AL40="Moderado"),AND(AJ40="Alta",AL40="Leve"),AND(AJ40="Alta",AL40="Menor")),"Moderado",IF(OR(AND(AJ40="Muy Baja",AL40="Mayor"),AND(AJ40="Baja",AL40="Mayor"),AND(AJ40="Media",AL40="Mayor"),AND(AJ40="Alta",AL40="Moderado"),AND(AJ40="Alta",AL40="Mayor"),AND(AJ40="Muy Alta",AL40="Leve"),AND(AJ40="Muy Alta",AL40="Menor"),AND(AJ40="Muy Alta",AL40="Moderado"),AND(AJ40="Muy Alta",AL40="Mayor")),"Alto",IF(OR(AND(AJ40="Muy Baja",AL40="Catastrófico"),AND(AJ40="Baja",AL40="Catastrófico"),AND(AJ40="Media",AL40="Catastrófico"),AND(AJ40="Alta",AL40="Catastrófico"),AND(AJ40="Muy Alta",AL40="Catastrófico")),"Extremo","")))),"")</f>
        <v>Moderado</v>
      </c>
      <c r="AO40" s="132" t="s">
        <v>43</v>
      </c>
      <c r="AP40" s="304"/>
      <c r="AQ40" s="353"/>
      <c r="AR40" s="353"/>
      <c r="AS40" s="347"/>
      <c r="AT40" s="400"/>
      <c r="AU40" s="400"/>
      <c r="AV40" s="400"/>
    </row>
    <row r="41" spans="1:48" hidden="1" x14ac:dyDescent="0.2">
      <c r="A41" s="398"/>
      <c r="B41" s="401"/>
      <c r="C41" s="401"/>
      <c r="D41" s="401"/>
      <c r="E41" s="421"/>
      <c r="F41" s="401"/>
      <c r="G41" s="401"/>
      <c r="H41" s="400"/>
      <c r="I41" s="403"/>
      <c r="J41" s="421"/>
      <c r="K41" s="421"/>
      <c r="L41" s="421"/>
      <c r="M41" s="403"/>
      <c r="N41" s="403"/>
      <c r="O41" s="416"/>
      <c r="P41" s="417"/>
      <c r="Q41" s="405"/>
      <c r="R41" s="406"/>
      <c r="S41" s="405">
        <f>IF(NOT(ISERROR(MATCH(R41,_xlfn.ANCHORARRAY(G52),0))),Q54&amp;"Por favor no seleccionar los criterios de impacto",R41)</f>
        <v>0</v>
      </c>
      <c r="T41" s="417"/>
      <c r="U41" s="405"/>
      <c r="V41" s="418"/>
      <c r="W41" s="149">
        <v>3</v>
      </c>
      <c r="X41" s="149"/>
      <c r="Y41" s="149"/>
      <c r="Z41" s="149"/>
      <c r="AA41" s="304" t="str">
        <f t="shared" si="1"/>
        <v xml:space="preserve">  </v>
      </c>
      <c r="AB41" s="126" t="str">
        <f>IF(OR(AC41="Preventivo",AC41="Detectivo"),"Probabilidad",IF(AC41="Correctivo","Impacto",""))</f>
        <v/>
      </c>
      <c r="AC41" s="127"/>
      <c r="AD41" s="127"/>
      <c r="AE41" s="128" t="str">
        <f t="shared" si="51"/>
        <v/>
      </c>
      <c r="AF41" s="127"/>
      <c r="AG41" s="127"/>
      <c r="AH41" s="127"/>
      <c r="AI41" s="129" t="str">
        <f>IFERROR(IF(AND(AB40="Probabilidad",AB41="Probabilidad"),(AK40-(+AK40*AE41)),IF(AND(AB40="Impacto",AB41="Probabilidad"),(AK39-(+AK39*AE41)),IF(AB41="Impacto",AK40,""))),"")</f>
        <v/>
      </c>
      <c r="AJ41" s="130" t="str">
        <f t="shared" si="3"/>
        <v/>
      </c>
      <c r="AK41" s="128" t="str">
        <f t="shared" si="52"/>
        <v/>
      </c>
      <c r="AL41" s="130" t="str">
        <f t="shared" si="5"/>
        <v/>
      </c>
      <c r="AM41" s="128" t="str">
        <f t="shared" ref="AM41" si="55">IFERROR(IF(AND(AB40="Impacto",AB41="Impacto"),(AM40-(+AM40*AE41)),IF(AND(AB40="Probabilidad",AB41="Impacto"),(AM39-(+AM39*AE41)),IF(AB41="Probabilidad",AM40,""))),"")</f>
        <v/>
      </c>
      <c r="AN41" s="131" t="str">
        <f t="shared" si="54"/>
        <v/>
      </c>
      <c r="AO41" s="132"/>
      <c r="AP41" s="304"/>
      <c r="AQ41" s="353"/>
      <c r="AR41" s="353"/>
      <c r="AS41" s="347"/>
      <c r="AT41" s="400"/>
      <c r="AU41" s="400"/>
      <c r="AV41" s="400"/>
    </row>
    <row r="42" spans="1:48" hidden="1" x14ac:dyDescent="0.2">
      <c r="A42" s="398"/>
      <c r="B42" s="401"/>
      <c r="C42" s="401"/>
      <c r="D42" s="401"/>
      <c r="E42" s="421"/>
      <c r="F42" s="401"/>
      <c r="G42" s="401"/>
      <c r="H42" s="400"/>
      <c r="I42" s="403"/>
      <c r="J42" s="421"/>
      <c r="K42" s="421"/>
      <c r="L42" s="421"/>
      <c r="M42" s="403"/>
      <c r="N42" s="403"/>
      <c r="O42" s="416"/>
      <c r="P42" s="417"/>
      <c r="Q42" s="405"/>
      <c r="R42" s="406"/>
      <c r="S42" s="405">
        <f>IF(NOT(ISERROR(MATCH(R42,_xlfn.ANCHORARRAY(G53),0))),Q55&amp;"Por favor no seleccionar los criterios de impacto",R42)</f>
        <v>0</v>
      </c>
      <c r="T42" s="417"/>
      <c r="U42" s="405"/>
      <c r="V42" s="418"/>
      <c r="W42" s="149">
        <v>4</v>
      </c>
      <c r="X42" s="149"/>
      <c r="Y42" s="149"/>
      <c r="Z42" s="149"/>
      <c r="AA42" s="304" t="str">
        <f t="shared" si="1"/>
        <v xml:space="preserve">  </v>
      </c>
      <c r="AB42" s="126" t="str">
        <f t="shared" ref="AB42:AB44" si="56">IF(OR(AC42="Preventivo",AC42="Detectivo"),"Probabilidad",IF(AC42="Correctivo","Impacto",""))</f>
        <v/>
      </c>
      <c r="AC42" s="127"/>
      <c r="AD42" s="127"/>
      <c r="AE42" s="128" t="str">
        <f t="shared" si="51"/>
        <v/>
      </c>
      <c r="AF42" s="127"/>
      <c r="AG42" s="127"/>
      <c r="AH42" s="127"/>
      <c r="AI42" s="129" t="str">
        <f t="shared" ref="AI42:AI44" si="57">IFERROR(IF(AND(AB41="Probabilidad",AB42="Probabilidad"),(AK41-(+AK41*AE42)),IF(AND(AB41="Impacto",AB42="Probabilidad"),(AK40-(+AK40*AE42)),IF(AB42="Impacto",AK41,""))),"")</f>
        <v/>
      </c>
      <c r="AJ42" s="130" t="str">
        <f t="shared" si="3"/>
        <v/>
      </c>
      <c r="AK42" s="128" t="str">
        <f t="shared" si="52"/>
        <v/>
      </c>
      <c r="AL42" s="130" t="str">
        <f t="shared" si="5"/>
        <v/>
      </c>
      <c r="AM42" s="128" t="str">
        <f t="shared" si="15"/>
        <v/>
      </c>
      <c r="AN42" s="131" t="str">
        <f>IFERROR(IF(OR(AND(AJ42="Muy Baja",AL42="Leve"),AND(AJ42="Muy Baja",AL42="Menor"),AND(AJ42="Baja",AL42="Leve")),"Bajo",IF(OR(AND(AJ42="Muy baja",AL42="Moderado"),AND(AJ42="Baja",AL42="Menor"),AND(AJ42="Baja",AL42="Moderado"),AND(AJ42="Media",AL42="Leve"),AND(AJ42="Media",AL42="Menor"),AND(AJ42="Media",AL42="Moderado"),AND(AJ42="Alta",AL42="Leve"),AND(AJ42="Alta",AL42="Menor")),"Moderado",IF(OR(AND(AJ42="Muy Baja",AL42="Mayor"),AND(AJ42="Baja",AL42="Mayor"),AND(AJ42="Media",AL42="Mayor"),AND(AJ42="Alta",AL42="Moderado"),AND(AJ42="Alta",AL42="Mayor"),AND(AJ42="Muy Alta",AL42="Leve"),AND(AJ42="Muy Alta",AL42="Menor"),AND(AJ42="Muy Alta",AL42="Moderado"),AND(AJ42="Muy Alta",AL42="Mayor")),"Alto",IF(OR(AND(AJ42="Muy Baja",AL42="Catastrófico"),AND(AJ42="Baja",AL42="Catastrófico"),AND(AJ42="Media",AL42="Catastrófico"),AND(AJ42="Alta",AL42="Catastrófico"),AND(AJ42="Muy Alta",AL42="Catastrófico")),"Extremo","")))),"")</f>
        <v/>
      </c>
      <c r="AO42" s="132"/>
      <c r="AP42" s="304"/>
      <c r="AQ42" s="353"/>
      <c r="AR42" s="353"/>
      <c r="AS42" s="347"/>
      <c r="AT42" s="400"/>
      <c r="AU42" s="400"/>
      <c r="AV42" s="400"/>
    </row>
    <row r="43" spans="1:48" hidden="1" x14ac:dyDescent="0.2">
      <c r="A43" s="398"/>
      <c r="B43" s="401"/>
      <c r="C43" s="401"/>
      <c r="D43" s="401"/>
      <c r="E43" s="421"/>
      <c r="F43" s="401"/>
      <c r="G43" s="401"/>
      <c r="H43" s="400"/>
      <c r="I43" s="403"/>
      <c r="J43" s="421"/>
      <c r="K43" s="421"/>
      <c r="L43" s="421"/>
      <c r="M43" s="403"/>
      <c r="N43" s="403"/>
      <c r="O43" s="416"/>
      <c r="P43" s="417"/>
      <c r="Q43" s="405"/>
      <c r="R43" s="406"/>
      <c r="S43" s="405">
        <f>IF(NOT(ISERROR(MATCH(R43,_xlfn.ANCHORARRAY(G54),0))),Q56&amp;"Por favor no seleccionar los criterios de impacto",R43)</f>
        <v>0</v>
      </c>
      <c r="T43" s="417"/>
      <c r="U43" s="405"/>
      <c r="V43" s="418"/>
      <c r="W43" s="149">
        <v>5</v>
      </c>
      <c r="X43" s="149"/>
      <c r="Y43" s="149"/>
      <c r="Z43" s="149"/>
      <c r="AA43" s="304" t="str">
        <f t="shared" si="1"/>
        <v xml:space="preserve">  </v>
      </c>
      <c r="AB43" s="126" t="str">
        <f t="shared" si="56"/>
        <v/>
      </c>
      <c r="AC43" s="127"/>
      <c r="AD43" s="127"/>
      <c r="AE43" s="128" t="str">
        <f t="shared" si="51"/>
        <v/>
      </c>
      <c r="AF43" s="127"/>
      <c r="AG43" s="127"/>
      <c r="AH43" s="127"/>
      <c r="AI43" s="129" t="str">
        <f t="shared" si="57"/>
        <v/>
      </c>
      <c r="AJ43" s="130" t="str">
        <f t="shared" si="3"/>
        <v/>
      </c>
      <c r="AK43" s="128" t="str">
        <f t="shared" si="52"/>
        <v/>
      </c>
      <c r="AL43" s="130" t="str">
        <f t="shared" si="5"/>
        <v/>
      </c>
      <c r="AM43" s="128" t="str">
        <f t="shared" si="15"/>
        <v/>
      </c>
      <c r="AN43" s="131" t="str">
        <f t="shared" ref="AN43" si="58">IFERROR(IF(OR(AND(AJ43="Muy Baja",AL43="Leve"),AND(AJ43="Muy Baja",AL43="Menor"),AND(AJ43="Baja",AL43="Leve")),"Bajo",IF(OR(AND(AJ43="Muy baja",AL43="Moderado"),AND(AJ43="Baja",AL43="Menor"),AND(AJ43="Baja",AL43="Moderado"),AND(AJ43="Media",AL43="Leve"),AND(AJ43="Media",AL43="Menor"),AND(AJ43="Media",AL43="Moderado"),AND(AJ43="Alta",AL43="Leve"),AND(AJ43="Alta",AL43="Menor")),"Moderado",IF(OR(AND(AJ43="Muy Baja",AL43="Mayor"),AND(AJ43="Baja",AL43="Mayor"),AND(AJ43="Media",AL43="Mayor"),AND(AJ43="Alta",AL43="Moderado"),AND(AJ43="Alta",AL43="Mayor"),AND(AJ43="Muy Alta",AL43="Leve"),AND(AJ43="Muy Alta",AL43="Menor"),AND(AJ43="Muy Alta",AL43="Moderado"),AND(AJ43="Muy Alta",AL43="Mayor")),"Alto",IF(OR(AND(AJ43="Muy Baja",AL43="Catastrófico"),AND(AJ43="Baja",AL43="Catastrófico"),AND(AJ43="Media",AL43="Catastrófico"),AND(AJ43="Alta",AL43="Catastrófico"),AND(AJ43="Muy Alta",AL43="Catastrófico")),"Extremo","")))),"")</f>
        <v/>
      </c>
      <c r="AO43" s="132"/>
      <c r="AP43" s="304"/>
      <c r="AQ43" s="353"/>
      <c r="AR43" s="353"/>
      <c r="AS43" s="347"/>
      <c r="AT43" s="400"/>
      <c r="AU43" s="400"/>
      <c r="AV43" s="400"/>
    </row>
    <row r="44" spans="1:48" hidden="1" x14ac:dyDescent="0.2">
      <c r="A44" s="398"/>
      <c r="B44" s="401"/>
      <c r="C44" s="401"/>
      <c r="D44" s="401"/>
      <c r="E44" s="422"/>
      <c r="F44" s="401"/>
      <c r="G44" s="401"/>
      <c r="H44" s="400"/>
      <c r="I44" s="404"/>
      <c r="J44" s="422"/>
      <c r="K44" s="422"/>
      <c r="L44" s="422"/>
      <c r="M44" s="404"/>
      <c r="N44" s="404"/>
      <c r="O44" s="416"/>
      <c r="P44" s="417"/>
      <c r="Q44" s="405"/>
      <c r="R44" s="406"/>
      <c r="S44" s="405">
        <f>IF(NOT(ISERROR(MATCH(R44,_xlfn.ANCHORARRAY(G55),0))),Q57&amp;"Por favor no seleccionar los criterios de impacto",R44)</f>
        <v>0</v>
      </c>
      <c r="T44" s="417"/>
      <c r="U44" s="405"/>
      <c r="V44" s="418"/>
      <c r="W44" s="149">
        <v>6</v>
      </c>
      <c r="X44" s="149"/>
      <c r="Y44" s="149"/>
      <c r="Z44" s="149"/>
      <c r="AA44" s="304" t="str">
        <f t="shared" si="1"/>
        <v xml:space="preserve">  </v>
      </c>
      <c r="AB44" s="126" t="str">
        <f t="shared" si="56"/>
        <v/>
      </c>
      <c r="AC44" s="127"/>
      <c r="AD44" s="127"/>
      <c r="AE44" s="128" t="str">
        <f t="shared" si="51"/>
        <v/>
      </c>
      <c r="AF44" s="127"/>
      <c r="AG44" s="127"/>
      <c r="AH44" s="127"/>
      <c r="AI44" s="129" t="str">
        <f t="shared" si="57"/>
        <v/>
      </c>
      <c r="AJ44" s="130" t="str">
        <f t="shared" si="3"/>
        <v/>
      </c>
      <c r="AK44" s="128" t="str">
        <f t="shared" si="52"/>
        <v/>
      </c>
      <c r="AL44" s="130" t="str">
        <f>IFERROR(IF(AM44="","",IF(AM44&lt;=0.2,"Leve",IF(AM44&lt;=0.4,"Menor",IF(AM44&lt;=0.6,"Moderado",IF(AM44&lt;=0.8,"Mayor","Catastrófico"))))),"")</f>
        <v/>
      </c>
      <c r="AM44" s="128" t="str">
        <f t="shared" si="15"/>
        <v/>
      </c>
      <c r="AN44" s="131" t="str">
        <f>IFERROR(IF(OR(AND(AJ44="Muy Baja",AL44="Leve"),AND(AJ44="Muy Baja",AL44="Menor"),AND(AJ44="Baja",AL44="Leve")),"Bajo",IF(OR(AND(AJ44="Muy baja",AL44="Moderado"),AND(AJ44="Baja",AL44="Menor"),AND(AJ44="Baja",AL44="Moderado"),AND(AJ44="Media",AL44="Leve"),AND(AJ44="Media",AL44="Menor"),AND(AJ44="Media",AL44="Moderado"),AND(AJ44="Alta",AL44="Leve"),AND(AJ44="Alta",AL44="Menor")),"Moderado",IF(OR(AND(AJ44="Muy Baja",AL44="Mayor"),AND(AJ44="Baja",AL44="Mayor"),AND(AJ44="Media",AL44="Mayor"),AND(AJ44="Alta",AL44="Moderado"),AND(AJ44="Alta",AL44="Mayor"),AND(AJ44="Muy Alta",AL44="Leve"),AND(AJ44="Muy Alta",AL44="Menor"),AND(AJ44="Muy Alta",AL44="Moderado"),AND(AJ44="Muy Alta",AL44="Mayor")),"Alto",IF(OR(AND(AJ44="Muy Baja",AL44="Catastrófico"),AND(AJ44="Baja",AL44="Catastrófico"),AND(AJ44="Media",AL44="Catastrófico"),AND(AJ44="Alta",AL44="Catastrófico"),AND(AJ44="Muy Alta",AL44="Catastrófico")),"Extremo","")))),"")</f>
        <v/>
      </c>
      <c r="AO44" s="132"/>
      <c r="AP44" s="304"/>
      <c r="AQ44" s="353"/>
      <c r="AR44" s="353"/>
      <c r="AS44" s="347"/>
      <c r="AT44" s="400"/>
      <c r="AU44" s="400"/>
      <c r="AV44" s="400"/>
    </row>
    <row r="45" spans="1:48" s="361" customFormat="1" ht="128.25" customHeight="1" x14ac:dyDescent="0.2">
      <c r="A45" s="398">
        <v>7</v>
      </c>
      <c r="B45" s="401" t="s">
        <v>556</v>
      </c>
      <c r="C45" s="401" t="s">
        <v>32</v>
      </c>
      <c r="D45" s="401" t="s">
        <v>994</v>
      </c>
      <c r="E45" s="420" t="s">
        <v>995</v>
      </c>
      <c r="F45" s="401" t="s">
        <v>996</v>
      </c>
      <c r="G45" s="401" t="str">
        <f t="shared" ref="G45" si="59">+CONCATENATE(C45," ",D45)</f>
        <v xml:space="preserve">Posibilidad de recibir o solicitar cualquier dádiva o beneficio por modificar o alterar de manera indebida la información registrada en ORFEO o SIPROJ WEB, y/o omitir intencionalmente algún trámite o entorpecer el flujo normal de los procesos judiciales y extrajudiciales, por parte de los apoderados, dependientes, servidores y/o contratistas a cargo, para favorecer a un tercero y obtener un beneficio propio </v>
      </c>
      <c r="H45" s="400" t="s">
        <v>85</v>
      </c>
      <c r="I45" s="402" t="s">
        <v>62</v>
      </c>
      <c r="J45" s="420" t="s">
        <v>997</v>
      </c>
      <c r="K45" s="420" t="s">
        <v>998</v>
      </c>
      <c r="L45" s="420" t="s">
        <v>999</v>
      </c>
      <c r="M45" s="402" t="s">
        <v>63</v>
      </c>
      <c r="N45" s="402" t="s">
        <v>46</v>
      </c>
      <c r="O45" s="416">
        <v>200</v>
      </c>
      <c r="P45" s="417" t="str">
        <f>IF(O45&lt;=0,"",IF(O45&lt;=2,"Muy Baja",IF(O45&lt;=24,"Baja",IF(O45&lt;=500,"Media",IF(O45&lt;=5000,"Alta","Muy Alta")))))</f>
        <v>Media</v>
      </c>
      <c r="Q45" s="405">
        <f>IF(P45="","",IF(P45="Muy Baja",0.2,IF(P45="Baja",0.4,IF(P45="Media",0.6,IF(P45="Alta",0.8,IF(P45="Muy Alta",1,))))))</f>
        <v>0.6</v>
      </c>
      <c r="R45" s="406" t="s">
        <v>428</v>
      </c>
      <c r="S45" s="405" t="str">
        <f>IF(NOT(ISERROR(MATCH(R45,'[3]Tabla Impacto'!$B$245:$B$247,0))),'[3]Tabla Impacto'!$F$224&amp;"Por favor no seleccionar los criterios de impacto(Afectación Económica o presupuestal y Pérdida Reputacional)",R45)</f>
        <v xml:space="preserve">     El riesgo afecta la imagen de la entidad con algunos usuarios de relevancia frente al logro de los objetivos</v>
      </c>
      <c r="T45" s="417" t="str">
        <f>IF(OR(S45='[3]Tabla Impacto'!$C$12,S45='[3]Tabla Impacto'!$D$12),"Leve",IF(OR(S45='[3]Tabla Impacto'!$C$13,S45='[3]Tabla Impacto'!$D$13),"Menor",IF(OR(S45='[3]Tabla Impacto'!$C$14,S45='[3]Tabla Impacto'!$D$14),"Moderado",IF(OR(S45='[3]Tabla Impacto'!$C$15,S45='[3]Tabla Impacto'!$D$15),"Mayor",IF(OR(S45='[3]Tabla Impacto'!$C$16,S45='[3]Tabla Impacto'!$D$16),"Catastrófico","")))))</f>
        <v>Moderado</v>
      </c>
      <c r="U45" s="405">
        <f>IF(T45="","",IF(T45="Leve",0.2,IF(T45="Menor",0.4,IF(T45="Moderado",0.6,IF(T45="Mayor",0.8,IF(T45="Catastrófico",1,))))))</f>
        <v>0.6</v>
      </c>
      <c r="V45" s="418" t="str">
        <f>IF(OR(AND(P45="Muy Baja",T45="Leve"),AND(P45="Muy Baja",T45="Menor"),AND(P45="Baja",T45="Leve")),"Bajo",IF(OR(AND(P45="Muy baja",T45="Moderado"),AND(P45="Baja",T45="Menor"),AND(P45="Baja",T45="Moderado"),AND(P45="Media",T45="Leve"),AND(P45="Media",T45="Menor"),AND(P45="Media",T45="Moderado"),AND(P45="Alta",T45="Leve"),AND(P45="Alta",T45="Menor")),"Moderado",IF(OR(AND(P45="Muy Baja",T45="Mayor"),AND(P45="Baja",T45="Mayor"),AND(P45="Media",T45="Mayor"),AND(P45="Alta",T45="Moderado"),AND(P45="Alta",T45="Mayor"),AND(P45="Muy Alta",T45="Leve"),AND(P45="Muy Alta",T45="Menor"),AND(P45="Muy Alta",T45="Moderado"),AND(P45="Muy Alta",T45="Mayor")),"Alto",IF(OR(AND(P45="Muy Baja",T45="Catastrófico"),AND(P45="Baja",T45="Catastrófico"),AND(P45="Media",T45="Catastrófico"),AND(P45="Alta",T45="Catastrófico"),AND(P45="Muy Alta",T45="Catastrófico")),"Extremo",""))))</f>
        <v>Moderado</v>
      </c>
      <c r="W45" s="149">
        <v>1</v>
      </c>
      <c r="X45" s="182" t="s">
        <v>937</v>
      </c>
      <c r="Y45" s="182" t="s">
        <v>52</v>
      </c>
      <c r="Z45" s="182" t="s">
        <v>1000</v>
      </c>
      <c r="AA45" s="304" t="str">
        <f t="shared" si="1"/>
        <v>El jefe de la OJ o la persona que este designe Revisa dos (2) veces al mes, mediante reunión, que los apoderados hayan creado y/o alimentado los expedientes judiciales o extrajudiciales que tenga a su cargo en ORFEO y SIPROJ WEB, con las piezas procesales que correspondan. En caso de encontrar incumplimiento en la creación o alimentación de expedientes, se requerirá al abogado  para que adelante las acciones a que haya lugar.  Como evidencia se tiene el acta de reunión en la que se da cuenta sobre la revisión adelantada.</v>
      </c>
      <c r="AB45" s="126" t="str">
        <f>IF(OR(AC45="Preventivo",AC45="Detectivo"),"Probabilidad",IF(AC45="Correctivo","Impacto",""))</f>
        <v>Probabilidad</v>
      </c>
      <c r="AC45" s="127" t="s">
        <v>398</v>
      </c>
      <c r="AD45" s="127" t="s">
        <v>394</v>
      </c>
      <c r="AE45" s="128" t="str">
        <f>IF(AND(AC45="Preventivo",AD45="Automático"),"50%",IF(AND(AC45="Preventivo",AD45="Manual"),"40%",IF(AND(AC45="Detectivo",AD45="Automático"),"40%",IF(AND(AC45="Detectivo",AD45="Manual"),"30%",IF(AND(AC45="Correctivo",AD45="Automático"),"35%",IF(AND(AC45="Correctivo",AD45="Manual"),"25%",""))))))</f>
        <v>40%</v>
      </c>
      <c r="AF45" s="127" t="s">
        <v>395</v>
      </c>
      <c r="AG45" s="127" t="s">
        <v>396</v>
      </c>
      <c r="AH45" s="127" t="s">
        <v>397</v>
      </c>
      <c r="AI45" s="129">
        <f>IFERROR(IF(AB45="Probabilidad",(Q45-(+Q45*AE45)),IF(AB45="Impacto",Q45,"")),"")</f>
        <v>0.36</v>
      </c>
      <c r="AJ45" s="130" t="str">
        <f>IFERROR(IF(AI45="","",IF(AI45&lt;=0.2,"Muy Baja",IF(AI45&lt;=0.4,"Baja",IF(AI45&lt;=0.6,"Media",IF(AI45&lt;=0.8,"Alta","Muy Alta"))))),"")</f>
        <v>Baja</v>
      </c>
      <c r="AK45" s="128">
        <f>+AI45</f>
        <v>0.36</v>
      </c>
      <c r="AL45" s="130" t="str">
        <f>IFERROR(IF(AM45="","",IF(AM45&lt;=0.2,"Leve",IF(AM45&lt;=0.4,"Menor",IF(AM45&lt;=0.6,"Moderado",IF(AM45&lt;=0.8,"Mayor","Catastrófico"))))),"")</f>
        <v>Moderado</v>
      </c>
      <c r="AM45" s="128">
        <f t="shared" ref="AM45" si="60">IFERROR(IF(AB45="Impacto",(U45-(+U45*AE45)),IF(AB45="Probabilidad",U45,"")),"")</f>
        <v>0.6</v>
      </c>
      <c r="AN45" s="131" t="str">
        <f>IFERROR(IF(OR(AND(AJ45="Muy Baja",AL45="Leve"),AND(AJ45="Muy Baja",AL45="Menor"),AND(AJ45="Baja",AL45="Leve")),"Bajo",IF(OR(AND(AJ45="Muy baja",AL45="Moderado"),AND(AJ45="Baja",AL45="Menor"),AND(AJ45="Baja",AL45="Moderado"),AND(AJ45="Media",AL45="Leve"),AND(AJ45="Media",AL45="Menor"),AND(AJ45="Media",AL45="Moderado"),AND(AJ45="Alta",AL45="Leve"),AND(AJ45="Alta",AL45="Menor")),"Moderado",IF(OR(AND(AJ45="Muy Baja",AL45="Mayor"),AND(AJ45="Baja",AL45="Mayor"),AND(AJ45="Media",AL45="Mayor"),AND(AJ45="Alta",AL45="Moderado"),AND(AJ45="Alta",AL45="Mayor"),AND(AJ45="Muy Alta",AL45="Leve"),AND(AJ45="Muy Alta",AL45="Menor"),AND(AJ45="Muy Alta",AL45="Moderado"),AND(AJ45="Muy Alta",AL45="Mayor")),"Alto",IF(OR(AND(AJ45="Muy Baja",AL45="Catastrófico"),AND(AJ45="Baja",AL45="Catastrófico"),AND(AJ45="Media",AL45="Catastrófico"),AND(AJ45="Alta",AL45="Catastrófico"),AND(AJ45="Muy Alta",AL45="Catastrófico")),"Extremo","")))),"")</f>
        <v>Moderado</v>
      </c>
      <c r="AO45" s="132"/>
      <c r="AP45" s="125" t="s">
        <v>1001</v>
      </c>
      <c r="AQ45" s="125" t="s">
        <v>1002</v>
      </c>
      <c r="AR45" s="125" t="s">
        <v>1003</v>
      </c>
      <c r="AS45" s="134">
        <v>46022</v>
      </c>
      <c r="AT45" s="400" t="s">
        <v>1004</v>
      </c>
      <c r="AU45" s="400" t="s">
        <v>1005</v>
      </c>
      <c r="AV45" s="400" t="s">
        <v>1006</v>
      </c>
    </row>
    <row r="46" spans="1:48" s="361" customFormat="1" ht="128.25" customHeight="1" x14ac:dyDescent="0.2">
      <c r="A46" s="398"/>
      <c r="B46" s="401"/>
      <c r="C46" s="401"/>
      <c r="D46" s="401"/>
      <c r="E46" s="421"/>
      <c r="F46" s="401"/>
      <c r="G46" s="401"/>
      <c r="H46" s="400"/>
      <c r="I46" s="403"/>
      <c r="J46" s="421"/>
      <c r="K46" s="421"/>
      <c r="L46" s="421"/>
      <c r="M46" s="403"/>
      <c r="N46" s="403"/>
      <c r="O46" s="416"/>
      <c r="P46" s="417"/>
      <c r="Q46" s="405"/>
      <c r="R46" s="406"/>
      <c r="S46" s="405">
        <f>IF(NOT(ISERROR(MATCH(R46,_xlfn.ANCHORARRAY(G57),0))),Q59&amp;"Por favor no seleccionar los criterios de impacto",R46)</f>
        <v>0</v>
      </c>
      <c r="T46" s="417"/>
      <c r="U46" s="405"/>
      <c r="V46" s="418"/>
      <c r="W46" s="149">
        <v>2</v>
      </c>
      <c r="X46" s="182" t="s">
        <v>937</v>
      </c>
      <c r="Y46" s="149" t="s">
        <v>37</v>
      </c>
      <c r="Z46" s="182" t="s">
        <v>1007</v>
      </c>
      <c r="AA46" s="304" t="str">
        <f t="shared" si="1"/>
        <v>El jefe de la OJ o la persona que este designe Verifica una (1) vez cada cuatrimestre que los apoderados de la entidad tengan actualizado el Sistema de Información de Procesos Judiciales - SIPROJ WEB, respecto de la inclusión de piezas procesales, a través de una verificaión directamente en la plataforma. En caso de encontrar incumplimiento en el estado de actualización del SIPROJ WEB, se requerirá al abogado para que adelante las actuaciones a que haya lugar. Como evidencia se tiene un reporte de control y seguimiento en el que se dará cuenta del estado de los procesos  y la actualización por parte de los apoderados</v>
      </c>
      <c r="AB46" s="126" t="str">
        <f>IF(OR(AC46="Preventivo",AC46="Detectivo"),"Probabilidad",IF(AC46="Correctivo","Impacto",""))</f>
        <v>Probabilidad</v>
      </c>
      <c r="AC46" s="127" t="s">
        <v>398</v>
      </c>
      <c r="AD46" s="127" t="s">
        <v>394</v>
      </c>
      <c r="AE46" s="128" t="str">
        <f t="shared" ref="AE46:AE50" si="61">IF(AND(AC46="Preventivo",AD46="Automático"),"50%",IF(AND(AC46="Preventivo",AD46="Manual"),"40%",IF(AND(AC46="Detectivo",AD46="Automático"),"40%",IF(AND(AC46="Detectivo",AD46="Manual"),"30%",IF(AND(AC46="Correctivo",AD46="Automático"),"35%",IF(AND(AC46="Correctivo",AD46="Manual"),"25%",""))))))</f>
        <v>40%</v>
      </c>
      <c r="AF46" s="127" t="s">
        <v>395</v>
      </c>
      <c r="AG46" s="127" t="s">
        <v>396</v>
      </c>
      <c r="AH46" s="127" t="s">
        <v>397</v>
      </c>
      <c r="AI46" s="129">
        <f>IFERROR(IF(AND(AB45="Probabilidad",AB46="Probabilidad"),(AK45-(+AK45*AE46)),IF(AB46="Probabilidad",(Q45-(+Q45*AE46)),IF(AB46="Impacto",AK45,""))),"")</f>
        <v>0.216</v>
      </c>
      <c r="AJ46" s="130" t="str">
        <f t="shared" si="3"/>
        <v>Baja</v>
      </c>
      <c r="AK46" s="128">
        <f t="shared" ref="AK46:AK50" si="62">+AI46</f>
        <v>0.216</v>
      </c>
      <c r="AL46" s="130" t="str">
        <f t="shared" si="5"/>
        <v>Moderado</v>
      </c>
      <c r="AM46" s="128">
        <f t="shared" ref="AM46" si="63">IFERROR(IF(AND(AB45="Impacto",AB46="Impacto"),(AM45-(+AM45*AE46)),IF(AB46="Impacto",($U$9-(+$U$9*AE46)),IF(AB46="Probabilidad",AM45,""))),"")</f>
        <v>0.6</v>
      </c>
      <c r="AN46" s="131" t="str">
        <f t="shared" ref="AN46:AN47" si="64">IFERROR(IF(OR(AND(AJ46="Muy Baja",AL46="Leve"),AND(AJ46="Muy Baja",AL46="Menor"),AND(AJ46="Baja",AL46="Leve")),"Bajo",IF(OR(AND(AJ46="Muy baja",AL46="Moderado"),AND(AJ46="Baja",AL46="Menor"),AND(AJ46="Baja",AL46="Moderado"),AND(AJ46="Media",AL46="Leve"),AND(AJ46="Media",AL46="Menor"),AND(AJ46="Media",AL46="Moderado"),AND(AJ46="Alta",AL46="Leve"),AND(AJ46="Alta",AL46="Menor")),"Moderado",IF(OR(AND(AJ46="Muy Baja",AL46="Mayor"),AND(AJ46="Baja",AL46="Mayor"),AND(AJ46="Media",AL46="Mayor"),AND(AJ46="Alta",AL46="Moderado"),AND(AJ46="Alta",AL46="Mayor"),AND(AJ46="Muy Alta",AL46="Leve"),AND(AJ46="Muy Alta",AL46="Menor"),AND(AJ46="Muy Alta",AL46="Moderado"),AND(AJ46="Muy Alta",AL46="Mayor")),"Alto",IF(OR(AND(AJ46="Muy Baja",AL46="Catastrófico"),AND(AJ46="Baja",AL46="Catastrófico"),AND(AJ46="Media",AL46="Catastrófico"),AND(AJ46="Alta",AL46="Catastrófico"),AND(AJ46="Muy Alta",AL46="Catastrófico")),"Extremo","")))),"")</f>
        <v>Moderado</v>
      </c>
      <c r="AO46" s="132" t="s">
        <v>43</v>
      </c>
      <c r="AP46" s="125" t="s">
        <v>1008</v>
      </c>
      <c r="AQ46" s="125" t="s">
        <v>1002</v>
      </c>
      <c r="AR46" s="125" t="s">
        <v>1009</v>
      </c>
      <c r="AS46" s="134">
        <v>45746</v>
      </c>
      <c r="AT46" s="400"/>
      <c r="AU46" s="400"/>
      <c r="AV46" s="400"/>
    </row>
    <row r="47" spans="1:48" hidden="1" x14ac:dyDescent="0.2">
      <c r="A47" s="398"/>
      <c r="B47" s="401"/>
      <c r="C47" s="401"/>
      <c r="D47" s="401"/>
      <c r="E47" s="421"/>
      <c r="F47" s="401"/>
      <c r="G47" s="401"/>
      <c r="H47" s="400"/>
      <c r="I47" s="403"/>
      <c r="J47" s="421"/>
      <c r="K47" s="421"/>
      <c r="L47" s="421"/>
      <c r="M47" s="403"/>
      <c r="N47" s="403"/>
      <c r="O47" s="416"/>
      <c r="P47" s="417"/>
      <c r="Q47" s="405"/>
      <c r="R47" s="406"/>
      <c r="S47" s="405">
        <f>IF(NOT(ISERROR(MATCH(R47,_xlfn.ANCHORARRAY(G58),0))),Q60&amp;"Por favor no seleccionar los criterios de impacto",R47)</f>
        <v>0</v>
      </c>
      <c r="T47" s="417"/>
      <c r="U47" s="405"/>
      <c r="V47" s="418"/>
      <c r="W47" s="149">
        <v>3</v>
      </c>
      <c r="X47" s="149"/>
      <c r="Y47" s="149"/>
      <c r="Z47" s="149"/>
      <c r="AA47" s="304" t="str">
        <f t="shared" si="1"/>
        <v xml:space="preserve">  </v>
      </c>
      <c r="AB47" s="126" t="str">
        <f>IF(OR(AC47="Preventivo",AC47="Detectivo"),"Probabilidad",IF(AC47="Correctivo","Impacto",""))</f>
        <v/>
      </c>
      <c r="AC47" s="127"/>
      <c r="AD47" s="127"/>
      <c r="AE47" s="128" t="str">
        <f t="shared" si="61"/>
        <v/>
      </c>
      <c r="AF47" s="127"/>
      <c r="AG47" s="127"/>
      <c r="AH47" s="127"/>
      <c r="AI47" s="129" t="str">
        <f>IFERROR(IF(AND(AB46="Probabilidad",AB47="Probabilidad"),(AK46-(+AK46*AE47)),IF(AND(AB46="Impacto",AB47="Probabilidad"),(AK45-(+AK45*AE47)),IF(AB47="Impacto",AK46,""))),"")</f>
        <v/>
      </c>
      <c r="AJ47" s="130" t="str">
        <f t="shared" si="3"/>
        <v/>
      </c>
      <c r="AK47" s="128" t="str">
        <f t="shared" si="62"/>
        <v/>
      </c>
      <c r="AL47" s="130" t="str">
        <f t="shared" si="5"/>
        <v/>
      </c>
      <c r="AM47" s="128" t="str">
        <f t="shared" ref="AM47" si="65">IFERROR(IF(AND(AB46="Impacto",AB47="Impacto"),(AM46-(+AM46*AE47)),IF(AND(AB46="Probabilidad",AB47="Impacto"),(AM45-(+AM45*AE47)),IF(AB47="Probabilidad",AM46,""))),"")</f>
        <v/>
      </c>
      <c r="AN47" s="131" t="str">
        <f t="shared" si="64"/>
        <v/>
      </c>
      <c r="AO47" s="132"/>
      <c r="AP47" s="304"/>
      <c r="AQ47" s="353"/>
      <c r="AR47" s="353"/>
      <c r="AS47" s="347"/>
      <c r="AT47" s="400"/>
      <c r="AU47" s="400"/>
      <c r="AV47" s="400"/>
    </row>
    <row r="48" spans="1:48" hidden="1" x14ac:dyDescent="0.2">
      <c r="A48" s="398"/>
      <c r="B48" s="401"/>
      <c r="C48" s="401"/>
      <c r="D48" s="401"/>
      <c r="E48" s="421"/>
      <c r="F48" s="401"/>
      <c r="G48" s="401"/>
      <c r="H48" s="400"/>
      <c r="I48" s="403"/>
      <c r="J48" s="421"/>
      <c r="K48" s="421"/>
      <c r="L48" s="421"/>
      <c r="M48" s="403"/>
      <c r="N48" s="403"/>
      <c r="O48" s="416"/>
      <c r="P48" s="417"/>
      <c r="Q48" s="405"/>
      <c r="R48" s="406"/>
      <c r="S48" s="405">
        <f>IF(NOT(ISERROR(MATCH(R48,_xlfn.ANCHORARRAY(G59),0))),Q61&amp;"Por favor no seleccionar los criterios de impacto",R48)</f>
        <v>0</v>
      </c>
      <c r="T48" s="417"/>
      <c r="U48" s="405"/>
      <c r="V48" s="418"/>
      <c r="W48" s="149">
        <v>4</v>
      </c>
      <c r="X48" s="149"/>
      <c r="Y48" s="149"/>
      <c r="Z48" s="149"/>
      <c r="AA48" s="304" t="str">
        <f t="shared" si="1"/>
        <v xml:space="preserve">  </v>
      </c>
      <c r="AB48" s="126" t="str">
        <f t="shared" ref="AB48:AB50" si="66">IF(OR(AC48="Preventivo",AC48="Detectivo"),"Probabilidad",IF(AC48="Correctivo","Impacto",""))</f>
        <v/>
      </c>
      <c r="AC48" s="127"/>
      <c r="AD48" s="127"/>
      <c r="AE48" s="128" t="str">
        <f t="shared" si="61"/>
        <v/>
      </c>
      <c r="AF48" s="127"/>
      <c r="AG48" s="127"/>
      <c r="AH48" s="127"/>
      <c r="AI48" s="129" t="str">
        <f t="shared" ref="AI48:AI50" si="67">IFERROR(IF(AND(AB47="Probabilidad",AB48="Probabilidad"),(AK47-(+AK47*AE48)),IF(AND(AB47="Impacto",AB48="Probabilidad"),(AK46-(+AK46*AE48)),IF(AB48="Impacto",AK47,""))),"")</f>
        <v/>
      </c>
      <c r="AJ48" s="130" t="str">
        <f t="shared" si="3"/>
        <v/>
      </c>
      <c r="AK48" s="128" t="str">
        <f t="shared" si="62"/>
        <v/>
      </c>
      <c r="AL48" s="130" t="str">
        <f t="shared" si="5"/>
        <v/>
      </c>
      <c r="AM48" s="128" t="str">
        <f t="shared" si="15"/>
        <v/>
      </c>
      <c r="AN48" s="131" t="str">
        <f>IFERROR(IF(OR(AND(AJ48="Muy Baja",AL48="Leve"),AND(AJ48="Muy Baja",AL48="Menor"),AND(AJ48="Baja",AL48="Leve")),"Bajo",IF(OR(AND(AJ48="Muy baja",AL48="Moderado"),AND(AJ48="Baja",AL48="Menor"),AND(AJ48="Baja",AL48="Moderado"),AND(AJ48="Media",AL48="Leve"),AND(AJ48="Media",AL48="Menor"),AND(AJ48="Media",AL48="Moderado"),AND(AJ48="Alta",AL48="Leve"),AND(AJ48="Alta",AL48="Menor")),"Moderado",IF(OR(AND(AJ48="Muy Baja",AL48="Mayor"),AND(AJ48="Baja",AL48="Mayor"),AND(AJ48="Media",AL48="Mayor"),AND(AJ48="Alta",AL48="Moderado"),AND(AJ48="Alta",AL48="Mayor"),AND(AJ48="Muy Alta",AL48="Leve"),AND(AJ48="Muy Alta",AL48="Menor"),AND(AJ48="Muy Alta",AL48="Moderado"),AND(AJ48="Muy Alta",AL48="Mayor")),"Alto",IF(OR(AND(AJ48="Muy Baja",AL48="Catastrófico"),AND(AJ48="Baja",AL48="Catastrófico"),AND(AJ48="Media",AL48="Catastrófico"),AND(AJ48="Alta",AL48="Catastrófico"),AND(AJ48="Muy Alta",AL48="Catastrófico")),"Extremo","")))),"")</f>
        <v/>
      </c>
      <c r="AO48" s="132"/>
      <c r="AP48" s="304"/>
      <c r="AQ48" s="353"/>
      <c r="AR48" s="353"/>
      <c r="AS48" s="347"/>
      <c r="AT48" s="400"/>
      <c r="AU48" s="400"/>
      <c r="AV48" s="400"/>
    </row>
    <row r="49" spans="1:48" hidden="1" x14ac:dyDescent="0.2">
      <c r="A49" s="398"/>
      <c r="B49" s="401"/>
      <c r="C49" s="401"/>
      <c r="D49" s="401"/>
      <c r="E49" s="421"/>
      <c r="F49" s="401"/>
      <c r="G49" s="401"/>
      <c r="H49" s="400"/>
      <c r="I49" s="403"/>
      <c r="J49" s="421"/>
      <c r="K49" s="421"/>
      <c r="L49" s="421"/>
      <c r="M49" s="403"/>
      <c r="N49" s="403"/>
      <c r="O49" s="416"/>
      <c r="P49" s="417"/>
      <c r="Q49" s="405"/>
      <c r="R49" s="406"/>
      <c r="S49" s="405">
        <f>IF(NOT(ISERROR(MATCH(R49,_xlfn.ANCHORARRAY(G60),0))),Q62&amp;"Por favor no seleccionar los criterios de impacto",R49)</f>
        <v>0</v>
      </c>
      <c r="T49" s="417"/>
      <c r="U49" s="405"/>
      <c r="V49" s="418"/>
      <c r="W49" s="149">
        <v>5</v>
      </c>
      <c r="X49" s="149"/>
      <c r="Y49" s="149"/>
      <c r="Z49" s="149"/>
      <c r="AA49" s="304" t="str">
        <f t="shared" si="1"/>
        <v xml:space="preserve">  </v>
      </c>
      <c r="AB49" s="126" t="str">
        <f t="shared" si="66"/>
        <v/>
      </c>
      <c r="AC49" s="127"/>
      <c r="AD49" s="127"/>
      <c r="AE49" s="128" t="str">
        <f t="shared" si="61"/>
        <v/>
      </c>
      <c r="AF49" s="127"/>
      <c r="AG49" s="127"/>
      <c r="AH49" s="127"/>
      <c r="AI49" s="129" t="str">
        <f t="shared" si="67"/>
        <v/>
      </c>
      <c r="AJ49" s="130" t="str">
        <f t="shared" si="3"/>
        <v/>
      </c>
      <c r="AK49" s="128" t="str">
        <f t="shared" si="62"/>
        <v/>
      </c>
      <c r="AL49" s="130" t="str">
        <f t="shared" si="5"/>
        <v/>
      </c>
      <c r="AM49" s="128" t="str">
        <f t="shared" si="15"/>
        <v/>
      </c>
      <c r="AN49" s="131" t="str">
        <f t="shared" ref="AN49:AN50" si="68">IFERROR(IF(OR(AND(AJ49="Muy Baja",AL49="Leve"),AND(AJ49="Muy Baja",AL49="Menor"),AND(AJ49="Baja",AL49="Leve")),"Bajo",IF(OR(AND(AJ49="Muy baja",AL49="Moderado"),AND(AJ49="Baja",AL49="Menor"),AND(AJ49="Baja",AL49="Moderado"),AND(AJ49="Media",AL49="Leve"),AND(AJ49="Media",AL49="Menor"),AND(AJ49="Media",AL49="Moderado"),AND(AJ49="Alta",AL49="Leve"),AND(AJ49="Alta",AL49="Menor")),"Moderado",IF(OR(AND(AJ49="Muy Baja",AL49="Mayor"),AND(AJ49="Baja",AL49="Mayor"),AND(AJ49="Media",AL49="Mayor"),AND(AJ49="Alta",AL49="Moderado"),AND(AJ49="Alta",AL49="Mayor"),AND(AJ49="Muy Alta",AL49="Leve"),AND(AJ49="Muy Alta",AL49="Menor"),AND(AJ49="Muy Alta",AL49="Moderado"),AND(AJ49="Muy Alta",AL49="Mayor")),"Alto",IF(OR(AND(AJ49="Muy Baja",AL49="Catastrófico"),AND(AJ49="Baja",AL49="Catastrófico"),AND(AJ49="Media",AL49="Catastrófico"),AND(AJ49="Alta",AL49="Catastrófico"),AND(AJ49="Muy Alta",AL49="Catastrófico")),"Extremo","")))),"")</f>
        <v/>
      </c>
      <c r="AO49" s="132"/>
      <c r="AP49" s="304"/>
      <c r="AQ49" s="353"/>
      <c r="AR49" s="353"/>
      <c r="AS49" s="347"/>
      <c r="AT49" s="400"/>
      <c r="AU49" s="400"/>
      <c r="AV49" s="400"/>
    </row>
    <row r="50" spans="1:48" hidden="1" x14ac:dyDescent="0.2">
      <c r="A50" s="398"/>
      <c r="B50" s="401"/>
      <c r="C50" s="401"/>
      <c r="D50" s="401"/>
      <c r="E50" s="422"/>
      <c r="F50" s="401"/>
      <c r="G50" s="401"/>
      <c r="H50" s="400"/>
      <c r="I50" s="404"/>
      <c r="J50" s="422"/>
      <c r="K50" s="422"/>
      <c r="L50" s="422"/>
      <c r="M50" s="404"/>
      <c r="N50" s="404"/>
      <c r="O50" s="416"/>
      <c r="P50" s="417"/>
      <c r="Q50" s="405"/>
      <c r="R50" s="406"/>
      <c r="S50" s="405">
        <f>IF(NOT(ISERROR(MATCH(R50,_xlfn.ANCHORARRAY(G61),0))),Q63&amp;"Por favor no seleccionar los criterios de impacto",R50)</f>
        <v>0</v>
      </c>
      <c r="T50" s="417"/>
      <c r="U50" s="405"/>
      <c r="V50" s="418"/>
      <c r="W50" s="149">
        <v>6</v>
      </c>
      <c r="X50" s="149"/>
      <c r="Y50" s="149"/>
      <c r="Z50" s="149"/>
      <c r="AA50" s="304" t="str">
        <f t="shared" si="1"/>
        <v xml:space="preserve">  </v>
      </c>
      <c r="AB50" s="126" t="str">
        <f t="shared" si="66"/>
        <v/>
      </c>
      <c r="AC50" s="127"/>
      <c r="AD50" s="127"/>
      <c r="AE50" s="128" t="str">
        <f t="shared" si="61"/>
        <v/>
      </c>
      <c r="AF50" s="127"/>
      <c r="AG50" s="127"/>
      <c r="AH50" s="127"/>
      <c r="AI50" s="129" t="str">
        <f t="shared" si="67"/>
        <v/>
      </c>
      <c r="AJ50" s="130" t="str">
        <f t="shared" si="3"/>
        <v/>
      </c>
      <c r="AK50" s="128" t="str">
        <f t="shared" si="62"/>
        <v/>
      </c>
      <c r="AL50" s="130" t="str">
        <f t="shared" si="5"/>
        <v/>
      </c>
      <c r="AM50" s="128" t="str">
        <f t="shared" si="15"/>
        <v/>
      </c>
      <c r="AN50" s="131" t="str">
        <f t="shared" si="68"/>
        <v/>
      </c>
      <c r="AO50" s="132"/>
      <c r="AP50" s="304"/>
      <c r="AQ50" s="353"/>
      <c r="AR50" s="353"/>
      <c r="AS50" s="347"/>
      <c r="AT50" s="400"/>
      <c r="AU50" s="400"/>
      <c r="AV50" s="400"/>
    </row>
    <row r="51" spans="1:48" ht="129.75" customHeight="1" x14ac:dyDescent="0.2">
      <c r="A51" s="398">
        <v>8</v>
      </c>
      <c r="B51" s="401" t="s">
        <v>557</v>
      </c>
      <c r="C51" s="401" t="s">
        <v>32</v>
      </c>
      <c r="D51" s="401" t="s">
        <v>1010</v>
      </c>
      <c r="E51" s="420" t="s">
        <v>1011</v>
      </c>
      <c r="F51" s="401" t="s">
        <v>1012</v>
      </c>
      <c r="G51" s="401" t="str">
        <f t="shared" ref="G51" si="69">+CONCATENATE(C51," ",D51)</f>
        <v>Posibilidad de recibir o solicitar cualquier dádiva o beneficio para liquidar y aprobar una solicitud de pago, sin el cumplimiento total de los requisitos en beneficio propio o de un tercero</v>
      </c>
      <c r="H51" s="400" t="s">
        <v>85</v>
      </c>
      <c r="I51" s="402" t="s">
        <v>62</v>
      </c>
      <c r="J51" s="402" t="s">
        <v>1013</v>
      </c>
      <c r="K51" s="402" t="s">
        <v>1014</v>
      </c>
      <c r="L51" s="402" t="s">
        <v>1015</v>
      </c>
      <c r="M51" s="402" t="s">
        <v>77</v>
      </c>
      <c r="N51" s="402" t="s">
        <v>46</v>
      </c>
      <c r="O51" s="416">
        <v>5000</v>
      </c>
      <c r="P51" s="417" t="str">
        <f>IF(O51&lt;=0,"",IF(O51&lt;=2,"Muy Baja",IF(O51&lt;=24,"Baja",IF(O51&lt;=500,"Media",IF(O51&lt;=5000,"Alta","Muy Alta")))))</f>
        <v>Alta</v>
      </c>
      <c r="Q51" s="405">
        <f>IF(P51="","",IF(P51="Muy Baja",0.2,IF(P51="Baja",0.4,IF(P51="Media",0.6,IF(P51="Alta",0.8,IF(P51="Muy Alta",1,))))))</f>
        <v>0.8</v>
      </c>
      <c r="R51" s="406" t="s">
        <v>427</v>
      </c>
      <c r="S51" s="405" t="str">
        <f>IF(NOT(ISERROR(MATCH(R51,'[3]Tabla Impacto'!$B$245:$B$247,0))),'[3]Tabla Impacto'!$F$224&amp;"Por favor no seleccionar los criterios de impacto(Afectación Económica o presupuestal y Pérdida Reputacional)",R51)</f>
        <v xml:space="preserve">     El riesgo afecta la imagen de de la entidad con efecto publicitario sostenido a nivel de sector administrativo, nivel departamental o municipal</v>
      </c>
      <c r="T51" s="417" t="str">
        <f>IF(OR(S51='[3]Tabla Impacto'!$C$12,S51='[3]Tabla Impacto'!$D$12),"Leve",IF(OR(S51='[3]Tabla Impacto'!$C$13,S51='[3]Tabla Impacto'!$D$13),"Menor",IF(OR(S51='[3]Tabla Impacto'!$C$14,S51='[3]Tabla Impacto'!$D$14),"Moderado",IF(OR(S51='[3]Tabla Impacto'!$C$15,S51='[3]Tabla Impacto'!$D$15),"Mayor",IF(OR(S51='[3]Tabla Impacto'!$C$16,S51='[3]Tabla Impacto'!$D$16),"Catastrófico","")))))</f>
        <v>Mayor</v>
      </c>
      <c r="U51" s="405">
        <f>IF(T51="","",IF(T51="Leve",0.2,IF(T51="Menor",0.4,IF(T51="Moderado",0.6,IF(T51="Mayor",0.8,IF(T51="Catastrófico",1,))))))</f>
        <v>0.8</v>
      </c>
      <c r="V51" s="418" t="str">
        <f>IF(OR(AND(P51="Muy Baja",T51="Leve"),AND(P51="Muy Baja",T51="Menor"),AND(P51="Baja",T51="Leve")),"Bajo",IF(OR(AND(P51="Muy baja",T51="Moderado"),AND(P51="Baja",T51="Menor"),AND(P51="Baja",T51="Moderado"),AND(P51="Media",T51="Leve"),AND(P51="Media",T51="Menor"),AND(P51="Media",T51="Moderado"),AND(P51="Alta",T51="Leve"),AND(P51="Alta",T51="Menor")),"Moderado",IF(OR(AND(P51="Muy Baja",T51="Mayor"),AND(P51="Baja",T51="Mayor"),AND(P51="Media",T51="Mayor"),AND(P51="Alta",T51="Moderado"),AND(P51="Alta",T51="Mayor"),AND(P51="Muy Alta",T51="Leve"),AND(P51="Muy Alta",T51="Menor"),AND(P51="Muy Alta",T51="Moderado"),AND(P51="Muy Alta",T51="Mayor")),"Alto",IF(OR(AND(P51="Muy Baja",T51="Catastrófico"),AND(P51="Baja",T51="Catastrófico"),AND(P51="Media",T51="Catastrófico"),AND(P51="Alta",T51="Catastrófico"),AND(P51="Muy Alta",T51="Catastrófico")),"Extremo",""))))</f>
        <v>Alto</v>
      </c>
      <c r="W51" s="149">
        <v>1</v>
      </c>
      <c r="X51" s="345" t="s">
        <v>1016</v>
      </c>
      <c r="Y51" s="182" t="s">
        <v>37</v>
      </c>
      <c r="Z51" s="342" t="s">
        <v>1017</v>
      </c>
      <c r="AA51" s="304" t="str">
        <f t="shared" si="1"/>
        <v xml:space="preserve">La Auxiliar Administrativa, Técnico Operativo o Colaborador Designado Verifica que para cada solicitud de pago recibida a través del sistema de correspondencia Orfeo, se presente la documentación requerida para el proceso de pago definida en la Circular Interna Calendario de pagos expedida en la vigencia, para efectuar la liquidación y generación de la Orden de pago, para su posterior cargue en Orfeo y remisión a Contabilidad para su causación. En caso que la solicitud no cumpla con los requisitos, se realiza la devolución a persona que radicó la solicitud con la respectiva observación en el aplicativo Orfeo, a fin de realizar las modificaciones o ajustes a que haya lugar, y se atenderá la solicitud corregida o ajustada en su nuevo orden de llegada. La evidencia de la recepción y liquidación o su traslado para liquidación, en caso de persona jurídica o de la devolución de la solicitud de pago, por requisitos faltantes, se encuentra en el sistema Orfeo en el historial de radicación de la solicitud de pago. </v>
      </c>
      <c r="AB51" s="126" t="str">
        <f>IF(OR(AC51="Preventivo",AC51="Detectivo"),"Probabilidad",IF(AC51="Correctivo","Impacto",""))</f>
        <v>Probabilidad</v>
      </c>
      <c r="AC51" s="127" t="s">
        <v>398</v>
      </c>
      <c r="AD51" s="127" t="s">
        <v>394</v>
      </c>
      <c r="AE51" s="128" t="str">
        <f>IF(AND(AC51="Preventivo",AD51="Automático"),"50%",IF(AND(AC51="Preventivo",AD51="Manual"),"40%",IF(AND(AC51="Detectivo",AD51="Automático"),"40%",IF(AND(AC51="Detectivo",AD51="Manual"),"30%",IF(AND(AC51="Correctivo",AD51="Automático"),"35%",IF(AND(AC51="Correctivo",AD51="Manual"),"25%",""))))))</f>
        <v>40%</v>
      </c>
      <c r="AF51" s="127" t="s">
        <v>395</v>
      </c>
      <c r="AG51" s="127" t="s">
        <v>396</v>
      </c>
      <c r="AH51" s="127" t="s">
        <v>397</v>
      </c>
      <c r="AI51" s="129">
        <f>IFERROR(IF(AB51="Probabilidad",(Q51-(+Q51*AE51)),IF(AB51="Impacto",Q51,"")),"")</f>
        <v>0.48</v>
      </c>
      <c r="AJ51" s="130" t="str">
        <f>IFERROR(IF(AI51="","",IF(AI51&lt;=0.2,"Muy Baja",IF(AI51&lt;=0.4,"Baja",IF(AI51&lt;=0.6,"Media",IF(AI51&lt;=0.8,"Alta","Muy Alta"))))),"")</f>
        <v>Media</v>
      </c>
      <c r="AK51" s="128">
        <f>+AI51</f>
        <v>0.48</v>
      </c>
      <c r="AL51" s="130" t="str">
        <f>IFERROR(IF(AM51="","",IF(AM51&lt;=0.2,"Leve",IF(AM51&lt;=0.4,"Menor",IF(AM51&lt;=0.6,"Moderado",IF(AM51&lt;=0.8,"Mayor","Catastrófico"))))),"")</f>
        <v>Mayor</v>
      </c>
      <c r="AM51" s="128">
        <f t="shared" ref="AM51" si="70">IFERROR(IF(AB51="Impacto",(U51-(+U51*AE51)),IF(AB51="Probabilidad",U51,"")),"")</f>
        <v>0.8</v>
      </c>
      <c r="AN51" s="131" t="str">
        <f>IFERROR(IF(OR(AND(AJ51="Muy Baja",AL51="Leve"),AND(AJ51="Muy Baja",AL51="Menor"),AND(AJ51="Baja",AL51="Leve")),"Bajo",IF(OR(AND(AJ51="Muy baja",AL51="Moderado"),AND(AJ51="Baja",AL51="Menor"),AND(AJ51="Baja",AL51="Moderado"),AND(AJ51="Media",AL51="Leve"),AND(AJ51="Media",AL51="Menor"),AND(AJ51="Media",AL51="Moderado"),AND(AJ51="Alta",AL51="Leve"),AND(AJ51="Alta",AL51="Menor")),"Moderado",IF(OR(AND(AJ51="Muy Baja",AL51="Mayor"),AND(AJ51="Baja",AL51="Mayor"),AND(AJ51="Media",AL51="Mayor"),AND(AJ51="Alta",AL51="Moderado"),AND(AJ51="Alta",AL51="Mayor"),AND(AJ51="Muy Alta",AL51="Leve"),AND(AJ51="Muy Alta",AL51="Menor"),AND(AJ51="Muy Alta",AL51="Moderado"),AND(AJ51="Muy Alta",AL51="Mayor")),"Alto",IF(OR(AND(AJ51="Muy Baja",AL51="Catastrófico"),AND(AJ51="Baja",AL51="Catastrófico"),AND(AJ51="Media",AL51="Catastrófico"),AND(AJ51="Alta",AL51="Catastrófico"),AND(AJ51="Muy Alta",AL51="Catastrófico")),"Extremo","")))),"")</f>
        <v>Alto</v>
      </c>
      <c r="AO51" s="132"/>
      <c r="AP51" s="362" t="s">
        <v>1018</v>
      </c>
      <c r="AQ51" s="363" t="s">
        <v>786</v>
      </c>
      <c r="AR51" s="364" t="s">
        <v>1019</v>
      </c>
      <c r="AS51" s="365" t="s">
        <v>710</v>
      </c>
      <c r="AT51" s="671" t="s">
        <v>1020</v>
      </c>
      <c r="AU51" s="402" t="s">
        <v>1021</v>
      </c>
      <c r="AV51" s="402" t="s">
        <v>791</v>
      </c>
    </row>
    <row r="52" spans="1:48" ht="129.75" customHeight="1" x14ac:dyDescent="0.2">
      <c r="A52" s="398"/>
      <c r="B52" s="401"/>
      <c r="C52" s="401"/>
      <c r="D52" s="401"/>
      <c r="E52" s="421"/>
      <c r="F52" s="401"/>
      <c r="G52" s="401"/>
      <c r="H52" s="400"/>
      <c r="I52" s="403"/>
      <c r="J52" s="403"/>
      <c r="K52" s="403"/>
      <c r="L52" s="403"/>
      <c r="M52" s="403"/>
      <c r="N52" s="403"/>
      <c r="O52" s="416"/>
      <c r="P52" s="417"/>
      <c r="Q52" s="405"/>
      <c r="R52" s="406"/>
      <c r="S52" s="405">
        <f>IF(NOT(ISERROR(MATCH(R52,_xlfn.ANCHORARRAY(G63),0))),Q65&amp;"Por favor no seleccionar los criterios de impacto",R52)</f>
        <v>0</v>
      </c>
      <c r="T52" s="417"/>
      <c r="U52" s="405"/>
      <c r="V52" s="418"/>
      <c r="W52" s="149">
        <v>2</v>
      </c>
      <c r="X52" s="345" t="s">
        <v>1022</v>
      </c>
      <c r="Y52" s="149" t="s">
        <v>52</v>
      </c>
      <c r="Z52" s="342" t="s">
        <v>1023</v>
      </c>
      <c r="AA52" s="304" t="str">
        <f t="shared" si="1"/>
        <v xml:space="preserve">El Técnico Operativo o Colaborador Designado Revisa cada vez que Contabilidad recibe una orden de pago para su causación, la completitud de los requisitos de la solicitud de pago, y en caso, de corresponder con los requisitos y descuentos se efectúa su registro contable en el sistema financiero. En caso de encontrar inconsistencias en la orden de pago generada, se deshabilita en el sistema y se devuelve al liquidador para efectuar los ajustes requeridos para continuar con su contabilización. La evidencia de la causación se observa en el registro de la contabilización en el sistema de información financiero y en el listado Consolidado Ordenes de pago en las columnas ID LIMAY CAUSACION y USUARIO CONTABILIZO. </v>
      </c>
      <c r="AB52" s="126" t="str">
        <f>IF(OR(AC52="Preventivo",AC52="Detectivo"),"Probabilidad",IF(AC52="Correctivo","Impacto",""))</f>
        <v>Probabilidad</v>
      </c>
      <c r="AC52" s="127" t="s">
        <v>398</v>
      </c>
      <c r="AD52" s="127" t="s">
        <v>394</v>
      </c>
      <c r="AE52" s="128" t="str">
        <f t="shared" ref="AE52:AE56" si="71">IF(AND(AC52="Preventivo",AD52="Automático"),"50%",IF(AND(AC52="Preventivo",AD52="Manual"),"40%",IF(AND(AC52="Detectivo",AD52="Automático"),"40%",IF(AND(AC52="Detectivo",AD52="Manual"),"30%",IF(AND(AC52="Correctivo",AD52="Automático"),"35%",IF(AND(AC52="Correctivo",AD52="Manual"),"25%",""))))))</f>
        <v>40%</v>
      </c>
      <c r="AF52" s="127" t="s">
        <v>395</v>
      </c>
      <c r="AG52" s="127" t="s">
        <v>396</v>
      </c>
      <c r="AH52" s="127" t="s">
        <v>397</v>
      </c>
      <c r="AI52" s="129">
        <f>IFERROR(IF(AND(AB51="Probabilidad",AB52="Probabilidad"),(AK51-(+AK51*AE52)),IF(AB52="Probabilidad",(Q51-(+Q51*AE52)),IF(AB52="Impacto",AK51,""))),"")</f>
        <v>0.28799999999999998</v>
      </c>
      <c r="AJ52" s="130" t="str">
        <f t="shared" si="3"/>
        <v>Baja</v>
      </c>
      <c r="AK52" s="128">
        <f t="shared" ref="AK52:AK56" si="72">+AI52</f>
        <v>0.28799999999999998</v>
      </c>
      <c r="AL52" s="130" t="str">
        <f t="shared" si="5"/>
        <v>Mayor</v>
      </c>
      <c r="AM52" s="128">
        <f t="shared" ref="AM52" si="73">IFERROR(IF(AND(AB51="Impacto",AB52="Impacto"),(AM51-(+AM51*AE52)),IF(AB52="Impacto",($U$9-(+$U$9*AE52)),IF(AB52="Probabilidad",AM51,""))),"")</f>
        <v>0.8</v>
      </c>
      <c r="AN52" s="131" t="str">
        <f t="shared" ref="AN52:AN53" si="74">IFERROR(IF(OR(AND(AJ52="Muy Baja",AL52="Leve"),AND(AJ52="Muy Baja",AL52="Menor"),AND(AJ52="Baja",AL52="Leve")),"Bajo",IF(OR(AND(AJ52="Muy baja",AL52="Moderado"),AND(AJ52="Baja",AL52="Menor"),AND(AJ52="Baja",AL52="Moderado"),AND(AJ52="Media",AL52="Leve"),AND(AJ52="Media",AL52="Menor"),AND(AJ52="Media",AL52="Moderado"),AND(AJ52="Alta",AL52="Leve"),AND(AJ52="Alta",AL52="Menor")),"Moderado",IF(OR(AND(AJ52="Muy Baja",AL52="Mayor"),AND(AJ52="Baja",AL52="Mayor"),AND(AJ52="Media",AL52="Mayor"),AND(AJ52="Alta",AL52="Moderado"),AND(AJ52="Alta",AL52="Mayor"),AND(AJ52="Muy Alta",AL52="Leve"),AND(AJ52="Muy Alta",AL52="Menor"),AND(AJ52="Muy Alta",AL52="Moderado"),AND(AJ52="Muy Alta",AL52="Mayor")),"Alto",IF(OR(AND(AJ52="Muy Baja",AL52="Catastrófico"),AND(AJ52="Baja",AL52="Catastrófico"),AND(AJ52="Media",AL52="Catastrófico"),AND(AJ52="Alta",AL52="Catastrófico"),AND(AJ52="Muy Alta",AL52="Catastrófico")),"Extremo","")))),"")</f>
        <v>Alto</v>
      </c>
      <c r="AO52" s="132" t="s">
        <v>43</v>
      </c>
      <c r="AP52" s="362" t="s">
        <v>1024</v>
      </c>
      <c r="AQ52" s="156" t="s">
        <v>786</v>
      </c>
      <c r="AR52" s="158" t="s">
        <v>1025</v>
      </c>
      <c r="AS52" s="366" t="s">
        <v>1026</v>
      </c>
      <c r="AT52" s="672"/>
      <c r="AU52" s="403"/>
      <c r="AV52" s="403"/>
    </row>
    <row r="53" spans="1:48" hidden="1" x14ac:dyDescent="0.2">
      <c r="A53" s="398"/>
      <c r="B53" s="401"/>
      <c r="C53" s="401"/>
      <c r="D53" s="401"/>
      <c r="E53" s="421"/>
      <c r="F53" s="401"/>
      <c r="G53" s="401"/>
      <c r="H53" s="400"/>
      <c r="I53" s="403"/>
      <c r="J53" s="403"/>
      <c r="K53" s="403"/>
      <c r="L53" s="403"/>
      <c r="M53" s="403"/>
      <c r="N53" s="403"/>
      <c r="O53" s="416"/>
      <c r="P53" s="417"/>
      <c r="Q53" s="405"/>
      <c r="R53" s="406"/>
      <c r="S53" s="405">
        <f>IF(NOT(ISERROR(MATCH(R53,_xlfn.ANCHORARRAY(G64),0))),Q66&amp;"Por favor no seleccionar los criterios de impacto",R53)</f>
        <v>0</v>
      </c>
      <c r="T53" s="417"/>
      <c r="U53" s="405"/>
      <c r="V53" s="418"/>
      <c r="W53" s="149">
        <v>3</v>
      </c>
      <c r="X53" s="149"/>
      <c r="Y53" s="149"/>
      <c r="Z53" s="149"/>
      <c r="AA53" s="304" t="str">
        <f t="shared" si="1"/>
        <v xml:space="preserve">  </v>
      </c>
      <c r="AB53" s="126" t="str">
        <f>IF(OR(AC53="Preventivo",AC53="Detectivo"),"Probabilidad",IF(AC53="Correctivo","Impacto",""))</f>
        <v/>
      </c>
      <c r="AC53" s="127"/>
      <c r="AD53" s="127"/>
      <c r="AE53" s="128" t="str">
        <f t="shared" si="71"/>
        <v/>
      </c>
      <c r="AF53" s="127"/>
      <c r="AG53" s="127"/>
      <c r="AH53" s="127"/>
      <c r="AI53" s="129" t="str">
        <f>IFERROR(IF(AND(AB52="Probabilidad",AB53="Probabilidad"),(AK52-(+AK52*AE53)),IF(AND(AB52="Impacto",AB53="Probabilidad"),(AK51-(+AK51*AE53)),IF(AB53="Impacto",AK52,""))),"")</f>
        <v/>
      </c>
      <c r="AJ53" s="130" t="str">
        <f t="shared" si="3"/>
        <v/>
      </c>
      <c r="AK53" s="128" t="str">
        <f t="shared" si="72"/>
        <v/>
      </c>
      <c r="AL53" s="130" t="str">
        <f t="shared" si="5"/>
        <v/>
      </c>
      <c r="AM53" s="128" t="str">
        <f t="shared" ref="AM53" si="75">IFERROR(IF(AND(AB52="Impacto",AB53="Impacto"),(AM52-(+AM52*AE53)),IF(AND(AB52="Probabilidad",AB53="Impacto"),(AM51-(+AM51*AE53)),IF(AB53="Probabilidad",AM52,""))),"")</f>
        <v/>
      </c>
      <c r="AN53" s="131" t="str">
        <f t="shared" si="74"/>
        <v/>
      </c>
      <c r="AO53" s="132"/>
      <c r="AP53" s="125"/>
      <c r="AQ53" s="133"/>
      <c r="AR53" s="133"/>
      <c r="AS53" s="134"/>
      <c r="AT53" s="672"/>
      <c r="AU53" s="403"/>
      <c r="AV53" s="403"/>
    </row>
    <row r="54" spans="1:48" hidden="1" x14ac:dyDescent="0.2">
      <c r="A54" s="398"/>
      <c r="B54" s="401"/>
      <c r="C54" s="401"/>
      <c r="D54" s="401"/>
      <c r="E54" s="421"/>
      <c r="F54" s="401"/>
      <c r="G54" s="401"/>
      <c r="H54" s="400"/>
      <c r="I54" s="403"/>
      <c r="J54" s="403"/>
      <c r="K54" s="403"/>
      <c r="L54" s="403"/>
      <c r="M54" s="403"/>
      <c r="N54" s="403"/>
      <c r="O54" s="416"/>
      <c r="P54" s="417"/>
      <c r="Q54" s="405"/>
      <c r="R54" s="406"/>
      <c r="S54" s="405">
        <f>IF(NOT(ISERROR(MATCH(R54,_xlfn.ANCHORARRAY(G65),0))),Q67&amp;"Por favor no seleccionar los criterios de impacto",R54)</f>
        <v>0</v>
      </c>
      <c r="T54" s="417"/>
      <c r="U54" s="405"/>
      <c r="V54" s="418"/>
      <c r="W54" s="149">
        <v>4</v>
      </c>
      <c r="X54" s="149"/>
      <c r="Y54" s="149"/>
      <c r="Z54" s="149"/>
      <c r="AA54" s="304" t="str">
        <f t="shared" si="1"/>
        <v xml:space="preserve">  </v>
      </c>
      <c r="AB54" s="126" t="str">
        <f t="shared" ref="AB54:AB62" si="76">IF(OR(AC54="Preventivo",AC54="Detectivo"),"Probabilidad",IF(AC54="Correctivo","Impacto",""))</f>
        <v/>
      </c>
      <c r="AC54" s="127"/>
      <c r="AD54" s="127"/>
      <c r="AE54" s="128" t="str">
        <f t="shared" si="71"/>
        <v/>
      </c>
      <c r="AF54" s="127"/>
      <c r="AG54" s="127"/>
      <c r="AH54" s="127"/>
      <c r="AI54" s="129" t="str">
        <f t="shared" ref="AI54:AI56" si="77">IFERROR(IF(AND(AB53="Probabilidad",AB54="Probabilidad"),(AK53-(+AK53*AE54)),IF(AND(AB53="Impacto",AB54="Probabilidad"),(AK52-(+AK52*AE54)),IF(AB54="Impacto",AK53,""))),"")</f>
        <v/>
      </c>
      <c r="AJ54" s="130" t="str">
        <f t="shared" si="3"/>
        <v/>
      </c>
      <c r="AK54" s="128" t="str">
        <f t="shared" si="72"/>
        <v/>
      </c>
      <c r="AL54" s="130" t="str">
        <f t="shared" si="5"/>
        <v/>
      </c>
      <c r="AM54" s="128" t="str">
        <f t="shared" si="15"/>
        <v/>
      </c>
      <c r="AN54" s="131" t="str">
        <f>IFERROR(IF(OR(AND(AJ54="Muy Baja",AL54="Leve"),AND(AJ54="Muy Baja",AL54="Menor"),AND(AJ54="Baja",AL54="Leve")),"Bajo",IF(OR(AND(AJ54="Muy baja",AL54="Moderado"),AND(AJ54="Baja",AL54="Menor"),AND(AJ54="Baja",AL54="Moderado"),AND(AJ54="Media",AL54="Leve"),AND(AJ54="Media",AL54="Menor"),AND(AJ54="Media",AL54="Moderado"),AND(AJ54="Alta",AL54="Leve"),AND(AJ54="Alta",AL54="Menor")),"Moderado",IF(OR(AND(AJ54="Muy Baja",AL54="Mayor"),AND(AJ54="Baja",AL54="Mayor"),AND(AJ54="Media",AL54="Mayor"),AND(AJ54="Alta",AL54="Moderado"),AND(AJ54="Alta",AL54="Mayor"),AND(AJ54="Muy Alta",AL54="Leve"),AND(AJ54="Muy Alta",AL54="Menor"),AND(AJ54="Muy Alta",AL54="Moderado"),AND(AJ54="Muy Alta",AL54="Mayor")),"Alto",IF(OR(AND(AJ54="Muy Baja",AL54="Catastrófico"),AND(AJ54="Baja",AL54="Catastrófico"),AND(AJ54="Media",AL54="Catastrófico"),AND(AJ54="Alta",AL54="Catastrófico"),AND(AJ54="Muy Alta",AL54="Catastrófico")),"Extremo","")))),"")</f>
        <v/>
      </c>
      <c r="AO54" s="132"/>
      <c r="AP54" s="125"/>
      <c r="AQ54" s="133"/>
      <c r="AR54" s="133"/>
      <c r="AS54" s="134"/>
      <c r="AT54" s="672"/>
      <c r="AU54" s="403"/>
      <c r="AV54" s="403"/>
    </row>
    <row r="55" spans="1:48" hidden="1" x14ac:dyDescent="0.2">
      <c r="A55" s="398"/>
      <c r="B55" s="401"/>
      <c r="C55" s="401"/>
      <c r="D55" s="401"/>
      <c r="E55" s="421"/>
      <c r="F55" s="401"/>
      <c r="G55" s="401"/>
      <c r="H55" s="400"/>
      <c r="I55" s="403"/>
      <c r="J55" s="403"/>
      <c r="K55" s="403"/>
      <c r="L55" s="403"/>
      <c r="M55" s="403"/>
      <c r="N55" s="403"/>
      <c r="O55" s="416"/>
      <c r="P55" s="417"/>
      <c r="Q55" s="405"/>
      <c r="R55" s="406"/>
      <c r="S55" s="405">
        <f>IF(NOT(ISERROR(MATCH(R55,_xlfn.ANCHORARRAY(G66),0))),Q68&amp;"Por favor no seleccionar los criterios de impacto",R55)</f>
        <v>0</v>
      </c>
      <c r="T55" s="417"/>
      <c r="U55" s="405"/>
      <c r="V55" s="418"/>
      <c r="W55" s="149">
        <v>5</v>
      </c>
      <c r="X55" s="149"/>
      <c r="Y55" s="149"/>
      <c r="Z55" s="149"/>
      <c r="AA55" s="304" t="str">
        <f t="shared" si="1"/>
        <v xml:space="preserve">  </v>
      </c>
      <c r="AB55" s="126" t="str">
        <f t="shared" si="76"/>
        <v/>
      </c>
      <c r="AC55" s="127"/>
      <c r="AD55" s="127"/>
      <c r="AE55" s="128" t="str">
        <f t="shared" si="71"/>
        <v/>
      </c>
      <c r="AF55" s="127"/>
      <c r="AG55" s="127"/>
      <c r="AH55" s="127"/>
      <c r="AI55" s="129" t="str">
        <f t="shared" si="77"/>
        <v/>
      </c>
      <c r="AJ55" s="130" t="str">
        <f t="shared" si="3"/>
        <v/>
      </c>
      <c r="AK55" s="128" t="str">
        <f t="shared" si="72"/>
        <v/>
      </c>
      <c r="AL55" s="130" t="str">
        <f t="shared" si="5"/>
        <v/>
      </c>
      <c r="AM55" s="128" t="str">
        <f t="shared" si="15"/>
        <v/>
      </c>
      <c r="AN55" s="131" t="str">
        <f t="shared" ref="AN55:AN56" si="78">IFERROR(IF(OR(AND(AJ55="Muy Baja",AL55="Leve"),AND(AJ55="Muy Baja",AL55="Menor"),AND(AJ55="Baja",AL55="Leve")),"Bajo",IF(OR(AND(AJ55="Muy baja",AL55="Moderado"),AND(AJ55="Baja",AL55="Menor"),AND(AJ55="Baja",AL55="Moderado"),AND(AJ55="Media",AL55="Leve"),AND(AJ55="Media",AL55="Menor"),AND(AJ55="Media",AL55="Moderado"),AND(AJ55="Alta",AL55="Leve"),AND(AJ55="Alta",AL55="Menor")),"Moderado",IF(OR(AND(AJ55="Muy Baja",AL55="Mayor"),AND(AJ55="Baja",AL55="Mayor"),AND(AJ55="Media",AL55="Mayor"),AND(AJ55="Alta",AL55="Moderado"),AND(AJ55="Alta",AL55="Mayor"),AND(AJ55="Muy Alta",AL55="Leve"),AND(AJ55="Muy Alta",AL55="Menor"),AND(AJ55="Muy Alta",AL55="Moderado"),AND(AJ55="Muy Alta",AL55="Mayor")),"Alto",IF(OR(AND(AJ55="Muy Baja",AL55="Catastrófico"),AND(AJ55="Baja",AL55="Catastrófico"),AND(AJ55="Media",AL55="Catastrófico"),AND(AJ55="Alta",AL55="Catastrófico"),AND(AJ55="Muy Alta",AL55="Catastrófico")),"Extremo","")))),"")</f>
        <v/>
      </c>
      <c r="AO55" s="132"/>
      <c r="AP55" s="125"/>
      <c r="AQ55" s="133"/>
      <c r="AR55" s="133"/>
      <c r="AS55" s="134"/>
      <c r="AT55" s="672"/>
      <c r="AU55" s="403"/>
      <c r="AV55" s="403"/>
    </row>
    <row r="56" spans="1:48" hidden="1" x14ac:dyDescent="0.2">
      <c r="A56" s="398"/>
      <c r="B56" s="401"/>
      <c r="C56" s="401"/>
      <c r="D56" s="401"/>
      <c r="E56" s="422"/>
      <c r="F56" s="401"/>
      <c r="G56" s="401"/>
      <c r="H56" s="400"/>
      <c r="I56" s="404"/>
      <c r="J56" s="404"/>
      <c r="K56" s="404"/>
      <c r="L56" s="404"/>
      <c r="M56" s="404"/>
      <c r="N56" s="404"/>
      <c r="O56" s="416"/>
      <c r="P56" s="417"/>
      <c r="Q56" s="405"/>
      <c r="R56" s="406"/>
      <c r="S56" s="405">
        <f>IF(NOT(ISERROR(MATCH(R56,_xlfn.ANCHORARRAY(G67),0))),#REF!&amp;"Por favor no seleccionar los criterios de impacto",R56)</f>
        <v>0</v>
      </c>
      <c r="T56" s="417"/>
      <c r="U56" s="405"/>
      <c r="V56" s="418"/>
      <c r="W56" s="149">
        <v>6</v>
      </c>
      <c r="X56" s="149"/>
      <c r="Y56" s="149"/>
      <c r="Z56" s="149"/>
      <c r="AA56" s="304" t="str">
        <f t="shared" si="1"/>
        <v xml:space="preserve">  </v>
      </c>
      <c r="AB56" s="126" t="str">
        <f t="shared" si="76"/>
        <v/>
      </c>
      <c r="AC56" s="127"/>
      <c r="AD56" s="127"/>
      <c r="AE56" s="128" t="str">
        <f t="shared" si="71"/>
        <v/>
      </c>
      <c r="AF56" s="127"/>
      <c r="AG56" s="127"/>
      <c r="AH56" s="127"/>
      <c r="AI56" s="129" t="str">
        <f t="shared" si="77"/>
        <v/>
      </c>
      <c r="AJ56" s="130" t="str">
        <f t="shared" si="3"/>
        <v/>
      </c>
      <c r="AK56" s="128" t="str">
        <f t="shared" si="72"/>
        <v/>
      </c>
      <c r="AL56" s="130" t="str">
        <f t="shared" si="5"/>
        <v/>
      </c>
      <c r="AM56" s="128" t="str">
        <f t="shared" si="15"/>
        <v/>
      </c>
      <c r="AN56" s="131" t="str">
        <f t="shared" si="78"/>
        <v/>
      </c>
      <c r="AO56" s="132"/>
      <c r="AP56" s="125"/>
      <c r="AQ56" s="133"/>
      <c r="AR56" s="133"/>
      <c r="AS56" s="134"/>
      <c r="AT56" s="673"/>
      <c r="AU56" s="404"/>
      <c r="AV56" s="404"/>
    </row>
    <row r="57" spans="1:48" ht="100.5" customHeight="1" x14ac:dyDescent="0.2">
      <c r="A57" s="398">
        <v>9</v>
      </c>
      <c r="B57" s="401" t="s">
        <v>558</v>
      </c>
      <c r="C57" s="400" t="s">
        <v>32</v>
      </c>
      <c r="D57" s="400" t="s">
        <v>1203</v>
      </c>
      <c r="E57" s="402" t="s">
        <v>1066</v>
      </c>
      <c r="F57" s="400" t="s">
        <v>1067</v>
      </c>
      <c r="G57" s="401" t="str">
        <f>+CONCATENATE(C57," ",D57)</f>
        <v>Posibilidad de recibir o solicitar cualquier dádiva o beneficio por certificar el ingreso o salida modificando el inventario de la entidad para un obtener un beneficio</v>
      </c>
      <c r="H57" s="400" t="s">
        <v>85</v>
      </c>
      <c r="I57" s="402" t="s">
        <v>59</v>
      </c>
      <c r="J57" s="402" t="s">
        <v>1068</v>
      </c>
      <c r="K57" s="402" t="s">
        <v>1069</v>
      </c>
      <c r="L57" s="402" t="s">
        <v>1070</v>
      </c>
      <c r="M57" s="402" t="s">
        <v>55</v>
      </c>
      <c r="N57" s="402" t="s">
        <v>55</v>
      </c>
      <c r="O57" s="416">
        <v>365</v>
      </c>
      <c r="P57" s="417" t="str">
        <f>IF(O57&lt;=0,"",IF(O57&lt;=2,"Muy Baja",IF(O57&lt;=24,"Baja",IF(O57&lt;=500,"Media",IF(O57&lt;=5000,"Alta","Muy Alta")))))</f>
        <v>Media</v>
      </c>
      <c r="Q57" s="405">
        <f>IF(P57="","",IF(P57="Muy Baja",0.2,IF(P57="Baja",0.4,IF(P57="Media",0.6,IF(P57="Alta",0.8,IF(P57="Muy Alta",1,))))))</f>
        <v>0.6</v>
      </c>
      <c r="R57" s="406" t="s">
        <v>428</v>
      </c>
      <c r="S57" s="405" t="str">
        <f>IF(NOT(ISERROR(MATCH(R57,'[4]Tabla Impacto'!$B$245:$B$247,0))),'[4]Tabla Impacto'!$F$224&amp;"Por favor no seleccionar los criterios de impacto(Afectación Económica o presupuestal y Pérdida Reputacional)",R57)</f>
        <v xml:space="preserve">     El riesgo afecta la imagen de la entidad con algunos usuarios de relevancia frente al logro de los objetivos</v>
      </c>
      <c r="T57" s="417" t="str">
        <f>IF(OR(S57='[4]Tabla Impacto'!$C$12,S57='[4]Tabla Impacto'!$D$12),"Leve",IF(OR(S57='[4]Tabla Impacto'!$C$13,S57='[4]Tabla Impacto'!$D$13),"Menor",IF(OR(S57='[4]Tabla Impacto'!$C$14,S57='[4]Tabla Impacto'!$D$14),"Moderado",IF(OR(S57='[4]Tabla Impacto'!$C$15,S57='[4]Tabla Impacto'!$D$15),"Mayor",IF(OR(S57='[4]Tabla Impacto'!$C$16,S57='[4]Tabla Impacto'!$D$16),"Catastrófico","")))))</f>
        <v>Moderado</v>
      </c>
      <c r="U57" s="405">
        <f>IF(T57="","",IF(T57="Leve",0.2,IF(T57="Menor",0.4,IF(T57="Moderado",0.6,IF(T57="Mayor",0.8,IF(T57="Catastrófico",1,))))))</f>
        <v>0.6</v>
      </c>
      <c r="V57" s="418" t="str">
        <f>IF(OR(AND(P57="Muy Baja",T57="Leve"),AND(P57="Muy Baja",T57="Menor"),AND(P57="Baja",T57="Leve")),"Bajo",IF(OR(AND(P57="Muy baja",T57="Moderado"),AND(P57="Baja",T57="Menor"),AND(P57="Baja",T57="Moderado"),AND(P57="Media",T57="Leve"),AND(P57="Media",T57="Menor"),AND(P57="Media",T57="Moderado"),AND(P57="Alta",T57="Leve"),AND(P57="Alta",T57="Menor")),"Moderado",IF(OR(AND(P57="Muy Baja",T57="Mayor"),AND(P57="Baja",T57="Mayor"),AND(P57="Media",T57="Mayor"),AND(P57="Alta",T57="Moderado"),AND(P57="Alta",T57="Mayor"),AND(P57="Muy Alta",T57="Leve"),AND(P57="Muy Alta",T57="Menor"),AND(P57="Muy Alta",T57="Moderado"),AND(P57="Muy Alta",T57="Mayor")),"Alto",IF(OR(AND(P57="Muy Baja",T57="Catastrófico"),AND(P57="Baja",T57="Catastrófico"),AND(P57="Media",T57="Catastrófico"),AND(P57="Alta",T57="Catastrófico"),AND(P57="Muy Alta",T57="Catastrófico")),"Extremo",""))))</f>
        <v>Moderado</v>
      </c>
      <c r="W57" s="149">
        <v>1</v>
      </c>
      <c r="X57" s="182" t="s">
        <v>1071</v>
      </c>
      <c r="Y57" s="182" t="s">
        <v>45</v>
      </c>
      <c r="Z57" s="182" t="s">
        <v>1072</v>
      </c>
      <c r="AA57" s="174" t="str">
        <f>+CONCATENATE(X57," ",Y57," ",Z57)</f>
        <v>El Servidor Público o contratista designado  Coteja 
a través de la toma física aleatoria o integral trimestral de bienes las existencias reportadas en el sistema y las que se encuentran fisicamente en las bodegas.
En caso de que existan diferencias se dejará un informe donde se detallan los sobrantes o faltantes, para continuar el trámite administrativo.</v>
      </c>
      <c r="AB57" s="126" t="str">
        <f t="shared" si="76"/>
        <v>Probabilidad</v>
      </c>
      <c r="AC57" s="127" t="s">
        <v>398</v>
      </c>
      <c r="AD57" s="127" t="s">
        <v>394</v>
      </c>
      <c r="AE57" s="128" t="str">
        <f>IF(AND(AC57="Preventivo",AD57="Automático"),"50%",IF(AND(AC57="Preventivo",AD57="Manual"),"40%",IF(AND(AC57="Detectivo",AD57="Automático"),"40%",IF(AND(AC57="Detectivo",AD57="Manual"),"30%",IF(AND(AC57="Correctivo",AD57="Automático"),"35%",IF(AND(AC57="Correctivo",AD57="Manual"),"25%",""))))))</f>
        <v>40%</v>
      </c>
      <c r="AF57" s="127" t="s">
        <v>395</v>
      </c>
      <c r="AG57" s="127" t="s">
        <v>541</v>
      </c>
      <c r="AH57" s="127" t="s">
        <v>397</v>
      </c>
      <c r="AI57" s="129">
        <f>IFERROR(IF(AB57="Probabilidad",(Q57-(+Q57*AE57)),IF(AB57="Impacto",Q57,"")),"")</f>
        <v>0.36</v>
      </c>
      <c r="AJ57" s="130" t="str">
        <f>IFERROR(IF(AI57="","",IF(AI57&lt;=0.2,"Muy Baja",IF(AI57&lt;=0.4,"Baja",IF(AI57&lt;=0.6,"Media",IF(AI57&lt;=0.8,"Alta","Muy Alta"))))),"")</f>
        <v>Baja</v>
      </c>
      <c r="AK57" s="128">
        <f>+AI57</f>
        <v>0.36</v>
      </c>
      <c r="AL57" s="130" t="str">
        <f>IFERROR(IF(AM57="","",IF(AM57&lt;=0.2,"Leve",IF(AM57&lt;=0.4,"Menor",IF(AM57&lt;=0.6,"Moderado",IF(AM57&lt;=0.8,"Mayor","Catastrófico"))))),"")</f>
        <v>Moderado</v>
      </c>
      <c r="AM57" s="128">
        <f>IFERROR(IF(AB57="Impacto",(U57-(+U57*AE57)),IF(AB57="Probabilidad",U57,"")),"")</f>
        <v>0.6</v>
      </c>
      <c r="AN57" s="131" t="str">
        <f>IFERROR(IF(OR(AND(AJ57="Muy Baja",AL57="Leve"),AND(AJ57="Muy Baja",AL57="Menor"),AND(AJ57="Baja",AL57="Leve")),"Bajo",IF(OR(AND(AJ57="Muy baja",AL57="Moderado"),AND(AJ57="Baja",AL57="Menor"),AND(AJ57="Baja",AL57="Moderado"),AND(AJ57="Media",AL57="Leve"),AND(AJ57="Media",AL57="Menor"),AND(AJ57="Media",AL57="Moderado"),AND(AJ57="Alta",AL57="Leve"),AND(AJ57="Alta",AL57="Menor")),"Moderado",IF(OR(AND(AJ57="Muy Baja",AL57="Mayor"),AND(AJ57="Baja",AL57="Mayor"),AND(AJ57="Media",AL57="Mayor"),AND(AJ57="Alta",AL57="Moderado"),AND(AJ57="Alta",AL57="Mayor"),AND(AJ57="Muy Alta",AL57="Leve"),AND(AJ57="Muy Alta",AL57="Menor"),AND(AJ57="Muy Alta",AL57="Moderado"),AND(AJ57="Muy Alta",AL57="Mayor")),"Alto",IF(OR(AND(AJ57="Muy Baja",AL57="Catastrófico"),AND(AJ57="Baja",AL57="Catastrófico"),AND(AJ57="Media",AL57="Catastrófico"),AND(AJ57="Alta",AL57="Catastrófico"),AND(AJ57="Muy Alta",AL57="Catastrófico")),"Extremo","")))),"")</f>
        <v>Moderado</v>
      </c>
      <c r="AO57" s="377"/>
      <c r="AP57" s="125" t="s">
        <v>1074</v>
      </c>
      <c r="AQ57" s="125" t="s">
        <v>1075</v>
      </c>
      <c r="AR57" s="125" t="s">
        <v>1076</v>
      </c>
      <c r="AS57" s="335" t="s">
        <v>1077</v>
      </c>
      <c r="AT57" s="400" t="s">
        <v>1078</v>
      </c>
      <c r="AU57" s="400" t="s">
        <v>1079</v>
      </c>
      <c r="AV57" s="400" t="s">
        <v>1080</v>
      </c>
    </row>
    <row r="58" spans="1:48" ht="100.5" customHeight="1" x14ac:dyDescent="0.2">
      <c r="A58" s="398"/>
      <c r="B58" s="401"/>
      <c r="C58" s="400"/>
      <c r="D58" s="400"/>
      <c r="E58" s="403"/>
      <c r="F58" s="400"/>
      <c r="G58" s="401"/>
      <c r="H58" s="400"/>
      <c r="I58" s="403"/>
      <c r="J58" s="403"/>
      <c r="K58" s="403"/>
      <c r="L58" s="403"/>
      <c r="M58" s="403"/>
      <c r="N58" s="403"/>
      <c r="O58" s="416"/>
      <c r="P58" s="417"/>
      <c r="Q58" s="405"/>
      <c r="R58" s="406"/>
      <c r="S58" s="405">
        <f>IF(NOT(ISERROR(MATCH(R58,_xlfn.ANCHORARRAY(G69),0))),Q71&amp;"Por favor no seleccionar los criterios de impacto",R58)</f>
        <v>0</v>
      </c>
      <c r="T58" s="417"/>
      <c r="U58" s="405"/>
      <c r="V58" s="418"/>
      <c r="W58" s="149">
        <v>2</v>
      </c>
      <c r="X58" s="182" t="s">
        <v>1071</v>
      </c>
      <c r="Y58" s="149" t="s">
        <v>52</v>
      </c>
      <c r="Z58" s="182" t="s">
        <v>1073</v>
      </c>
      <c r="AA58" s="174" t="str">
        <f t="shared" ref="AA58:AA62" si="79">+CONCATENATE(X58," ",Y58," ",Z58)</f>
        <v>El Servidor Público o contratista designado  Revisa mensualmente el acompañamiento del personal de vigilancia en el cierre y apertura de recintos, a través
de las bitácoras de novedades. 
En el caso en el que no se evidencia el acompañamiento se informará al supervisor de vigilancia para que realice las acciones pertinentes.</v>
      </c>
      <c r="AB58" s="126" t="str">
        <f t="shared" si="76"/>
        <v>Probabilidad</v>
      </c>
      <c r="AC58" s="127" t="s">
        <v>398</v>
      </c>
      <c r="AD58" s="127" t="s">
        <v>394</v>
      </c>
      <c r="AE58" s="128" t="str">
        <f>IF(AND(AC58="Preventivo",AD58="Automático"),"50%",IF(AND(AC58="Preventivo",AD58="Manual"),"40%",IF(AND(AC58="Detectivo",AD58="Automático"),"40%",IF(AND(AC58="Detectivo",AD58="Manual"),"30%",IF(AND(AC58="Correctivo",AD58="Automático"),"35%",IF(AND(AC58="Correctivo",AD58="Manual"),"25%",""))))))</f>
        <v>40%</v>
      </c>
      <c r="AF58" s="127" t="s">
        <v>395</v>
      </c>
      <c r="AG58" s="127" t="s">
        <v>396</v>
      </c>
      <c r="AH58" s="127" t="s">
        <v>397</v>
      </c>
      <c r="AI58" s="129">
        <f>IFERROR(IF(AND(AB57="Probabilidad",AB58="Probabilidad"),(AK57-(+AK57*AE58)),IF(AB58="Probabilidad",(Q57-(+Q57*AE58)),IF(AB58="Impacto",AK57,""))),"")</f>
        <v>0.216</v>
      </c>
      <c r="AJ58" s="130" t="str">
        <f t="shared" ref="AJ58:AJ62" si="80">IFERROR(IF(AI58="","",IF(AI58&lt;=0.2,"Muy Baja",IF(AI58&lt;=0.4,"Baja",IF(AI58&lt;=0.6,"Media",IF(AI58&lt;=0.8,"Alta","Muy Alta"))))),"")</f>
        <v>Baja</v>
      </c>
      <c r="AK58" s="128">
        <f t="shared" ref="AK58:AK62" si="81">+AI58</f>
        <v>0.216</v>
      </c>
      <c r="AL58" s="130" t="str">
        <f t="shared" ref="AL58:AL62" si="82">IFERROR(IF(AM58="","",IF(AM58&lt;=0.2,"Leve",IF(AM58&lt;=0.4,"Menor",IF(AM58&lt;=0.6,"Moderado",IF(AM58&lt;=0.8,"Mayor","Catastrófico"))))),"")</f>
        <v>Moderado</v>
      </c>
      <c r="AM58" s="128">
        <f>IFERROR(IF(AND(AB57="Impacto",AB58="Impacto"),(AM57-(+AM57*AE58)),IF(AB58="Impacto",($T$13-(+$T$13*AE58)),IF(AB58="Probabilidad",AM57,""))),"")</f>
        <v>0.6</v>
      </c>
      <c r="AN58" s="131" t="str">
        <f t="shared" ref="AN58:AN62" si="83">IFERROR(IF(OR(AND(AJ58="Muy Baja",AL58="Leve"),AND(AJ58="Muy Baja",AL58="Menor"),AND(AJ58="Baja",AL58="Leve")),"Bajo",IF(OR(AND(AJ58="Muy baja",AL58="Moderado"),AND(AJ58="Baja",AL58="Menor"),AND(AJ58="Baja",AL58="Moderado"),AND(AJ58="Media",AL58="Leve"),AND(AJ58="Media",AL58="Menor"),AND(AJ58="Media",AL58="Moderado"),AND(AJ58="Alta",AL58="Leve"),AND(AJ58="Alta",AL58="Menor")),"Moderado",IF(OR(AND(AJ58="Muy Baja",AL58="Mayor"),AND(AJ58="Baja",AL58="Mayor"),AND(AJ58="Media",AL58="Mayor"),AND(AJ58="Alta",AL58="Moderado"),AND(AJ58="Alta",AL58="Mayor"),AND(AJ58="Muy Alta",AL58="Leve"),AND(AJ58="Muy Alta",AL58="Menor"),AND(AJ58="Muy Alta",AL58="Moderado"),AND(AJ58="Muy Alta",AL58="Mayor")),"Alto",IF(OR(AND(AJ58="Muy Baja",AL58="Catastrófico"),AND(AJ58="Baja",AL58="Catastrófico"),AND(AJ58="Media",AL58="Catastrófico"),AND(AJ58="Alta",AL58="Catastrófico"),AND(AJ58="Muy Alta",AL58="Catastrófico")),"Extremo","")))),"")</f>
        <v>Moderado</v>
      </c>
      <c r="AO58" s="132" t="s">
        <v>43</v>
      </c>
      <c r="AP58" s="125"/>
      <c r="AQ58" s="133"/>
      <c r="AR58" s="125"/>
      <c r="AS58" s="134"/>
      <c r="AT58" s="400"/>
      <c r="AU58" s="400"/>
      <c r="AV58" s="400"/>
    </row>
    <row r="59" spans="1:48" ht="15" hidden="1" customHeight="1" x14ac:dyDescent="0.2">
      <c r="A59" s="398"/>
      <c r="B59" s="401"/>
      <c r="C59" s="400"/>
      <c r="D59" s="400"/>
      <c r="E59" s="403"/>
      <c r="F59" s="400"/>
      <c r="G59" s="401"/>
      <c r="H59" s="400"/>
      <c r="I59" s="403"/>
      <c r="J59" s="403"/>
      <c r="K59" s="403"/>
      <c r="L59" s="403"/>
      <c r="M59" s="403"/>
      <c r="N59" s="403"/>
      <c r="O59" s="416"/>
      <c r="P59" s="417"/>
      <c r="Q59" s="405"/>
      <c r="R59" s="406"/>
      <c r="S59" s="405">
        <f>IF(NOT(ISERROR(MATCH(R59,_xlfn.ANCHORARRAY(G70),0))),Q72&amp;"Por favor no seleccionar los criterios de impacto",R59)</f>
        <v>0</v>
      </c>
      <c r="T59" s="417"/>
      <c r="U59" s="405"/>
      <c r="V59" s="418"/>
      <c r="W59" s="149">
        <v>3</v>
      </c>
      <c r="X59" s="182"/>
      <c r="Y59" s="149"/>
      <c r="Z59" s="149"/>
      <c r="AA59" s="174" t="str">
        <f t="shared" si="79"/>
        <v xml:space="preserve">  </v>
      </c>
      <c r="AB59" s="126" t="str">
        <f t="shared" si="76"/>
        <v/>
      </c>
      <c r="AC59" s="127"/>
      <c r="AD59" s="127"/>
      <c r="AE59" s="128" t="str">
        <f t="shared" ref="AE59:AE62" si="84">IF(AND(AC59="Preventivo",AD59="Automático"),"50%",IF(AND(AC59="Preventivo",AD59="Manual"),"40%",IF(AND(AC59="Detectivo",AD59="Automático"),"40%",IF(AND(AC59="Detectivo",AD59="Manual"),"30%",IF(AND(AC59="Correctivo",AD59="Automático"),"35%",IF(AND(AC59="Correctivo",AD59="Manual"),"25%",""))))))</f>
        <v/>
      </c>
      <c r="AF59" s="127"/>
      <c r="AG59" s="127"/>
      <c r="AH59" s="127"/>
      <c r="AI59" s="129" t="str">
        <f>IFERROR(IF(AND(AB58="Probabilidad",AB59="Probabilidad"),(AK58-(+AK58*AE59)),IF(AND(AB58="Impacto",AB59="Probabilidad"),(AK57-(+AK57*AE59)),IF(AB59="Impacto",AK58,""))),"")</f>
        <v/>
      </c>
      <c r="AJ59" s="130" t="str">
        <f t="shared" si="80"/>
        <v/>
      </c>
      <c r="AK59" s="128" t="str">
        <f t="shared" si="81"/>
        <v/>
      </c>
      <c r="AL59" s="130" t="str">
        <f t="shared" si="82"/>
        <v/>
      </c>
      <c r="AM59" s="128" t="str">
        <f>IFERROR(IF(AND(AB58="Impacto",AB59="Impacto"),(AM58-(+AM58*AE59)),IF(AND(AB58="Probabilidad",AB59="Impacto"),(AM57-(+AM57*AE59)),IF(AB59="Probabilidad",AM58,""))),"")</f>
        <v/>
      </c>
      <c r="AN59" s="131" t="str">
        <f t="shared" si="83"/>
        <v/>
      </c>
      <c r="AO59" s="132"/>
      <c r="AP59" s="125"/>
      <c r="AQ59" s="133"/>
      <c r="AR59" s="133"/>
      <c r="AS59" s="134"/>
      <c r="AT59" s="400"/>
      <c r="AU59" s="400"/>
      <c r="AV59" s="400"/>
    </row>
    <row r="60" spans="1:48" ht="15" hidden="1" customHeight="1" x14ac:dyDescent="0.2">
      <c r="A60" s="398"/>
      <c r="B60" s="401"/>
      <c r="C60" s="400"/>
      <c r="D60" s="400"/>
      <c r="E60" s="403"/>
      <c r="F60" s="400"/>
      <c r="G60" s="401"/>
      <c r="H60" s="400"/>
      <c r="I60" s="403"/>
      <c r="J60" s="403"/>
      <c r="K60" s="403"/>
      <c r="L60" s="403"/>
      <c r="M60" s="403"/>
      <c r="N60" s="403"/>
      <c r="O60" s="416"/>
      <c r="P60" s="417"/>
      <c r="Q60" s="405"/>
      <c r="R60" s="406"/>
      <c r="S60" s="405">
        <f>IF(NOT(ISERROR(MATCH(R60,_xlfn.ANCHORARRAY(G71),0))),Q73&amp;"Por favor no seleccionar los criterios de impacto",R60)</f>
        <v>0</v>
      </c>
      <c r="T60" s="417"/>
      <c r="U60" s="405"/>
      <c r="V60" s="418"/>
      <c r="W60" s="149">
        <v>4</v>
      </c>
      <c r="X60" s="182"/>
      <c r="Y60" s="149"/>
      <c r="Z60" s="149"/>
      <c r="AA60" s="174" t="str">
        <f t="shared" si="79"/>
        <v xml:space="preserve">  </v>
      </c>
      <c r="AB60" s="126" t="str">
        <f t="shared" si="76"/>
        <v/>
      </c>
      <c r="AC60" s="127"/>
      <c r="AD60" s="127"/>
      <c r="AE60" s="128" t="str">
        <f t="shared" si="84"/>
        <v/>
      </c>
      <c r="AF60" s="127"/>
      <c r="AG60" s="127"/>
      <c r="AH60" s="127"/>
      <c r="AI60" s="129" t="str">
        <f t="shared" ref="AI60:AI62" si="85">IFERROR(IF(AND(AB59="Probabilidad",AB60="Probabilidad"),(AK59-(+AK59*AE60)),IF(AND(AB59="Impacto",AB60="Probabilidad"),(AK58-(+AK58*AE60)),IF(AB60="Impacto",AK59,""))),"")</f>
        <v/>
      </c>
      <c r="AJ60" s="130" t="str">
        <f t="shared" si="80"/>
        <v/>
      </c>
      <c r="AK60" s="128" t="str">
        <f t="shared" si="81"/>
        <v/>
      </c>
      <c r="AL60" s="130" t="str">
        <f t="shared" si="82"/>
        <v/>
      </c>
      <c r="AM60" s="128" t="str">
        <f t="shared" ref="AM60:AM62" si="86">IFERROR(IF(AND(AB59="Impacto",AB60="Impacto"),(AM59-(+AM59*AE60)),IF(AND(AB59="Probabilidad",AB60="Impacto"),(AM58-(+AM58*AE60)),IF(AB60="Probabilidad",AM59,""))),"")</f>
        <v/>
      </c>
      <c r="AN60" s="131" t="str">
        <f>IFERROR(IF(OR(AND(AJ60="Muy Baja",AL60="Leve"),AND(AJ60="Muy Baja",AL60="Menor"),AND(AJ60="Baja",AL60="Leve")),"Bajo",IF(OR(AND(AJ60="Muy baja",AL60="Moderado"),AND(AJ60="Baja",AL60="Menor"),AND(AJ60="Baja",AL60="Moderado"),AND(AJ60="Media",AL60="Leve"),AND(AJ60="Media",AL60="Menor"),AND(AJ60="Media",AL60="Moderado"),AND(AJ60="Alta",AL60="Leve"),AND(AJ60="Alta",AL60="Menor")),"Moderado",IF(OR(AND(AJ60="Muy Baja",AL60="Mayor"),AND(AJ60="Baja",AL60="Mayor"),AND(AJ60="Media",AL60="Mayor"),AND(AJ60="Alta",AL60="Moderado"),AND(AJ60="Alta",AL60="Mayor"),AND(AJ60="Muy Alta",AL60="Leve"),AND(AJ60="Muy Alta",AL60="Menor"),AND(AJ60="Muy Alta",AL60="Moderado"),AND(AJ60="Muy Alta",AL60="Mayor")),"Alto",IF(OR(AND(AJ60="Muy Baja",AL60="Catastrófico"),AND(AJ60="Baja",AL60="Catastrófico"),AND(AJ60="Media",AL60="Catastrófico"),AND(AJ60="Alta",AL60="Catastrófico"),AND(AJ60="Muy Alta",AL60="Catastrófico")),"Extremo","")))),"")</f>
        <v/>
      </c>
      <c r="AO60" s="132"/>
      <c r="AP60" s="125"/>
      <c r="AQ60" s="133"/>
      <c r="AR60" s="133"/>
      <c r="AS60" s="134"/>
      <c r="AT60" s="400"/>
      <c r="AU60" s="400"/>
      <c r="AV60" s="400"/>
    </row>
    <row r="61" spans="1:48" ht="15" hidden="1" customHeight="1" x14ac:dyDescent="0.2">
      <c r="A61" s="398"/>
      <c r="B61" s="401"/>
      <c r="C61" s="400"/>
      <c r="D61" s="400"/>
      <c r="E61" s="403"/>
      <c r="F61" s="400"/>
      <c r="G61" s="401"/>
      <c r="H61" s="400"/>
      <c r="I61" s="403"/>
      <c r="J61" s="403"/>
      <c r="K61" s="403"/>
      <c r="L61" s="403"/>
      <c r="M61" s="403"/>
      <c r="N61" s="403"/>
      <c r="O61" s="416"/>
      <c r="P61" s="417"/>
      <c r="Q61" s="405"/>
      <c r="R61" s="406"/>
      <c r="S61" s="405">
        <f>IF(NOT(ISERROR(MATCH(R61,_xlfn.ANCHORARRAY(G72),0))),Q74&amp;"Por favor no seleccionar los criterios de impacto",R61)</f>
        <v>0</v>
      </c>
      <c r="T61" s="417"/>
      <c r="U61" s="405"/>
      <c r="V61" s="418"/>
      <c r="W61" s="149">
        <v>5</v>
      </c>
      <c r="X61" s="182"/>
      <c r="Y61" s="149"/>
      <c r="Z61" s="149"/>
      <c r="AA61" s="174" t="str">
        <f t="shared" si="79"/>
        <v xml:space="preserve">  </v>
      </c>
      <c r="AB61" s="126" t="str">
        <f t="shared" si="76"/>
        <v/>
      </c>
      <c r="AC61" s="127"/>
      <c r="AD61" s="127"/>
      <c r="AE61" s="128" t="str">
        <f t="shared" si="84"/>
        <v/>
      </c>
      <c r="AF61" s="127"/>
      <c r="AG61" s="127"/>
      <c r="AH61" s="127"/>
      <c r="AI61" s="129" t="str">
        <f t="shared" si="85"/>
        <v/>
      </c>
      <c r="AJ61" s="130" t="str">
        <f t="shared" si="80"/>
        <v/>
      </c>
      <c r="AK61" s="128" t="str">
        <f t="shared" si="81"/>
        <v/>
      </c>
      <c r="AL61" s="130" t="str">
        <f t="shared" si="82"/>
        <v/>
      </c>
      <c r="AM61" s="128" t="str">
        <f t="shared" si="86"/>
        <v/>
      </c>
      <c r="AN61" s="131" t="str">
        <f t="shared" si="83"/>
        <v/>
      </c>
      <c r="AO61" s="132"/>
      <c r="AP61" s="125"/>
      <c r="AQ61" s="133"/>
      <c r="AR61" s="133"/>
      <c r="AS61" s="134"/>
      <c r="AT61" s="400"/>
      <c r="AU61" s="400"/>
      <c r="AV61" s="400"/>
    </row>
    <row r="62" spans="1:48" ht="15" hidden="1" customHeight="1" x14ac:dyDescent="0.2">
      <c r="A62" s="398"/>
      <c r="B62" s="401"/>
      <c r="C62" s="400"/>
      <c r="D62" s="400"/>
      <c r="E62" s="404"/>
      <c r="F62" s="400"/>
      <c r="G62" s="401"/>
      <c r="H62" s="400"/>
      <c r="I62" s="404"/>
      <c r="J62" s="404"/>
      <c r="K62" s="404"/>
      <c r="L62" s="404"/>
      <c r="M62" s="404"/>
      <c r="N62" s="404"/>
      <c r="O62" s="416"/>
      <c r="P62" s="417"/>
      <c r="Q62" s="405"/>
      <c r="R62" s="406"/>
      <c r="S62" s="405">
        <f>IF(NOT(ISERROR(MATCH(R62,_xlfn.ANCHORARRAY(G73),0))),Q75&amp;"Por favor no seleccionar los criterios de impacto",R62)</f>
        <v>0</v>
      </c>
      <c r="T62" s="417"/>
      <c r="U62" s="405"/>
      <c r="V62" s="418"/>
      <c r="W62" s="149">
        <v>6</v>
      </c>
      <c r="X62" s="182"/>
      <c r="Y62" s="149"/>
      <c r="Z62" s="149"/>
      <c r="AA62" s="174" t="str">
        <f t="shared" si="79"/>
        <v xml:space="preserve">  </v>
      </c>
      <c r="AB62" s="126" t="str">
        <f t="shared" si="76"/>
        <v/>
      </c>
      <c r="AC62" s="127"/>
      <c r="AD62" s="127"/>
      <c r="AE62" s="128" t="str">
        <f t="shared" si="84"/>
        <v/>
      </c>
      <c r="AF62" s="127"/>
      <c r="AG62" s="127"/>
      <c r="AH62" s="127"/>
      <c r="AI62" s="129" t="str">
        <f t="shared" si="85"/>
        <v/>
      </c>
      <c r="AJ62" s="130" t="str">
        <f t="shared" si="80"/>
        <v/>
      </c>
      <c r="AK62" s="128" t="str">
        <f t="shared" si="81"/>
        <v/>
      </c>
      <c r="AL62" s="130" t="str">
        <f t="shared" si="82"/>
        <v/>
      </c>
      <c r="AM62" s="128" t="str">
        <f t="shared" si="86"/>
        <v/>
      </c>
      <c r="AN62" s="131" t="str">
        <f t="shared" si="83"/>
        <v/>
      </c>
      <c r="AO62" s="132"/>
      <c r="AP62" s="125"/>
      <c r="AQ62" s="133"/>
      <c r="AR62" s="133"/>
      <c r="AS62" s="134"/>
      <c r="AT62" s="400"/>
      <c r="AU62" s="400"/>
      <c r="AV62" s="400"/>
    </row>
    <row r="63" spans="1:48" ht="139.5" customHeight="1" x14ac:dyDescent="0.2">
      <c r="A63" s="398">
        <v>10</v>
      </c>
      <c r="B63" s="401" t="s">
        <v>560</v>
      </c>
      <c r="C63" s="400" t="s">
        <v>33</v>
      </c>
      <c r="D63" s="400" t="s">
        <v>1175</v>
      </c>
      <c r="E63" s="402" t="s">
        <v>1162</v>
      </c>
      <c r="F63" s="400" t="s">
        <v>1163</v>
      </c>
      <c r="G63" s="401" t="str">
        <f t="shared" ref="G63" si="87">+CONCATENATE(C63," ",D63)</f>
        <v>Posibilidad de omitir uno o más requisitos legales durante el proceso de selección de contratistas con el fin de favorecer a un proponente especifico  para obtener un  beneficio personal</v>
      </c>
      <c r="H63" s="400" t="s">
        <v>85</v>
      </c>
      <c r="I63" s="402" t="s">
        <v>59</v>
      </c>
      <c r="J63" s="402" t="s">
        <v>1164</v>
      </c>
      <c r="K63" s="402" t="s">
        <v>1165</v>
      </c>
      <c r="L63" s="402" t="s">
        <v>1166</v>
      </c>
      <c r="M63" s="402" t="s">
        <v>60</v>
      </c>
      <c r="N63" s="402" t="s">
        <v>42</v>
      </c>
      <c r="O63" s="416">
        <v>630</v>
      </c>
      <c r="P63" s="417" t="str">
        <f>IF(O63&lt;=0,"",IF(O63&lt;=2,"Muy Baja",IF(O63&lt;=24,"Baja",IF(O63&lt;=500,"Media",IF(O63&lt;=5000,"Alta","Muy Alta")))))</f>
        <v>Alta</v>
      </c>
      <c r="Q63" s="405">
        <f>IF(P63="","",IF(P63="Muy Baja",0.2,IF(P63="Baja",0.4,IF(P63="Media",0.6,IF(P63="Alta",0.8,IF(P63="Muy Alta",1,))))))</f>
        <v>0.8</v>
      </c>
      <c r="R63" s="406" t="s">
        <v>427</v>
      </c>
      <c r="S63" s="405" t="str">
        <f>IF(NOT(ISERROR(MATCH(R63,'[3]Tabla Impacto'!$B$245:$B$247,0))),'[3]Tabla Impacto'!$F$224&amp;"Por favor no seleccionar los criterios de impacto(Afectación Económica o presupuestal y Pérdida Reputacional)",R63)</f>
        <v xml:space="preserve">     El riesgo afecta la imagen de de la entidad con efecto publicitario sostenido a nivel de sector administrativo, nivel departamental o municipal</v>
      </c>
      <c r="T63" s="417" t="str">
        <f>IF(OR(S63='[3]Tabla Impacto'!$C$12,S63='[3]Tabla Impacto'!$D$12),"Leve",IF(OR(S63='[3]Tabla Impacto'!$C$13,S63='[3]Tabla Impacto'!$D$13),"Menor",IF(OR(S63='[3]Tabla Impacto'!$C$14,S63='[3]Tabla Impacto'!$D$14),"Moderado",IF(OR(S63='[3]Tabla Impacto'!$C$15,S63='[3]Tabla Impacto'!$D$15),"Mayor",IF(OR(S63='[3]Tabla Impacto'!$C$16,S63='[3]Tabla Impacto'!$D$16),"Catastrófico","")))))</f>
        <v>Mayor</v>
      </c>
      <c r="U63" s="405">
        <f>IF(T63="","",IF(T63="Leve",0.2,IF(T63="Menor",0.4,IF(T63="Moderado",0.6,IF(T63="Mayor",0.8,IF(T63="Catastrófico",1,))))))</f>
        <v>0.8</v>
      </c>
      <c r="V63" s="418" t="str">
        <f>IF(OR(AND(P63="Muy Baja",T63="Leve"),AND(P63="Muy Baja",T63="Menor"),AND(P63="Baja",T63="Leve")),"Bajo",IF(OR(AND(P63="Muy baja",T63="Moderado"),AND(P63="Baja",T63="Menor"),AND(P63="Baja",T63="Moderado"),AND(P63="Media",T63="Leve"),AND(P63="Media",T63="Menor"),AND(P63="Media",T63="Moderado"),AND(P63="Alta",T63="Leve"),AND(P63="Alta",T63="Menor")),"Moderado",IF(OR(AND(P63="Muy Baja",T63="Mayor"),AND(P63="Baja",T63="Mayor"),AND(P63="Media",T63="Mayor"),AND(P63="Alta",T63="Moderado"),AND(P63="Alta",T63="Mayor"),AND(P63="Muy Alta",T63="Leve"),AND(P63="Muy Alta",T63="Menor"),AND(P63="Muy Alta",T63="Moderado"),AND(P63="Muy Alta",T63="Mayor")),"Alto",IF(OR(AND(P63="Muy Baja",T63="Catastrófico"),AND(P63="Baja",T63="Catastrófico"),AND(P63="Media",T63="Catastrófico"),AND(P63="Alta",T63="Catastrófico"),AND(P63="Muy Alta",T63="Catastrófico")),"Extremo",""))))</f>
        <v>Alto</v>
      </c>
      <c r="W63" s="149">
        <v>1</v>
      </c>
      <c r="X63" s="182" t="s">
        <v>1167</v>
      </c>
      <c r="Y63" s="182" t="s">
        <v>37</v>
      </c>
      <c r="Z63" s="182" t="s">
        <v>1168</v>
      </c>
      <c r="AA63" s="174" t="str">
        <f t="shared" si="1"/>
        <v>Los profesionales (servidores públicos o contratistas) designados por el ordenador del gasto para la evaluación de las propuestas de acuerdo a lo establecido en el cronograma del proceso contractual  Verifica los requisitos legales durante el proceso de selección de contratistas, 
Cada vez que tenga que adelantar un proceso de selección se establece un término para que los participantes y terceros interesados presente observaciones a la evaluación de ofertas. 
Las respuestas a las observaciones son proyectadas por el comite evaluador y revisadas por el profesional de la Gerencia de Contratación antes de su publicación en SECOP</v>
      </c>
      <c r="AB63" s="126" t="str">
        <f>IF(OR(AC63="Preventivo",AC63="Detectivo"),"Probabilidad",IF(AC63="Correctivo","Impacto",""))</f>
        <v>Probabilidad</v>
      </c>
      <c r="AC63" s="127" t="s">
        <v>398</v>
      </c>
      <c r="AD63" s="127" t="s">
        <v>394</v>
      </c>
      <c r="AE63" s="128" t="str">
        <f>IF(AND(AC63="Preventivo",AD63="Automático"),"50%",IF(AND(AC63="Preventivo",AD63="Manual"),"40%",IF(AND(AC63="Detectivo",AD63="Automático"),"40%",IF(AND(AC63="Detectivo",AD63="Manual"),"30%",IF(AND(AC63="Correctivo",AD63="Automático"),"35%",IF(AND(AC63="Correctivo",AD63="Manual"),"25%",""))))))</f>
        <v>40%</v>
      </c>
      <c r="AF63" s="127" t="s">
        <v>395</v>
      </c>
      <c r="AG63" s="127" t="s">
        <v>396</v>
      </c>
      <c r="AH63" s="127" t="s">
        <v>397</v>
      </c>
      <c r="AI63" s="129">
        <f>IFERROR(IF(AB63="Probabilidad",(Q63-(+Q63*AE63)),IF(AB63="Impacto",Q63,"")),"")</f>
        <v>0.48</v>
      </c>
      <c r="AJ63" s="130" t="str">
        <f>IFERROR(IF(AI63="","",IF(AI63&lt;=0.2,"Muy Baja",IF(AI63&lt;=0.4,"Baja",IF(AI63&lt;=0.6,"Media",IF(AI63&lt;=0.8,"Alta","Muy Alta"))))),"")</f>
        <v>Media</v>
      </c>
      <c r="AK63" s="128">
        <f>+AI63</f>
        <v>0.48</v>
      </c>
      <c r="AL63" s="130" t="str">
        <f>IFERROR(IF(AM63="","",IF(AM63&lt;=0.2,"Leve",IF(AM63&lt;=0.4,"Menor",IF(AM63&lt;=0.6,"Moderado",IF(AM63&lt;=0.8,"Mayor","Catastrófico"))))),"")</f>
        <v>Mayor</v>
      </c>
      <c r="AM63" s="128">
        <f t="shared" ref="AM63" si="88">IFERROR(IF(AB63="Impacto",(U63-(+U63*AE63)),IF(AB63="Probabilidad",U63,"")),"")</f>
        <v>0.8</v>
      </c>
      <c r="AN63" s="131" t="str">
        <f>IFERROR(IF(OR(AND(AJ63="Muy Baja",AL63="Leve"),AND(AJ63="Muy Baja",AL63="Menor"),AND(AJ63="Baja",AL63="Leve")),"Bajo",IF(OR(AND(AJ63="Muy baja",AL63="Moderado"),AND(AJ63="Baja",AL63="Menor"),AND(AJ63="Baja",AL63="Moderado"),AND(AJ63="Media",AL63="Leve"),AND(AJ63="Media",AL63="Menor"),AND(AJ63="Media",AL63="Moderado"),AND(AJ63="Alta",AL63="Leve"),AND(AJ63="Alta",AL63="Menor")),"Moderado",IF(OR(AND(AJ63="Muy Baja",AL63="Mayor"),AND(AJ63="Baja",AL63="Mayor"),AND(AJ63="Media",AL63="Mayor"),AND(AJ63="Alta",AL63="Moderado"),AND(AJ63="Alta",AL63="Mayor"),AND(AJ63="Muy Alta",AL63="Leve"),AND(AJ63="Muy Alta",AL63="Menor"),AND(AJ63="Muy Alta",AL63="Moderado"),AND(AJ63="Muy Alta",AL63="Mayor")),"Alto",IF(OR(AND(AJ63="Muy Baja",AL63="Catastrófico"),AND(AJ63="Baja",AL63="Catastrófico"),AND(AJ63="Media",AL63="Catastrófico"),AND(AJ63="Alta",AL63="Catastrófico"),AND(AJ63="Muy Alta",AL63="Catastrófico")),"Extremo","")))),"")</f>
        <v>Alto</v>
      </c>
      <c r="AO63" s="377" t="s">
        <v>43</v>
      </c>
      <c r="AP63" s="125" t="s">
        <v>1169</v>
      </c>
      <c r="AQ63" s="125" t="s">
        <v>1170</v>
      </c>
      <c r="AR63" s="125" t="s">
        <v>1171</v>
      </c>
      <c r="AS63" s="335">
        <v>46022</v>
      </c>
      <c r="AT63" s="400" t="s">
        <v>1172</v>
      </c>
      <c r="AU63" s="400" t="s">
        <v>1173</v>
      </c>
      <c r="AV63" s="400" t="s">
        <v>1174</v>
      </c>
    </row>
    <row r="64" spans="1:48" ht="30" hidden="1" customHeight="1" x14ac:dyDescent="0.2">
      <c r="A64" s="398"/>
      <c r="B64" s="401"/>
      <c r="C64" s="400"/>
      <c r="D64" s="400"/>
      <c r="E64" s="403"/>
      <c r="F64" s="400"/>
      <c r="G64" s="401"/>
      <c r="H64" s="400"/>
      <c r="I64" s="403"/>
      <c r="J64" s="403"/>
      <c r="K64" s="403"/>
      <c r="L64" s="403"/>
      <c r="M64" s="403"/>
      <c r="N64" s="403"/>
      <c r="O64" s="416"/>
      <c r="P64" s="417"/>
      <c r="Q64" s="405"/>
      <c r="R64" s="406"/>
      <c r="S64" s="405">
        <f>IF(NOT(ISERROR(MATCH(R64,_xlfn.ANCHORARRAY(H69),0))),R71&amp;"Por favor no seleccionar los criterios de impacto",R64)</f>
        <v>0</v>
      </c>
      <c r="T64" s="417"/>
      <c r="U64" s="405"/>
      <c r="V64" s="418"/>
      <c r="W64" s="149">
        <v>2</v>
      </c>
      <c r="X64" s="182"/>
      <c r="Y64" s="149"/>
      <c r="Z64" s="182"/>
      <c r="AA64" s="174" t="str">
        <f t="shared" si="1"/>
        <v xml:space="preserve">  </v>
      </c>
      <c r="AB64" s="126" t="str">
        <f>IF(OR(AC64="Preventivo",AC64="Detectivo"),"Probabilidad",IF(AC64="Correctivo","Impacto",""))</f>
        <v/>
      </c>
      <c r="AC64" s="127"/>
      <c r="AD64" s="127"/>
      <c r="AE64" s="128" t="str">
        <f t="shared" ref="AE64:AE68" si="89">IF(AND(AC64="Preventivo",AD64="Automático"),"50%",IF(AND(AC64="Preventivo",AD64="Manual"),"40%",IF(AND(AC64="Detectivo",AD64="Automático"),"40%",IF(AND(AC64="Detectivo",AD64="Manual"),"30%",IF(AND(AC64="Correctivo",AD64="Automático"),"35%",IF(AND(AC64="Correctivo",AD64="Manual"),"25%",""))))))</f>
        <v/>
      </c>
      <c r="AF64" s="127"/>
      <c r="AG64" s="127"/>
      <c r="AH64" s="127"/>
      <c r="AI64" s="129" t="str">
        <f>IFERROR(IF(AND(AB63="Probabilidad",AB64="Probabilidad"),(AK63-(+AK63*AE64)),IF(AB64="Probabilidad",(Q63-(+Q63*AE64)),IF(AB64="Impacto",AK63,""))),"")</f>
        <v/>
      </c>
      <c r="AJ64" s="130" t="str">
        <f t="shared" si="3"/>
        <v/>
      </c>
      <c r="AK64" s="128" t="str">
        <f t="shared" ref="AK64:AK68" si="90">+AI64</f>
        <v/>
      </c>
      <c r="AL64" s="130" t="str">
        <f t="shared" si="5"/>
        <v/>
      </c>
      <c r="AM64" s="128" t="str">
        <f t="shared" ref="AM64" si="91">IFERROR(IF(AND(AB63="Impacto",AB64="Impacto"),(AM63-(+AM63*AE64)),IF(AB64="Impacto",($U$9-(+$U$9*AE64)),IF(AB64="Probabilidad",AM63,""))),"")</f>
        <v/>
      </c>
      <c r="AN64" s="131" t="str">
        <f t="shared" ref="AN64:AN65" si="92">IFERROR(IF(OR(AND(AJ64="Muy Baja",AL64="Leve"),AND(AJ64="Muy Baja",AL64="Menor"),AND(AJ64="Baja",AL64="Leve")),"Bajo",IF(OR(AND(AJ64="Muy baja",AL64="Moderado"),AND(AJ64="Baja",AL64="Menor"),AND(AJ64="Baja",AL64="Moderado"),AND(AJ64="Media",AL64="Leve"),AND(AJ64="Media",AL64="Menor"),AND(AJ64="Media",AL64="Moderado"),AND(AJ64="Alta",AL64="Leve"),AND(AJ64="Alta",AL64="Menor")),"Moderado",IF(OR(AND(AJ64="Muy Baja",AL64="Mayor"),AND(AJ64="Baja",AL64="Mayor"),AND(AJ64="Media",AL64="Mayor"),AND(AJ64="Alta",AL64="Moderado"),AND(AJ64="Alta",AL64="Mayor"),AND(AJ64="Muy Alta",AL64="Leve"),AND(AJ64="Muy Alta",AL64="Menor"),AND(AJ64="Muy Alta",AL64="Moderado"),AND(AJ64="Muy Alta",AL64="Mayor")),"Alto",IF(OR(AND(AJ64="Muy Baja",AL64="Catastrófico"),AND(AJ64="Baja",AL64="Catastrófico"),AND(AJ64="Media",AL64="Catastrófico"),AND(AJ64="Alta",AL64="Catastrófico"),AND(AJ64="Muy Alta",AL64="Catastrófico")),"Extremo","")))),"")</f>
        <v/>
      </c>
      <c r="AO64" s="132"/>
      <c r="AP64" s="125"/>
      <c r="AQ64" s="133"/>
      <c r="AR64" s="125"/>
      <c r="AS64" s="134"/>
      <c r="AT64" s="400"/>
      <c r="AU64" s="400"/>
      <c r="AV64" s="400"/>
    </row>
    <row r="65" spans="1:48" ht="15" hidden="1" customHeight="1" x14ac:dyDescent="0.2">
      <c r="A65" s="398"/>
      <c r="B65" s="401"/>
      <c r="C65" s="400"/>
      <c r="D65" s="400"/>
      <c r="E65" s="403"/>
      <c r="F65" s="400"/>
      <c r="G65" s="401"/>
      <c r="H65" s="400"/>
      <c r="I65" s="403"/>
      <c r="J65" s="403"/>
      <c r="K65" s="403"/>
      <c r="L65" s="403"/>
      <c r="M65" s="403"/>
      <c r="N65" s="403"/>
      <c r="O65" s="416"/>
      <c r="P65" s="417"/>
      <c r="Q65" s="405"/>
      <c r="R65" s="406"/>
      <c r="S65" s="405">
        <f>IF(NOT(ISERROR(MATCH(R65,_xlfn.ANCHORARRAY(H70),0))),R72&amp;"Por favor no seleccionar los criterios de impacto",R65)</f>
        <v>0</v>
      </c>
      <c r="T65" s="417"/>
      <c r="U65" s="405"/>
      <c r="V65" s="418"/>
      <c r="W65" s="149">
        <v>3</v>
      </c>
      <c r="X65" s="182"/>
      <c r="Y65" s="149"/>
      <c r="Z65" s="149"/>
      <c r="AA65" s="174" t="str">
        <f t="shared" si="1"/>
        <v xml:space="preserve">  </v>
      </c>
      <c r="AB65" s="126" t="str">
        <f>IF(OR(AC65="Preventivo",AC65="Detectivo"),"Probabilidad",IF(AC65="Correctivo","Impacto",""))</f>
        <v/>
      </c>
      <c r="AC65" s="127"/>
      <c r="AD65" s="127"/>
      <c r="AE65" s="128" t="str">
        <f t="shared" si="89"/>
        <v/>
      </c>
      <c r="AF65" s="127"/>
      <c r="AG65" s="127"/>
      <c r="AH65" s="127"/>
      <c r="AI65" s="129" t="str">
        <f>IFERROR(IF(AND(AB64="Probabilidad",AB65="Probabilidad"),(AK64-(+AK64*AE65)),IF(AND(AB64="Impacto",AB65="Probabilidad"),(AK63-(+AK63*AE65)),IF(AB65="Impacto",AK64,""))),"")</f>
        <v/>
      </c>
      <c r="AJ65" s="130" t="str">
        <f t="shared" si="3"/>
        <v/>
      </c>
      <c r="AK65" s="128" t="str">
        <f t="shared" si="90"/>
        <v/>
      </c>
      <c r="AL65" s="130" t="str">
        <f t="shared" si="5"/>
        <v/>
      </c>
      <c r="AM65" s="128" t="str">
        <f t="shared" ref="AM65" si="93">IFERROR(IF(AND(AB64="Impacto",AB65="Impacto"),(AM64-(+AM64*AE65)),IF(AND(AB64="Probabilidad",AB65="Impacto"),(AM63-(+AM63*AE65)),IF(AB65="Probabilidad",AM64,""))),"")</f>
        <v/>
      </c>
      <c r="AN65" s="131" t="str">
        <f t="shared" si="92"/>
        <v/>
      </c>
      <c r="AO65" s="132"/>
      <c r="AP65" s="125"/>
      <c r="AQ65" s="133"/>
      <c r="AR65" s="133"/>
      <c r="AS65" s="134"/>
      <c r="AT65" s="400"/>
      <c r="AU65" s="400"/>
      <c r="AV65" s="400"/>
    </row>
    <row r="66" spans="1:48" ht="15" hidden="1" customHeight="1" x14ac:dyDescent="0.2">
      <c r="A66" s="398"/>
      <c r="B66" s="401"/>
      <c r="C66" s="400"/>
      <c r="D66" s="400"/>
      <c r="E66" s="403"/>
      <c r="F66" s="400"/>
      <c r="G66" s="401"/>
      <c r="H66" s="400"/>
      <c r="I66" s="403"/>
      <c r="J66" s="403"/>
      <c r="K66" s="403"/>
      <c r="L66" s="403"/>
      <c r="M66" s="403"/>
      <c r="N66" s="403"/>
      <c r="O66" s="416"/>
      <c r="P66" s="417"/>
      <c r="Q66" s="405"/>
      <c r="R66" s="406"/>
      <c r="S66" s="405">
        <f>IF(NOT(ISERROR(MATCH(R66,_xlfn.ANCHORARRAY(H71),0))),R73&amp;"Por favor no seleccionar los criterios de impacto",R66)</f>
        <v>0</v>
      </c>
      <c r="T66" s="417"/>
      <c r="U66" s="405"/>
      <c r="V66" s="418"/>
      <c r="W66" s="149">
        <v>4</v>
      </c>
      <c r="X66" s="182"/>
      <c r="Y66" s="149"/>
      <c r="Z66" s="149"/>
      <c r="AA66" s="174" t="str">
        <f t="shared" si="1"/>
        <v xml:space="preserve">  </v>
      </c>
      <c r="AB66" s="126" t="str">
        <f t="shared" ref="AB66:AB68" si="94">IF(OR(AC66="Preventivo",AC66="Detectivo"),"Probabilidad",IF(AC66="Correctivo","Impacto",""))</f>
        <v/>
      </c>
      <c r="AC66" s="127"/>
      <c r="AD66" s="127"/>
      <c r="AE66" s="128" t="str">
        <f t="shared" si="89"/>
        <v/>
      </c>
      <c r="AF66" s="127"/>
      <c r="AG66" s="127"/>
      <c r="AH66" s="127"/>
      <c r="AI66" s="129" t="str">
        <f t="shared" ref="AI66:AI68" si="95">IFERROR(IF(AND(AB65="Probabilidad",AB66="Probabilidad"),(AK65-(+AK65*AE66)),IF(AND(AB65="Impacto",AB66="Probabilidad"),(AK64-(+AK64*AE66)),IF(AB66="Impacto",AK65,""))),"")</f>
        <v/>
      </c>
      <c r="AJ66" s="130" t="str">
        <f t="shared" si="3"/>
        <v/>
      </c>
      <c r="AK66" s="128" t="str">
        <f t="shared" si="90"/>
        <v/>
      </c>
      <c r="AL66" s="130" t="str">
        <f t="shared" si="5"/>
        <v/>
      </c>
      <c r="AM66" s="128" t="str">
        <f t="shared" si="15"/>
        <v/>
      </c>
      <c r="AN66" s="131" t="str">
        <f>IFERROR(IF(OR(AND(AJ66="Muy Baja",AL66="Leve"),AND(AJ66="Muy Baja",AL66="Menor"),AND(AJ66="Baja",AL66="Leve")),"Bajo",IF(OR(AND(AJ66="Muy baja",AL66="Moderado"),AND(AJ66="Baja",AL66="Menor"),AND(AJ66="Baja",AL66="Moderado"),AND(AJ66="Media",AL66="Leve"),AND(AJ66="Media",AL66="Menor"),AND(AJ66="Media",AL66="Moderado"),AND(AJ66="Alta",AL66="Leve"),AND(AJ66="Alta",AL66="Menor")),"Moderado",IF(OR(AND(AJ66="Muy Baja",AL66="Mayor"),AND(AJ66="Baja",AL66="Mayor"),AND(AJ66="Media",AL66="Mayor"),AND(AJ66="Alta",AL66="Moderado"),AND(AJ66="Alta",AL66="Mayor"),AND(AJ66="Muy Alta",AL66="Leve"),AND(AJ66="Muy Alta",AL66="Menor"),AND(AJ66="Muy Alta",AL66="Moderado"),AND(AJ66="Muy Alta",AL66="Mayor")),"Alto",IF(OR(AND(AJ66="Muy Baja",AL66="Catastrófico"),AND(AJ66="Baja",AL66="Catastrófico"),AND(AJ66="Media",AL66="Catastrófico"),AND(AJ66="Alta",AL66="Catastrófico"),AND(AJ66="Muy Alta",AL66="Catastrófico")),"Extremo","")))),"")</f>
        <v/>
      </c>
      <c r="AO66" s="132"/>
      <c r="AP66" s="125"/>
      <c r="AQ66" s="133"/>
      <c r="AR66" s="133"/>
      <c r="AS66" s="134"/>
      <c r="AT66" s="400"/>
      <c r="AU66" s="400"/>
      <c r="AV66" s="400"/>
    </row>
    <row r="67" spans="1:48" ht="15" hidden="1" customHeight="1" x14ac:dyDescent="0.2">
      <c r="A67" s="398"/>
      <c r="B67" s="401"/>
      <c r="C67" s="400"/>
      <c r="D67" s="400"/>
      <c r="E67" s="403"/>
      <c r="F67" s="400"/>
      <c r="G67" s="401"/>
      <c r="H67" s="400"/>
      <c r="I67" s="403"/>
      <c r="J67" s="403"/>
      <c r="K67" s="403"/>
      <c r="L67" s="403"/>
      <c r="M67" s="403"/>
      <c r="N67" s="403"/>
      <c r="O67" s="416"/>
      <c r="P67" s="417"/>
      <c r="Q67" s="405"/>
      <c r="R67" s="406"/>
      <c r="S67" s="405">
        <f>IF(NOT(ISERROR(MATCH(R67,_xlfn.ANCHORARRAY(H72),0))),R74&amp;"Por favor no seleccionar los criterios de impacto",R67)</f>
        <v>0</v>
      </c>
      <c r="T67" s="417"/>
      <c r="U67" s="405"/>
      <c r="V67" s="418"/>
      <c r="W67" s="149">
        <v>5</v>
      </c>
      <c r="X67" s="182"/>
      <c r="Y67" s="149"/>
      <c r="Z67" s="149"/>
      <c r="AA67" s="174" t="str">
        <f t="shared" si="1"/>
        <v xml:space="preserve">  </v>
      </c>
      <c r="AB67" s="126" t="str">
        <f t="shared" si="94"/>
        <v/>
      </c>
      <c r="AC67" s="127"/>
      <c r="AD67" s="127"/>
      <c r="AE67" s="128" t="str">
        <f t="shared" si="89"/>
        <v/>
      </c>
      <c r="AF67" s="127"/>
      <c r="AG67" s="127"/>
      <c r="AH67" s="127"/>
      <c r="AI67" s="129" t="str">
        <f t="shared" si="95"/>
        <v/>
      </c>
      <c r="AJ67" s="130" t="str">
        <f t="shared" si="3"/>
        <v/>
      </c>
      <c r="AK67" s="128" t="str">
        <f t="shared" si="90"/>
        <v/>
      </c>
      <c r="AL67" s="130" t="str">
        <f t="shared" si="5"/>
        <v/>
      </c>
      <c r="AM67" s="128" t="str">
        <f t="shared" si="15"/>
        <v/>
      </c>
      <c r="AN67" s="131" t="str">
        <f t="shared" ref="AN67:AN68" si="96">IFERROR(IF(OR(AND(AJ67="Muy Baja",AL67="Leve"),AND(AJ67="Muy Baja",AL67="Menor"),AND(AJ67="Baja",AL67="Leve")),"Bajo",IF(OR(AND(AJ67="Muy baja",AL67="Moderado"),AND(AJ67="Baja",AL67="Menor"),AND(AJ67="Baja",AL67="Moderado"),AND(AJ67="Media",AL67="Leve"),AND(AJ67="Media",AL67="Menor"),AND(AJ67="Media",AL67="Moderado"),AND(AJ67="Alta",AL67="Leve"),AND(AJ67="Alta",AL67="Menor")),"Moderado",IF(OR(AND(AJ67="Muy Baja",AL67="Mayor"),AND(AJ67="Baja",AL67="Mayor"),AND(AJ67="Media",AL67="Mayor"),AND(AJ67="Alta",AL67="Moderado"),AND(AJ67="Alta",AL67="Mayor"),AND(AJ67="Muy Alta",AL67="Leve"),AND(AJ67="Muy Alta",AL67="Menor"),AND(AJ67="Muy Alta",AL67="Moderado"),AND(AJ67="Muy Alta",AL67="Mayor")),"Alto",IF(OR(AND(AJ67="Muy Baja",AL67="Catastrófico"),AND(AJ67="Baja",AL67="Catastrófico"),AND(AJ67="Media",AL67="Catastrófico"),AND(AJ67="Alta",AL67="Catastrófico"),AND(AJ67="Muy Alta",AL67="Catastrófico")),"Extremo","")))),"")</f>
        <v/>
      </c>
      <c r="AO67" s="132"/>
      <c r="AP67" s="125"/>
      <c r="AQ67" s="133"/>
      <c r="AR67" s="133"/>
      <c r="AS67" s="134"/>
      <c r="AT67" s="400"/>
      <c r="AU67" s="400"/>
      <c r="AV67" s="400"/>
    </row>
    <row r="68" spans="1:48" ht="15" hidden="1" customHeight="1" x14ac:dyDescent="0.2">
      <c r="A68" s="398"/>
      <c r="B68" s="401"/>
      <c r="C68" s="400"/>
      <c r="D68" s="400"/>
      <c r="E68" s="404"/>
      <c r="F68" s="400"/>
      <c r="G68" s="401"/>
      <c r="H68" s="400"/>
      <c r="I68" s="404"/>
      <c r="J68" s="404"/>
      <c r="K68" s="404"/>
      <c r="L68" s="404"/>
      <c r="M68" s="404"/>
      <c r="N68" s="404"/>
      <c r="O68" s="416"/>
      <c r="P68" s="417"/>
      <c r="Q68" s="405"/>
      <c r="R68" s="406"/>
      <c r="S68" s="405">
        <f>IF(NOT(ISERROR(MATCH(R68,_xlfn.ANCHORARRAY(H73),0))),R75&amp;"Por favor no seleccionar los criterios de impacto",R68)</f>
        <v>0</v>
      </c>
      <c r="T68" s="417"/>
      <c r="U68" s="405"/>
      <c r="V68" s="418"/>
      <c r="W68" s="149">
        <v>6</v>
      </c>
      <c r="X68" s="182"/>
      <c r="Y68" s="149"/>
      <c r="Z68" s="149"/>
      <c r="AA68" s="174" t="str">
        <f t="shared" si="1"/>
        <v xml:space="preserve">  </v>
      </c>
      <c r="AB68" s="126" t="str">
        <f t="shared" si="94"/>
        <v/>
      </c>
      <c r="AC68" s="127"/>
      <c r="AD68" s="127"/>
      <c r="AE68" s="128" t="str">
        <f t="shared" si="89"/>
        <v/>
      </c>
      <c r="AF68" s="127"/>
      <c r="AG68" s="127"/>
      <c r="AH68" s="127"/>
      <c r="AI68" s="129" t="str">
        <f t="shared" si="95"/>
        <v/>
      </c>
      <c r="AJ68" s="130" t="str">
        <f t="shared" si="3"/>
        <v/>
      </c>
      <c r="AK68" s="128" t="str">
        <f t="shared" si="90"/>
        <v/>
      </c>
      <c r="AL68" s="130" t="str">
        <f t="shared" si="5"/>
        <v/>
      </c>
      <c r="AM68" s="128" t="str">
        <f t="shared" si="15"/>
        <v/>
      </c>
      <c r="AN68" s="131" t="str">
        <f t="shared" si="96"/>
        <v/>
      </c>
      <c r="AO68" s="132"/>
      <c r="AP68" s="125"/>
      <c r="AQ68" s="133"/>
      <c r="AR68" s="133"/>
      <c r="AS68" s="134"/>
      <c r="AT68" s="400"/>
      <c r="AU68" s="400"/>
      <c r="AV68" s="400"/>
    </row>
    <row r="69" spans="1:48" ht="165.75" customHeight="1" x14ac:dyDescent="0.2">
      <c r="A69" s="398">
        <v>11</v>
      </c>
      <c r="B69" s="401" t="s">
        <v>562</v>
      </c>
      <c r="C69" s="400" t="s">
        <v>32</v>
      </c>
      <c r="D69" s="400" t="s">
        <v>1205</v>
      </c>
      <c r="E69" s="402" t="s">
        <v>1206</v>
      </c>
      <c r="F69" s="400" t="s">
        <v>1207</v>
      </c>
      <c r="G69" s="401" t="str">
        <f>+CONCATENATE(C69," ",D69,E69)</f>
        <v>Posibilidad de recibir o solicitar cualquier dádiva o beneficio por vincular a un servidor público que no cumple con los requisitos de formación y experiencia acordes al Manual Específico de Funciones y de Competencias Laboralesdebido a presiones indebidas o intereses personales sin la verificación de requisitos de formación y experiencia</v>
      </c>
      <c r="H69" s="400" t="s">
        <v>85</v>
      </c>
      <c r="I69" s="402" t="s">
        <v>62</v>
      </c>
      <c r="J69" s="402" t="s">
        <v>1208</v>
      </c>
      <c r="K69" s="402" t="s">
        <v>1209</v>
      </c>
      <c r="L69" s="402" t="s">
        <v>1210</v>
      </c>
      <c r="M69" s="402" t="s">
        <v>77</v>
      </c>
      <c r="N69" s="402" t="s">
        <v>46</v>
      </c>
      <c r="O69" s="416">
        <v>20</v>
      </c>
      <c r="P69" s="417" t="str">
        <f>IF(O69&lt;=0,"",IF(O69&lt;=2,"Muy Baja",IF(O69&lt;=24,"Baja",IF(O69&lt;=500,"Media",IF(O69&lt;=5000,"Alta","Muy Alta")))))</f>
        <v>Baja</v>
      </c>
      <c r="Q69" s="405">
        <f>IF(P69="","",IF(P69="Muy Baja",0.2,IF(P69="Baja",0.4,IF(P69="Media",0.6,IF(P69="Alta",0.8,IF(P69="Muy Alta",1,))))))</f>
        <v>0.4</v>
      </c>
      <c r="R69" s="406" t="s">
        <v>428</v>
      </c>
      <c r="S69" s="405" t="str">
        <f>IF(NOT(ISERROR(MATCH(R69,'[7]Tabla Impacto'!$B$245:$B$247,0))),'[7]Tabla Impacto'!$F$224&amp;"Por favor no seleccionar los criterios de impacto(Afectación Económica o presupuestal y Pérdida Reputacional)",R69)</f>
        <v xml:space="preserve">     El riesgo afecta la imagen de la entidad con algunos usuarios de relevancia frente al logro de los objetivos</v>
      </c>
      <c r="T69" s="417" t="str">
        <f>IF(OR(S69='[7]Tabla Impacto'!$C$12,S69='[7]Tabla Impacto'!$D$12),"Leve",IF(OR(S69='[7]Tabla Impacto'!$C$13,S69='[7]Tabla Impacto'!$D$13),"Menor",IF(OR(S69='[7]Tabla Impacto'!$C$14,S69='[7]Tabla Impacto'!$D$14),"Moderado",IF(OR(S69='[7]Tabla Impacto'!$C$15,S69='[7]Tabla Impacto'!$D$15),"Mayor",IF(OR(S69='[7]Tabla Impacto'!$C$16,S69='[7]Tabla Impacto'!$D$16),"Catastrófico","")))))</f>
        <v>Moderado</v>
      </c>
      <c r="U69" s="405">
        <f>IF(T69="","",IF(T69="Leve",0.2,IF(T69="Menor",0.4,IF(T69="Moderado",0.6,IF(T69="Mayor",0.8,IF(T69="Catastrófico",1,))))))</f>
        <v>0.6</v>
      </c>
      <c r="V69" s="418" t="str">
        <f>IF(OR(AND(P69="Muy Baja",T69="Leve"),AND(P69="Muy Baja",T69="Menor"),AND(P69="Baja",T69="Leve")),"Bajo",IF(OR(AND(P69="Muy baja",T69="Moderado"),AND(P69="Baja",T69="Menor"),AND(P69="Baja",T69="Moderado"),AND(P69="Media",T69="Leve"),AND(P69="Media",T69="Menor"),AND(P69="Media",T69="Moderado"),AND(P69="Alta",T69="Leve"),AND(P69="Alta",T69="Menor")),"Moderado",IF(OR(AND(P69="Muy Baja",T69="Mayor"),AND(P69="Baja",T69="Mayor"),AND(P69="Media",T69="Mayor"),AND(P69="Alta",T69="Moderado"),AND(P69="Alta",T69="Mayor"),AND(P69="Muy Alta",T69="Leve"),AND(P69="Muy Alta",T69="Menor"),AND(P69="Muy Alta",T69="Moderado"),AND(P69="Muy Alta",T69="Mayor")),"Alto",IF(OR(AND(P69="Muy Baja",T69="Catastrófico"),AND(P69="Baja",T69="Catastrófico"),AND(P69="Media",T69="Catastrófico"),AND(P69="Alta",T69="Catastrófico"),AND(P69="Muy Alta",T69="Catastrófico")),"Extremo",""))))</f>
        <v>Moderado</v>
      </c>
      <c r="W69" s="149">
        <v>1</v>
      </c>
      <c r="X69" s="182" t="s">
        <v>1211</v>
      </c>
      <c r="Y69" s="182" t="s">
        <v>37</v>
      </c>
      <c r="Z69" s="182" t="s">
        <v>1212</v>
      </c>
      <c r="AA69" s="174" t="str">
        <f t="shared" si="1"/>
        <v>El profesional especializado o el colaborador designado del proceso de Gestión del Talento Humano Verifica cada vez que se vaya a vincular a un Servidor Público, que este cumpla con los requisitos de formación académica, experiencia laboral y certificación de antecedentes disciplinarios, fiscales y judiciales, la descripción de la verificación se registra mediante el Formato de verificación de estudio, experiencia y conocimientos- UAERMV GTHU-FM-054.
En el caso de que no se cumpla con los requisitos no se realizará el nombramiento.</v>
      </c>
      <c r="AB69" s="126" t="str">
        <f>IF(OR(AC69="Preventivo",AC69="Detectivo"),"Probabilidad",IF(AC69="Correctivo","Impacto",""))</f>
        <v>Probabilidad</v>
      </c>
      <c r="AC69" s="127" t="s">
        <v>398</v>
      </c>
      <c r="AD69" s="127" t="s">
        <v>1213</v>
      </c>
      <c r="AE69" s="128" t="str">
        <f>IF(AND(AC69="Preventivo",AD69="Automático"),"50%",IF(AND(AC69="Preventivo",AD69="Manual"),"40%",IF(AND(AC69="Detectivo",AD69="Automático"),"40%",IF(AND(AC69="Detectivo",AD69="Manual"),"30%",IF(AND(AC69="Correctivo",AD69="Automático"),"35%",IF(AND(AC69="Correctivo",AD69="Manual"),"25%",""))))))</f>
        <v>40%</v>
      </c>
      <c r="AF69" s="127" t="s">
        <v>395</v>
      </c>
      <c r="AG69" s="127" t="s">
        <v>396</v>
      </c>
      <c r="AH69" s="127" t="s">
        <v>397</v>
      </c>
      <c r="AI69" s="129">
        <f>IFERROR(IF(AB69="Probabilidad",(Q69-(+Q69*AE69)),IF(AB69="Impacto",Q69,"")),"")</f>
        <v>0.24</v>
      </c>
      <c r="AJ69" s="130" t="str">
        <f>IFERROR(IF(AI69="","",IF(AI69&lt;=0.2,"Muy Baja",IF(AI69&lt;=0.4,"Baja",IF(AI69&lt;=0.6,"Media",IF(AI69&lt;=0.8,"Alta","Muy Alta"))))),"")</f>
        <v>Baja</v>
      </c>
      <c r="AK69" s="128">
        <f>+AI69</f>
        <v>0.24</v>
      </c>
      <c r="AL69" s="130" t="str">
        <f>IFERROR(IF(AM69="","",IF(AM69&lt;=0.2,"Leve",IF(AM69&lt;=0.4,"Menor",IF(AM69&lt;=0.6,"Moderado",IF(AM69&lt;=0.8,"Mayor","Catastrófico"))))),"")</f>
        <v>Moderado</v>
      </c>
      <c r="AM69" s="128">
        <f t="shared" ref="AM69" si="97">IFERROR(IF(AB69="Impacto",(U69-(+U69*AE69)),IF(AB69="Probabilidad",U69,"")),"")</f>
        <v>0.6</v>
      </c>
      <c r="AN69" s="131" t="str">
        <f>IFERROR(IF(OR(AND(AJ69="Muy Baja",AL69="Leve"),AND(AJ69="Muy Baja",AL69="Menor"),AND(AJ69="Baja",AL69="Leve")),"Bajo",IF(OR(AND(AJ69="Muy baja",AL69="Moderado"),AND(AJ69="Baja",AL69="Menor"),AND(AJ69="Baja",AL69="Moderado"),AND(AJ69="Media",AL69="Leve"),AND(AJ69="Media",AL69="Menor"),AND(AJ69="Media",AL69="Moderado"),AND(AJ69="Alta",AL69="Leve"),AND(AJ69="Alta",AL69="Menor")),"Moderado",IF(OR(AND(AJ69="Muy Baja",AL69="Mayor"),AND(AJ69="Baja",AL69="Mayor"),AND(AJ69="Media",AL69="Mayor"),AND(AJ69="Alta",AL69="Moderado"),AND(AJ69="Alta",AL69="Mayor"),AND(AJ69="Muy Alta",AL69="Leve"),AND(AJ69="Muy Alta",AL69="Menor"),AND(AJ69="Muy Alta",AL69="Moderado"),AND(AJ69="Muy Alta",AL69="Mayor")),"Alto",IF(OR(AND(AJ69="Muy Baja",AL69="Catastrófico"),AND(AJ69="Baja",AL69="Catastrófico"),AND(AJ69="Media",AL69="Catastrófico"),AND(AJ69="Alta",AL69="Catastrófico"),AND(AJ69="Muy Alta",AL69="Catastrófico")),"Extremo","")))),"")</f>
        <v>Moderado</v>
      </c>
      <c r="AO69" s="377" t="s">
        <v>43</v>
      </c>
      <c r="AP69" s="125" t="s">
        <v>1214</v>
      </c>
      <c r="AQ69" s="125" t="s">
        <v>1215</v>
      </c>
      <c r="AR69" s="125" t="s">
        <v>1216</v>
      </c>
      <c r="AS69" s="335">
        <v>46022</v>
      </c>
      <c r="AT69" s="400" t="s">
        <v>1217</v>
      </c>
      <c r="AU69" s="400" t="s">
        <v>1218</v>
      </c>
      <c r="AV69" s="400" t="s">
        <v>791</v>
      </c>
    </row>
    <row r="70" spans="1:48" ht="30" hidden="1" customHeight="1" x14ac:dyDescent="0.2">
      <c r="A70" s="398"/>
      <c r="B70" s="401"/>
      <c r="C70" s="400"/>
      <c r="D70" s="400"/>
      <c r="E70" s="403"/>
      <c r="F70" s="400"/>
      <c r="G70" s="401"/>
      <c r="H70" s="400"/>
      <c r="I70" s="403"/>
      <c r="J70" s="403"/>
      <c r="K70" s="403"/>
      <c r="L70" s="403"/>
      <c r="M70" s="403"/>
      <c r="N70" s="403"/>
      <c r="O70" s="416"/>
      <c r="P70" s="417"/>
      <c r="Q70" s="405"/>
      <c r="R70" s="406"/>
      <c r="S70" s="405">
        <f>IF(NOT(ISERROR(MATCH(R70,_xlfn.ANCHORARRAY(G81),0))),Q83&amp;"Por favor no seleccionar los criterios de impacto",R70)</f>
        <v>0</v>
      </c>
      <c r="T70" s="417"/>
      <c r="U70" s="405"/>
      <c r="V70" s="418"/>
      <c r="W70" s="149">
        <v>2</v>
      </c>
      <c r="X70" s="182"/>
      <c r="Y70" s="149"/>
      <c r="Z70" s="182"/>
      <c r="AA70" s="174" t="str">
        <f t="shared" si="1"/>
        <v xml:space="preserve">  </v>
      </c>
      <c r="AB70" s="126" t="str">
        <f>IF(OR(AC70="Preventivo",AC70="Detectivo"),"Probabilidad",IF(AC70="Correctivo","Impacto",""))</f>
        <v/>
      </c>
      <c r="AC70" s="127"/>
      <c r="AD70" s="127"/>
      <c r="AE70" s="128" t="str">
        <f t="shared" ref="AE70:AE74" si="98">IF(AND(AC70="Preventivo",AD70="Automático"),"50%",IF(AND(AC70="Preventivo",AD70="Manual"),"40%",IF(AND(AC70="Detectivo",AD70="Automático"),"40%",IF(AND(AC70="Detectivo",AD70="Manual"),"30%",IF(AND(AC70="Correctivo",AD70="Automático"),"35%",IF(AND(AC70="Correctivo",AD70="Manual"),"25%",""))))))</f>
        <v/>
      </c>
      <c r="AF70" s="127"/>
      <c r="AG70" s="127"/>
      <c r="AH70" s="127"/>
      <c r="AI70" s="129" t="str">
        <f>IFERROR(IF(AND(AB69="Probabilidad",AB70="Probabilidad"),(AK69-(+AK69*AE70)),IF(AB70="Probabilidad",(Q69-(+Q69*AE70)),IF(AB70="Impacto",AK69,""))),"")</f>
        <v/>
      </c>
      <c r="AJ70" s="130" t="str">
        <f t="shared" ref="AJ70:AJ74" si="99">IFERROR(IF(AI70="","",IF(AI70&lt;=0.2,"Muy Baja",IF(AI70&lt;=0.4,"Baja",IF(AI70&lt;=0.6,"Media",IF(AI70&lt;=0.8,"Alta","Muy Alta"))))),"")</f>
        <v/>
      </c>
      <c r="AK70" s="128" t="str">
        <f t="shared" ref="AK70:AK74" si="100">+AI70</f>
        <v/>
      </c>
      <c r="AL70" s="130" t="str">
        <f t="shared" ref="AL70:AL74" si="101">IFERROR(IF(AM70="","",IF(AM70&lt;=0.2,"Leve",IF(AM70&lt;=0.4,"Menor",IF(AM70&lt;=0.6,"Moderado",IF(AM70&lt;=0.8,"Mayor","Catastrófico"))))),"")</f>
        <v/>
      </c>
      <c r="AM70" s="128" t="str">
        <f>IFERROR(IF(AND(AB69="Impacto",AB70="Impacto"),(AM69-(+AM69*AE70)),IF(AB70="Impacto",(#REF!-(+#REF!*AE70)),IF(AB70="Probabilidad",AM69,""))),"")</f>
        <v/>
      </c>
      <c r="AN70" s="131" t="str">
        <f t="shared" ref="AN70:AN71" si="102">IFERROR(IF(OR(AND(AJ70="Muy Baja",AL70="Leve"),AND(AJ70="Muy Baja",AL70="Menor"),AND(AJ70="Baja",AL70="Leve")),"Bajo",IF(OR(AND(AJ70="Muy baja",AL70="Moderado"),AND(AJ70="Baja",AL70="Menor"),AND(AJ70="Baja",AL70="Moderado"),AND(AJ70="Media",AL70="Leve"),AND(AJ70="Media",AL70="Menor"),AND(AJ70="Media",AL70="Moderado"),AND(AJ70="Alta",AL70="Leve"),AND(AJ70="Alta",AL70="Menor")),"Moderado",IF(OR(AND(AJ70="Muy Baja",AL70="Mayor"),AND(AJ70="Baja",AL70="Mayor"),AND(AJ70="Media",AL70="Mayor"),AND(AJ70="Alta",AL70="Moderado"),AND(AJ70="Alta",AL70="Mayor"),AND(AJ70="Muy Alta",AL70="Leve"),AND(AJ70="Muy Alta",AL70="Menor"),AND(AJ70="Muy Alta",AL70="Moderado"),AND(AJ70="Muy Alta",AL70="Mayor")),"Alto",IF(OR(AND(AJ70="Muy Baja",AL70="Catastrófico"),AND(AJ70="Baja",AL70="Catastrófico"),AND(AJ70="Media",AL70="Catastrófico"),AND(AJ70="Alta",AL70="Catastrófico"),AND(AJ70="Muy Alta",AL70="Catastrófico")),"Extremo","")))),"")</f>
        <v/>
      </c>
      <c r="AO70" s="132"/>
      <c r="AP70" s="125"/>
      <c r="AQ70" s="133"/>
      <c r="AR70" s="125"/>
      <c r="AS70" s="134"/>
      <c r="AT70" s="400"/>
      <c r="AU70" s="400"/>
      <c r="AV70" s="400"/>
    </row>
    <row r="71" spans="1:48" ht="15" hidden="1" customHeight="1" x14ac:dyDescent="0.2">
      <c r="A71" s="398"/>
      <c r="B71" s="401"/>
      <c r="C71" s="400"/>
      <c r="D71" s="400"/>
      <c r="E71" s="403"/>
      <c r="F71" s="400"/>
      <c r="G71" s="401"/>
      <c r="H71" s="400"/>
      <c r="I71" s="403"/>
      <c r="J71" s="403"/>
      <c r="K71" s="403"/>
      <c r="L71" s="403"/>
      <c r="M71" s="403"/>
      <c r="N71" s="403"/>
      <c r="O71" s="416"/>
      <c r="P71" s="417"/>
      <c r="Q71" s="405"/>
      <c r="R71" s="406"/>
      <c r="S71" s="405">
        <f>IF(NOT(ISERROR(MATCH(R71,_xlfn.ANCHORARRAY(G82),0))),Q84&amp;"Por favor no seleccionar los criterios de impacto",R71)</f>
        <v>0</v>
      </c>
      <c r="T71" s="417"/>
      <c r="U71" s="405"/>
      <c r="V71" s="418"/>
      <c r="W71" s="149">
        <v>3</v>
      </c>
      <c r="X71" s="182"/>
      <c r="Y71" s="149"/>
      <c r="Z71" s="149"/>
      <c r="AA71" s="174" t="str">
        <f t="shared" si="1"/>
        <v xml:space="preserve">  </v>
      </c>
      <c r="AB71" s="126" t="str">
        <f>IF(OR(AC71="Preventivo",AC71="Detectivo"),"Probabilidad",IF(AC71="Correctivo","Impacto",""))</f>
        <v/>
      </c>
      <c r="AC71" s="127"/>
      <c r="AD71" s="127"/>
      <c r="AE71" s="128" t="str">
        <f t="shared" si="98"/>
        <v/>
      </c>
      <c r="AF71" s="127"/>
      <c r="AG71" s="127"/>
      <c r="AH71" s="127"/>
      <c r="AI71" s="129" t="str">
        <f>IFERROR(IF(AND(AB70="Probabilidad",AB71="Probabilidad"),(AK70-(+AK70*AE71)),IF(AND(AB70="Impacto",AB71="Probabilidad"),(AK69-(+AK69*AE71)),IF(AB71="Impacto",AK70,""))),"")</f>
        <v/>
      </c>
      <c r="AJ71" s="130" t="str">
        <f t="shared" si="99"/>
        <v/>
      </c>
      <c r="AK71" s="128" t="str">
        <f t="shared" si="100"/>
        <v/>
      </c>
      <c r="AL71" s="130" t="str">
        <f t="shared" si="101"/>
        <v/>
      </c>
      <c r="AM71" s="128" t="str">
        <f t="shared" ref="AM71:AM74" si="103">IFERROR(IF(AND(AB70="Impacto",AB71="Impacto"),(AM70-(+AM70*AE71)),IF(AND(AB70="Probabilidad",AB71="Impacto"),(AM69-(+AM69*AE71)),IF(AB71="Probabilidad",AM70,""))),"")</f>
        <v/>
      </c>
      <c r="AN71" s="131" t="str">
        <f t="shared" si="102"/>
        <v/>
      </c>
      <c r="AO71" s="132"/>
      <c r="AP71" s="125"/>
      <c r="AQ71" s="133"/>
      <c r="AR71" s="133"/>
      <c r="AS71" s="134"/>
      <c r="AT71" s="400"/>
      <c r="AU71" s="400"/>
      <c r="AV71" s="400"/>
    </row>
    <row r="72" spans="1:48" ht="15" hidden="1" customHeight="1" x14ac:dyDescent="0.2">
      <c r="A72" s="398"/>
      <c r="B72" s="401"/>
      <c r="C72" s="400"/>
      <c r="D72" s="400"/>
      <c r="E72" s="403"/>
      <c r="F72" s="400"/>
      <c r="G72" s="401"/>
      <c r="H72" s="400"/>
      <c r="I72" s="403"/>
      <c r="J72" s="403"/>
      <c r="K72" s="403"/>
      <c r="L72" s="403"/>
      <c r="M72" s="403"/>
      <c r="N72" s="403"/>
      <c r="O72" s="416"/>
      <c r="P72" s="417"/>
      <c r="Q72" s="405"/>
      <c r="R72" s="406"/>
      <c r="S72" s="405">
        <f>IF(NOT(ISERROR(MATCH(R72,_xlfn.ANCHORARRAY(G83),0))),Q85&amp;"Por favor no seleccionar los criterios de impacto",R72)</f>
        <v>0</v>
      </c>
      <c r="T72" s="417"/>
      <c r="U72" s="405"/>
      <c r="V72" s="418"/>
      <c r="W72" s="149">
        <v>4</v>
      </c>
      <c r="X72" s="182"/>
      <c r="Y72" s="149"/>
      <c r="Z72" s="149"/>
      <c r="AA72" s="174" t="str">
        <f t="shared" si="1"/>
        <v xml:space="preserve">  </v>
      </c>
      <c r="AB72" s="126" t="str">
        <f t="shared" ref="AB72:AB80" si="104">IF(OR(AC72="Preventivo",AC72="Detectivo"),"Probabilidad",IF(AC72="Correctivo","Impacto",""))</f>
        <v/>
      </c>
      <c r="AC72" s="127"/>
      <c r="AD72" s="127"/>
      <c r="AE72" s="128" t="str">
        <f t="shared" si="98"/>
        <v/>
      </c>
      <c r="AF72" s="127"/>
      <c r="AG72" s="127"/>
      <c r="AH72" s="127"/>
      <c r="AI72" s="129" t="str">
        <f t="shared" ref="AI72:AI74" si="105">IFERROR(IF(AND(AB71="Probabilidad",AB72="Probabilidad"),(AK71-(+AK71*AE72)),IF(AND(AB71="Impacto",AB72="Probabilidad"),(AK70-(+AK70*AE72)),IF(AB72="Impacto",AK71,""))),"")</f>
        <v/>
      </c>
      <c r="AJ72" s="130" t="str">
        <f t="shared" si="99"/>
        <v/>
      </c>
      <c r="AK72" s="128" t="str">
        <f t="shared" si="100"/>
        <v/>
      </c>
      <c r="AL72" s="130" t="str">
        <f t="shared" si="101"/>
        <v/>
      </c>
      <c r="AM72" s="128" t="str">
        <f t="shared" si="103"/>
        <v/>
      </c>
      <c r="AN72" s="131" t="str">
        <f>IFERROR(IF(OR(AND(AJ72="Muy Baja",AL72="Leve"),AND(AJ72="Muy Baja",AL72="Menor"),AND(AJ72="Baja",AL72="Leve")),"Bajo",IF(OR(AND(AJ72="Muy baja",AL72="Moderado"),AND(AJ72="Baja",AL72="Menor"),AND(AJ72="Baja",AL72="Moderado"),AND(AJ72="Media",AL72="Leve"),AND(AJ72="Media",AL72="Menor"),AND(AJ72="Media",AL72="Moderado"),AND(AJ72="Alta",AL72="Leve"),AND(AJ72="Alta",AL72="Menor")),"Moderado",IF(OR(AND(AJ72="Muy Baja",AL72="Mayor"),AND(AJ72="Baja",AL72="Mayor"),AND(AJ72="Media",AL72="Mayor"),AND(AJ72="Alta",AL72="Moderado"),AND(AJ72="Alta",AL72="Mayor"),AND(AJ72="Muy Alta",AL72="Leve"),AND(AJ72="Muy Alta",AL72="Menor"),AND(AJ72="Muy Alta",AL72="Moderado"),AND(AJ72="Muy Alta",AL72="Mayor")),"Alto",IF(OR(AND(AJ72="Muy Baja",AL72="Catastrófico"),AND(AJ72="Baja",AL72="Catastrófico"),AND(AJ72="Media",AL72="Catastrófico"),AND(AJ72="Alta",AL72="Catastrófico"),AND(AJ72="Muy Alta",AL72="Catastrófico")),"Extremo","")))),"")</f>
        <v/>
      </c>
      <c r="AO72" s="132"/>
      <c r="AP72" s="125"/>
      <c r="AQ72" s="133"/>
      <c r="AR72" s="133"/>
      <c r="AS72" s="134"/>
      <c r="AT72" s="400"/>
      <c r="AU72" s="400"/>
      <c r="AV72" s="400"/>
    </row>
    <row r="73" spans="1:48" ht="15" hidden="1" customHeight="1" x14ac:dyDescent="0.2">
      <c r="A73" s="398"/>
      <c r="B73" s="401"/>
      <c r="C73" s="400"/>
      <c r="D73" s="400"/>
      <c r="E73" s="403"/>
      <c r="F73" s="400"/>
      <c r="G73" s="401"/>
      <c r="H73" s="400"/>
      <c r="I73" s="403"/>
      <c r="J73" s="403"/>
      <c r="K73" s="403"/>
      <c r="L73" s="403"/>
      <c r="M73" s="403"/>
      <c r="N73" s="403"/>
      <c r="O73" s="416"/>
      <c r="P73" s="417"/>
      <c r="Q73" s="405"/>
      <c r="R73" s="406"/>
      <c r="S73" s="405">
        <f>IF(NOT(ISERROR(MATCH(R73,_xlfn.ANCHORARRAY(G84),0))),Q86&amp;"Por favor no seleccionar los criterios de impacto",R73)</f>
        <v>0</v>
      </c>
      <c r="T73" s="417"/>
      <c r="U73" s="405"/>
      <c r="V73" s="418"/>
      <c r="W73" s="149">
        <v>5</v>
      </c>
      <c r="X73" s="182"/>
      <c r="Y73" s="149"/>
      <c r="Z73" s="149"/>
      <c r="AA73" s="174" t="str">
        <f t="shared" si="1"/>
        <v xml:space="preserve">  </v>
      </c>
      <c r="AB73" s="126" t="str">
        <f t="shared" si="104"/>
        <v/>
      </c>
      <c r="AC73" s="127"/>
      <c r="AD73" s="127"/>
      <c r="AE73" s="128" t="str">
        <f t="shared" si="98"/>
        <v/>
      </c>
      <c r="AF73" s="127"/>
      <c r="AG73" s="127"/>
      <c r="AH73" s="127"/>
      <c r="AI73" s="129" t="str">
        <f t="shared" si="105"/>
        <v/>
      </c>
      <c r="AJ73" s="130" t="str">
        <f t="shared" si="99"/>
        <v/>
      </c>
      <c r="AK73" s="128" t="str">
        <f t="shared" si="100"/>
        <v/>
      </c>
      <c r="AL73" s="130" t="str">
        <f t="shared" si="101"/>
        <v/>
      </c>
      <c r="AM73" s="128" t="str">
        <f t="shared" si="103"/>
        <v/>
      </c>
      <c r="AN73" s="131" t="str">
        <f t="shared" ref="AN73:AN74" si="106">IFERROR(IF(OR(AND(AJ73="Muy Baja",AL73="Leve"),AND(AJ73="Muy Baja",AL73="Menor"),AND(AJ73="Baja",AL73="Leve")),"Bajo",IF(OR(AND(AJ73="Muy baja",AL73="Moderado"),AND(AJ73="Baja",AL73="Menor"),AND(AJ73="Baja",AL73="Moderado"),AND(AJ73="Media",AL73="Leve"),AND(AJ73="Media",AL73="Menor"),AND(AJ73="Media",AL73="Moderado"),AND(AJ73="Alta",AL73="Leve"),AND(AJ73="Alta",AL73="Menor")),"Moderado",IF(OR(AND(AJ73="Muy Baja",AL73="Mayor"),AND(AJ73="Baja",AL73="Mayor"),AND(AJ73="Media",AL73="Mayor"),AND(AJ73="Alta",AL73="Moderado"),AND(AJ73="Alta",AL73="Mayor"),AND(AJ73="Muy Alta",AL73="Leve"),AND(AJ73="Muy Alta",AL73="Menor"),AND(AJ73="Muy Alta",AL73="Moderado"),AND(AJ73="Muy Alta",AL73="Mayor")),"Alto",IF(OR(AND(AJ73="Muy Baja",AL73="Catastrófico"),AND(AJ73="Baja",AL73="Catastrófico"),AND(AJ73="Media",AL73="Catastrófico"),AND(AJ73="Alta",AL73="Catastrófico"),AND(AJ73="Muy Alta",AL73="Catastrófico")),"Extremo","")))),"")</f>
        <v/>
      </c>
      <c r="AO73" s="132"/>
      <c r="AP73" s="125"/>
      <c r="AQ73" s="133"/>
      <c r="AR73" s="133"/>
      <c r="AS73" s="134"/>
      <c r="AT73" s="400"/>
      <c r="AU73" s="400"/>
      <c r="AV73" s="400"/>
    </row>
    <row r="74" spans="1:48" ht="15" hidden="1" customHeight="1" x14ac:dyDescent="0.2">
      <c r="A74" s="398"/>
      <c r="B74" s="401"/>
      <c r="C74" s="400"/>
      <c r="D74" s="400"/>
      <c r="E74" s="404"/>
      <c r="F74" s="400"/>
      <c r="G74" s="401"/>
      <c r="H74" s="400"/>
      <c r="I74" s="404"/>
      <c r="J74" s="404"/>
      <c r="K74" s="404"/>
      <c r="L74" s="404"/>
      <c r="M74" s="404"/>
      <c r="N74" s="404"/>
      <c r="O74" s="416"/>
      <c r="P74" s="417"/>
      <c r="Q74" s="405"/>
      <c r="R74" s="406"/>
      <c r="S74" s="405">
        <f>IF(NOT(ISERROR(MATCH(R74,_xlfn.ANCHORARRAY(G85),0))),R87&amp;"Por favor no seleccionar los criterios de impacto",R74)</f>
        <v>0</v>
      </c>
      <c r="T74" s="417"/>
      <c r="U74" s="405"/>
      <c r="V74" s="418"/>
      <c r="W74" s="149">
        <v>6</v>
      </c>
      <c r="X74" s="182"/>
      <c r="Y74" s="149"/>
      <c r="Z74" s="149"/>
      <c r="AA74" s="174" t="str">
        <f t="shared" ref="AA74" si="107">+CONCATENATE(X74," ",Y74," ",Z74)</f>
        <v xml:space="preserve">  </v>
      </c>
      <c r="AB74" s="126" t="str">
        <f t="shared" si="104"/>
        <v/>
      </c>
      <c r="AC74" s="127"/>
      <c r="AD74" s="127"/>
      <c r="AE74" s="128" t="str">
        <f t="shared" si="98"/>
        <v/>
      </c>
      <c r="AF74" s="127"/>
      <c r="AG74" s="127"/>
      <c r="AH74" s="127"/>
      <c r="AI74" s="129" t="str">
        <f t="shared" si="105"/>
        <v/>
      </c>
      <c r="AJ74" s="130" t="str">
        <f t="shared" si="99"/>
        <v/>
      </c>
      <c r="AK74" s="128" t="str">
        <f t="shared" si="100"/>
        <v/>
      </c>
      <c r="AL74" s="130" t="str">
        <f t="shared" si="101"/>
        <v/>
      </c>
      <c r="AM74" s="128" t="str">
        <f t="shared" si="103"/>
        <v/>
      </c>
      <c r="AN74" s="131" t="str">
        <f t="shared" si="106"/>
        <v/>
      </c>
      <c r="AO74" s="132"/>
      <c r="AP74" s="125"/>
      <c r="AQ74" s="133"/>
      <c r="AR74" s="133"/>
      <c r="AS74" s="134"/>
      <c r="AT74" s="400"/>
      <c r="AU74" s="400"/>
      <c r="AV74" s="400"/>
    </row>
    <row r="75" spans="1:48" ht="117.75" customHeight="1" x14ac:dyDescent="0.2">
      <c r="A75" s="398">
        <v>12</v>
      </c>
      <c r="B75" s="401" t="s">
        <v>563</v>
      </c>
      <c r="C75" s="400" t="s">
        <v>32</v>
      </c>
      <c r="D75" s="400" t="s">
        <v>1341</v>
      </c>
      <c r="E75" s="402" t="s">
        <v>1342</v>
      </c>
      <c r="F75" s="400"/>
      <c r="G75" s="401" t="str">
        <f>+CONCATENATE(C75," ",D75)</f>
        <v xml:space="preserve">Posibilidad de recibir o solicitar cualquier dádiva o beneficio por  manipulación de expedientes disciplinarios fuera del termino legal o emitiéndo decisiones contrarias a la normatividad vigente, por parte del servidor(a) y/o contratista encargado de sustanciar o por parte de los encargados de revisar y aprobar </v>
      </c>
      <c r="H75" s="400" t="s">
        <v>85</v>
      </c>
      <c r="I75" s="402" t="s">
        <v>62</v>
      </c>
      <c r="J75" s="402" t="s">
        <v>1343</v>
      </c>
      <c r="K75" s="402" t="s">
        <v>1344</v>
      </c>
      <c r="L75" s="402" t="s">
        <v>1345</v>
      </c>
      <c r="M75" s="402" t="s">
        <v>55</v>
      </c>
      <c r="N75" s="402" t="s">
        <v>55</v>
      </c>
      <c r="O75" s="416">
        <v>60</v>
      </c>
      <c r="P75" s="417" t="str">
        <f>IF(O75&lt;=0,"",IF(O75&lt;=2,"Muy Baja",IF(O75&lt;=24,"Baja",IF(O75&lt;=500,"Media",IF(O75&lt;=5000,"Alta","Muy Alta")))))</f>
        <v>Media</v>
      </c>
      <c r="Q75" s="405">
        <f>IF(P75="","",IF(P75="Muy Baja",0.2,IF(P75="Baja",0.4,IF(P75="Media",0.6,IF(P75="Alta",0.8,IF(P75="Muy Alta",1,))))))</f>
        <v>0.6</v>
      </c>
      <c r="R75" s="406" t="s">
        <v>428</v>
      </c>
      <c r="S75" s="405" t="str">
        <f>IF(NOT(ISERROR(MATCH(R75,'[8]Tabla Impacto'!$B$245:$B$247,0))),'[8]Tabla Impacto'!$F$224&amp;"Por favor no seleccionar los criterios de impacto(Afectación Económica o presupuestal y Pérdida Reputacional)",R75)</f>
        <v xml:space="preserve">     El riesgo afecta la imagen de la entidad con algunos usuarios de relevancia frente al logro de los objetivos</v>
      </c>
      <c r="T75" s="417" t="str">
        <f>IF(OR(S75='[8]Tabla Impacto'!$C$12,S75='[8]Tabla Impacto'!$D$12),"Leve",IF(OR(S75='[8]Tabla Impacto'!$C$13,S75='[8]Tabla Impacto'!$D$13),"Menor",IF(OR(S75='[8]Tabla Impacto'!$C$14,S75='[8]Tabla Impacto'!$D$14),"Moderado",IF(OR(S75='[8]Tabla Impacto'!$C$15,S75='[8]Tabla Impacto'!$D$15),"Mayor",IF(OR(S75='[8]Tabla Impacto'!$C$16,S75='[8]Tabla Impacto'!$D$16),"Catastrófico","")))))</f>
        <v>Moderado</v>
      </c>
      <c r="U75" s="405">
        <f>IF(T75="","",IF(T75="Leve",0.2,IF(T75="Menor",0.4,IF(T75="Moderado",0.6,IF(T75="Mayor",0.8,IF(T75="Catastrófico",1,))))))</f>
        <v>0.6</v>
      </c>
      <c r="V75" s="418" t="str">
        <f>IF(OR(AND(P75="Muy Baja",T75="Leve"),AND(P75="Muy Baja",T75="Menor"),AND(P75="Baja",T75="Leve")),"Bajo",IF(OR(AND(P75="Muy baja",T75="Moderado"),AND(P75="Baja",T75="Menor"),AND(P75="Baja",T75="Moderado"),AND(P75="Media",T75="Leve"),AND(P75="Media",T75="Menor"),AND(P75="Media",T75="Moderado"),AND(P75="Alta",T75="Leve"),AND(P75="Alta",T75="Menor")),"Moderado",IF(OR(AND(P75="Muy Baja",T75="Mayor"),AND(P75="Baja",T75="Mayor"),AND(P75="Media",T75="Mayor"),AND(P75="Alta",T75="Moderado"),AND(P75="Alta",T75="Mayor"),AND(P75="Muy Alta",T75="Leve"),AND(P75="Muy Alta",T75="Menor"),AND(P75="Muy Alta",T75="Moderado"),AND(P75="Muy Alta",T75="Mayor")),"Alto",IF(OR(AND(P75="Muy Baja",T75="Catastrófico"),AND(P75="Baja",T75="Catastrófico"),AND(P75="Media",T75="Catastrófico"),AND(P75="Alta",T75="Catastrófico"),AND(P75="Muy Alta",T75="Catastrófico")),"Extremo",""))))</f>
        <v>Moderado</v>
      </c>
      <c r="W75" s="149">
        <v>1</v>
      </c>
      <c r="X75" s="182" t="s">
        <v>1346</v>
      </c>
      <c r="Y75" s="182" t="s">
        <v>37</v>
      </c>
      <c r="Z75" s="182" t="s">
        <v>1347</v>
      </c>
      <c r="AA75" s="174" t="str">
        <f>+CONCATENATE(X75," ",Y75," ",Z75)</f>
        <v>Jefe CODI Verifica  En reunión mensual, con los servidores públicos y contratistas de la Oficina, se verifican los permisos de acceso a OneDrive, que contiene la información disciplinaria de la Oficina.
Como evidencia: las actas de reunión firmadas con las autorizaciones para los accesos al OneDrive.
Si se evidencia el acceso a OneDrive de personal diferentes a las autorizadas, se procede a informar a través del correo institucional: mesadeayuda@umv.gov.co para que se investigue los movimientos o el uso dado a la información del proceso disciplinario, para realizar las acciones a que haya lugar dejando constancia en acta de reunión.</v>
      </c>
      <c r="AB75" s="126" t="str">
        <f t="shared" si="104"/>
        <v>Probabilidad</v>
      </c>
      <c r="AC75" s="127" t="s">
        <v>398</v>
      </c>
      <c r="AD75" s="127" t="s">
        <v>394</v>
      </c>
      <c r="AE75" s="128" t="str">
        <f>IF(AND(AC75="Preventivo",AD75="Automático"),"50%",IF(AND(AC75="Preventivo",AD75="Manual"),"40%",IF(AND(AC75="Detectivo",AD75="Automático"),"40%",IF(AND(AC75="Detectivo",AD75="Manual"),"30%",IF(AND(AC75="Correctivo",AD75="Automático"),"35%",IF(AND(AC75="Correctivo",AD75="Manual"),"25%",""))))))</f>
        <v>40%</v>
      </c>
      <c r="AF75" s="127" t="s">
        <v>395</v>
      </c>
      <c r="AG75" s="127" t="s">
        <v>396</v>
      </c>
      <c r="AH75" s="127" t="s">
        <v>397</v>
      </c>
      <c r="AI75" s="129">
        <f>IFERROR(IF(AB75="Probabilidad",(Q75-(+Q75*AE75)),IF(AB75="Impacto",Q75,"")),"")</f>
        <v>0.36</v>
      </c>
      <c r="AJ75" s="130" t="str">
        <f>IFERROR(IF(AI75="","",IF(AI75&lt;=0.2,"Muy Baja",IF(AI75&lt;=0.4,"Baja",IF(AI75&lt;=0.6,"Media",IF(AI75&lt;=0.8,"Alta","Muy Alta"))))),"")</f>
        <v>Baja</v>
      </c>
      <c r="AK75" s="128">
        <f>+AI75</f>
        <v>0.36</v>
      </c>
      <c r="AL75" s="130" t="str">
        <f>IFERROR(IF(AM75="","",IF(AM75&lt;=0.2,"Leve",IF(AM75&lt;=0.4,"Menor",IF(AM75&lt;=0.6,"Moderado",IF(AM75&lt;=0.8,"Mayor","Catastrófico"))))),"")</f>
        <v>Moderado</v>
      </c>
      <c r="AM75" s="128">
        <f>IFERROR(IF(AB75="Impacto",(U75-(+U75*AE75)),IF(AB75="Probabilidad",U75,"")),"")</f>
        <v>0.6</v>
      </c>
      <c r="AN75" s="131" t="str">
        <f>IFERROR(IF(OR(AND(AJ75="Muy Baja",AL75="Leve"),AND(AJ75="Muy Baja",AL75="Menor"),AND(AJ75="Baja",AL75="Leve")),"Bajo",IF(OR(AND(AJ75="Muy baja",AL75="Moderado"),AND(AJ75="Baja",AL75="Menor"),AND(AJ75="Baja",AL75="Moderado"),AND(AJ75="Media",AL75="Leve"),AND(AJ75="Media",AL75="Menor"),AND(AJ75="Media",AL75="Moderado"),AND(AJ75="Alta",AL75="Leve"),AND(AJ75="Alta",AL75="Menor")),"Moderado",IF(OR(AND(AJ75="Muy Baja",AL75="Mayor"),AND(AJ75="Baja",AL75="Mayor"),AND(AJ75="Media",AL75="Mayor"),AND(AJ75="Alta",AL75="Moderado"),AND(AJ75="Alta",AL75="Mayor"),AND(AJ75="Muy Alta",AL75="Leve"),AND(AJ75="Muy Alta",AL75="Menor"),AND(AJ75="Muy Alta",AL75="Moderado"),AND(AJ75="Muy Alta",AL75="Mayor")),"Alto",IF(OR(AND(AJ75="Muy Baja",AL75="Catastrófico"),AND(AJ75="Baja",AL75="Catastrófico"),AND(AJ75="Media",AL75="Catastrófico"),AND(AJ75="Alta",AL75="Catastrófico"),AND(AJ75="Muy Alta",AL75="Catastrófico")),"Extremo","")))),"")</f>
        <v>Moderado</v>
      </c>
      <c r="AO75" s="377" t="s">
        <v>43</v>
      </c>
      <c r="AP75" s="125" t="s">
        <v>1348</v>
      </c>
      <c r="AQ75" s="125" t="s">
        <v>1346</v>
      </c>
      <c r="AR75" s="125" t="s">
        <v>1349</v>
      </c>
      <c r="AS75" s="335">
        <v>45656</v>
      </c>
      <c r="AT75" s="400" t="s">
        <v>1350</v>
      </c>
      <c r="AU75" s="400" t="s">
        <v>1351</v>
      </c>
      <c r="AV75" s="400" t="s">
        <v>1346</v>
      </c>
    </row>
    <row r="76" spans="1:48" ht="117.75" customHeight="1" x14ac:dyDescent="0.2">
      <c r="A76" s="398"/>
      <c r="B76" s="401"/>
      <c r="C76" s="400"/>
      <c r="D76" s="400"/>
      <c r="E76" s="403"/>
      <c r="F76" s="400"/>
      <c r="G76" s="401"/>
      <c r="H76" s="400"/>
      <c r="I76" s="403"/>
      <c r="J76" s="403"/>
      <c r="K76" s="403"/>
      <c r="L76" s="403"/>
      <c r="M76" s="403"/>
      <c r="N76" s="403"/>
      <c r="O76" s="416"/>
      <c r="P76" s="417"/>
      <c r="Q76" s="405"/>
      <c r="R76" s="406"/>
      <c r="S76" s="405">
        <f>IF(NOT(ISERROR(MATCH(R76,_xlfn.ANCHORARRAY(G87),0))),Q89&amp;"Por favor no seleccionar los criterios de impacto",R76)</f>
        <v>0</v>
      </c>
      <c r="T76" s="417"/>
      <c r="U76" s="405"/>
      <c r="V76" s="418"/>
      <c r="W76" s="149">
        <v>2</v>
      </c>
      <c r="X76" s="182" t="s">
        <v>1346</v>
      </c>
      <c r="Y76" s="149" t="s">
        <v>37</v>
      </c>
      <c r="Z76" s="182" t="s">
        <v>1352</v>
      </c>
      <c r="AA76" s="174" t="str">
        <f t="shared" ref="AA76:AA96" si="108">+CONCATENATE(X76," ",Y76," ",Z76)</f>
        <v xml:space="preserve">Jefe CODI Verifica  en reunión mensual, con los servidores públicos y contratistas de la dependencia, que el contenido de la información del expediente físico de cada proceso disciplinario sea el mismo que se ha registrado en la “BASE DE DATOS DISCIPLINARIOS-LEY 2094 DE 2021”
Como evidencia: las actas de reunión firmadas en las que conste la verificación de la coincidencia del expediente físico con los registros y que efectivamente se dio impulso a los expedientes de acuerdo con lo consignado en la reunión anterior.
Si se identifican inconsistencias que evidencien faltantes, sobrantes o alteraciones tanto de los registros físicos de los expedientes o en los registros de la “BASE DE DATOS DISCIPLINARIOS-LEY 2094 DE 2021”, se investiga al posible implicado en la manipulación de información y posteriormente se subsana la inconsistencia del expediente disciplinario, dejando constancia en acta de reunión
</v>
      </c>
      <c r="AB76" s="126" t="str">
        <f t="shared" si="104"/>
        <v>Probabilidad</v>
      </c>
      <c r="AC76" s="127" t="s">
        <v>398</v>
      </c>
      <c r="AD76" s="127" t="s">
        <v>394</v>
      </c>
      <c r="AE76" s="128" t="str">
        <f t="shared" ref="AE76:AE80" si="109">IF(AND(AC76="Preventivo",AD76="Automático"),"50%",IF(AND(AC76="Preventivo",AD76="Manual"),"40%",IF(AND(AC76="Detectivo",AD76="Automático"),"40%",IF(AND(AC76="Detectivo",AD76="Manual"),"30%",IF(AND(AC76="Correctivo",AD76="Automático"),"35%",IF(AND(AC76="Correctivo",AD76="Manual"),"25%",""))))))</f>
        <v>40%</v>
      </c>
      <c r="AF76" s="127" t="s">
        <v>395</v>
      </c>
      <c r="AG76" s="127" t="s">
        <v>396</v>
      </c>
      <c r="AH76" s="127" t="s">
        <v>397</v>
      </c>
      <c r="AI76" s="129">
        <f>IFERROR(IF(AND(AB75="Probabilidad",AB76="Probabilidad"),(AK75-(+AK75*AE76)),IF(AB76="Probabilidad",(Q75-(+Q75*AE76)),IF(AB76="Impacto",AK75,""))),"")</f>
        <v>0.216</v>
      </c>
      <c r="AJ76" s="130" t="str">
        <f t="shared" ref="AJ76:AJ80" si="110">IFERROR(IF(AI76="","",IF(AI76&lt;=0.2,"Muy Baja",IF(AI76&lt;=0.4,"Baja",IF(AI76&lt;=0.6,"Media",IF(AI76&lt;=0.8,"Alta","Muy Alta"))))),"")</f>
        <v>Baja</v>
      </c>
      <c r="AK76" s="128">
        <f t="shared" ref="AK76:AK80" si="111">+AI76</f>
        <v>0.216</v>
      </c>
      <c r="AL76" s="130" t="str">
        <f t="shared" ref="AL76:AL80" si="112">IFERROR(IF(AM76="","",IF(AM76&lt;=0.2,"Leve",IF(AM76&lt;=0.4,"Menor",IF(AM76&lt;=0.6,"Moderado",IF(AM76&lt;=0.8,"Mayor","Catastrófico"))))),"")</f>
        <v>Moderado</v>
      </c>
      <c r="AM76" s="128">
        <f>IFERROR(IF(AND(AB75="Impacto",AB76="Impacto"),(AM75-(+AM75*AE76)),IF(AB76="Impacto",($T$13-(+$T$13*AE76)),IF(AB76="Probabilidad",AM75,""))),"")</f>
        <v>0.6</v>
      </c>
      <c r="AN76" s="131" t="str">
        <f t="shared" ref="AN76:AN80" si="113">IFERROR(IF(OR(AND(AJ76="Muy Baja",AL76="Leve"),AND(AJ76="Muy Baja",AL76="Menor"),AND(AJ76="Baja",AL76="Leve")),"Bajo",IF(OR(AND(AJ76="Muy baja",AL76="Moderado"),AND(AJ76="Baja",AL76="Menor"),AND(AJ76="Baja",AL76="Moderado"),AND(AJ76="Media",AL76="Leve"),AND(AJ76="Media",AL76="Menor"),AND(AJ76="Media",AL76="Moderado"),AND(AJ76="Alta",AL76="Leve"),AND(AJ76="Alta",AL76="Menor")),"Moderado",IF(OR(AND(AJ76="Muy Baja",AL76="Mayor"),AND(AJ76="Baja",AL76="Mayor"),AND(AJ76="Media",AL76="Mayor"),AND(AJ76="Alta",AL76="Moderado"),AND(AJ76="Alta",AL76="Mayor"),AND(AJ76="Muy Alta",AL76="Leve"),AND(AJ76="Muy Alta",AL76="Menor"),AND(AJ76="Muy Alta",AL76="Moderado"),AND(AJ76="Muy Alta",AL76="Mayor")),"Alto",IF(OR(AND(AJ76="Muy Baja",AL76="Catastrófico"),AND(AJ76="Baja",AL76="Catastrófico"),AND(AJ76="Media",AL76="Catastrófico"),AND(AJ76="Alta",AL76="Catastrófico"),AND(AJ76="Muy Alta",AL76="Catastrófico")),"Extremo","")))),"")</f>
        <v>Moderado</v>
      </c>
      <c r="AO76" s="132" t="s">
        <v>43</v>
      </c>
      <c r="AP76" s="125"/>
      <c r="AQ76" s="133"/>
      <c r="AR76" s="125"/>
      <c r="AS76" s="134"/>
      <c r="AT76" s="400"/>
      <c r="AU76" s="400"/>
      <c r="AV76" s="400"/>
    </row>
    <row r="77" spans="1:48" ht="15" hidden="1" customHeight="1" x14ac:dyDescent="0.2">
      <c r="A77" s="398"/>
      <c r="B77" s="401"/>
      <c r="C77" s="400"/>
      <c r="D77" s="400"/>
      <c r="E77" s="403"/>
      <c r="F77" s="400"/>
      <c r="G77" s="401"/>
      <c r="H77" s="400"/>
      <c r="I77" s="403"/>
      <c r="J77" s="403"/>
      <c r="K77" s="403"/>
      <c r="L77" s="403"/>
      <c r="M77" s="403"/>
      <c r="N77" s="403"/>
      <c r="O77" s="416"/>
      <c r="P77" s="417"/>
      <c r="Q77" s="405"/>
      <c r="R77" s="406"/>
      <c r="S77" s="405">
        <f>IF(NOT(ISERROR(MATCH(R77,_xlfn.ANCHORARRAY(G88),0))),Q90&amp;"Por favor no seleccionar los criterios de impacto",R77)</f>
        <v>0</v>
      </c>
      <c r="T77" s="417"/>
      <c r="U77" s="405"/>
      <c r="V77" s="418"/>
      <c r="W77" s="149">
        <v>3</v>
      </c>
      <c r="X77" s="182"/>
      <c r="Y77" s="149"/>
      <c r="Z77" s="149"/>
      <c r="AA77" s="174" t="str">
        <f t="shared" si="108"/>
        <v xml:space="preserve">  </v>
      </c>
      <c r="AB77" s="126" t="str">
        <f t="shared" si="104"/>
        <v/>
      </c>
      <c r="AC77" s="127"/>
      <c r="AD77" s="127"/>
      <c r="AE77" s="128" t="str">
        <f t="shared" si="109"/>
        <v/>
      </c>
      <c r="AF77" s="127"/>
      <c r="AG77" s="127"/>
      <c r="AH77" s="127"/>
      <c r="AI77" s="129" t="str">
        <f>IFERROR(IF(AND(AB76="Probabilidad",AB77="Probabilidad"),(AK76-(+AK76*AE77)),IF(AND(AB76="Impacto",AB77="Probabilidad"),(AK75-(+AK75*AE77)),IF(AB77="Impacto",AK76,""))),"")</f>
        <v/>
      </c>
      <c r="AJ77" s="130" t="str">
        <f t="shared" si="110"/>
        <v/>
      </c>
      <c r="AK77" s="128" t="str">
        <f t="shared" si="111"/>
        <v/>
      </c>
      <c r="AL77" s="130" t="str">
        <f t="shared" si="112"/>
        <v/>
      </c>
      <c r="AM77" s="128" t="str">
        <f>IFERROR(IF(AND(AB76="Impacto",AB77="Impacto"),(AM76-(+AM76*AE77)),IF(AND(AB76="Probabilidad",AB77="Impacto"),(AM75-(+AM75*AE77)),IF(AB77="Probabilidad",AM76,""))),"")</f>
        <v/>
      </c>
      <c r="AN77" s="131" t="str">
        <f t="shared" si="113"/>
        <v/>
      </c>
      <c r="AO77" s="132"/>
      <c r="AP77" s="125"/>
      <c r="AQ77" s="133"/>
      <c r="AR77" s="133"/>
      <c r="AS77" s="134"/>
      <c r="AT77" s="400"/>
      <c r="AU77" s="400"/>
      <c r="AV77" s="400"/>
    </row>
    <row r="78" spans="1:48" ht="15" hidden="1" customHeight="1" x14ac:dyDescent="0.2">
      <c r="A78" s="398"/>
      <c r="B78" s="401"/>
      <c r="C78" s="400"/>
      <c r="D78" s="400"/>
      <c r="E78" s="403"/>
      <c r="F78" s="400"/>
      <c r="G78" s="401"/>
      <c r="H78" s="400"/>
      <c r="I78" s="403"/>
      <c r="J78" s="403"/>
      <c r="K78" s="403"/>
      <c r="L78" s="403"/>
      <c r="M78" s="403"/>
      <c r="N78" s="403"/>
      <c r="O78" s="416"/>
      <c r="P78" s="417"/>
      <c r="Q78" s="405"/>
      <c r="R78" s="406"/>
      <c r="S78" s="405">
        <f>IF(NOT(ISERROR(MATCH(R78,_xlfn.ANCHORARRAY(G89),0))),Q91&amp;"Por favor no seleccionar los criterios de impacto",R78)</f>
        <v>0</v>
      </c>
      <c r="T78" s="417"/>
      <c r="U78" s="405"/>
      <c r="V78" s="418"/>
      <c r="W78" s="149">
        <v>4</v>
      </c>
      <c r="X78" s="182"/>
      <c r="Y78" s="149"/>
      <c r="Z78" s="149"/>
      <c r="AA78" s="174" t="str">
        <f t="shared" si="108"/>
        <v xml:space="preserve">  </v>
      </c>
      <c r="AB78" s="126" t="str">
        <f t="shared" si="104"/>
        <v/>
      </c>
      <c r="AC78" s="127"/>
      <c r="AD78" s="127"/>
      <c r="AE78" s="128" t="str">
        <f t="shared" si="109"/>
        <v/>
      </c>
      <c r="AF78" s="127"/>
      <c r="AG78" s="127"/>
      <c r="AH78" s="127"/>
      <c r="AI78" s="129" t="str">
        <f t="shared" ref="AI78:AI80" si="114">IFERROR(IF(AND(AB77="Probabilidad",AB78="Probabilidad"),(AK77-(+AK77*AE78)),IF(AND(AB77="Impacto",AB78="Probabilidad"),(AK76-(+AK76*AE78)),IF(AB78="Impacto",AK77,""))),"")</f>
        <v/>
      </c>
      <c r="AJ78" s="130" t="str">
        <f t="shared" si="110"/>
        <v/>
      </c>
      <c r="AK78" s="128" t="str">
        <f t="shared" si="111"/>
        <v/>
      </c>
      <c r="AL78" s="130" t="str">
        <f t="shared" si="112"/>
        <v/>
      </c>
      <c r="AM78" s="128" t="str">
        <f t="shared" ref="AM78:AM80" si="115">IFERROR(IF(AND(AB77="Impacto",AB78="Impacto"),(AM77-(+AM77*AE78)),IF(AND(AB77="Probabilidad",AB78="Impacto"),(AM76-(+AM76*AE78)),IF(AB78="Probabilidad",AM77,""))),"")</f>
        <v/>
      </c>
      <c r="AN78" s="131" t="str">
        <f>IFERROR(IF(OR(AND(AJ78="Muy Baja",AL78="Leve"),AND(AJ78="Muy Baja",AL78="Menor"),AND(AJ78="Baja",AL78="Leve")),"Bajo",IF(OR(AND(AJ78="Muy baja",AL78="Moderado"),AND(AJ78="Baja",AL78="Menor"),AND(AJ78="Baja",AL78="Moderado"),AND(AJ78="Media",AL78="Leve"),AND(AJ78="Media",AL78="Menor"),AND(AJ78="Media",AL78="Moderado"),AND(AJ78="Alta",AL78="Leve"),AND(AJ78="Alta",AL78="Menor")),"Moderado",IF(OR(AND(AJ78="Muy Baja",AL78="Mayor"),AND(AJ78="Baja",AL78="Mayor"),AND(AJ78="Media",AL78="Mayor"),AND(AJ78="Alta",AL78="Moderado"),AND(AJ78="Alta",AL78="Mayor"),AND(AJ78="Muy Alta",AL78="Leve"),AND(AJ78="Muy Alta",AL78="Menor"),AND(AJ78="Muy Alta",AL78="Moderado"),AND(AJ78="Muy Alta",AL78="Mayor")),"Alto",IF(OR(AND(AJ78="Muy Baja",AL78="Catastrófico"),AND(AJ78="Baja",AL78="Catastrófico"),AND(AJ78="Media",AL78="Catastrófico"),AND(AJ78="Alta",AL78="Catastrófico"),AND(AJ78="Muy Alta",AL78="Catastrófico")),"Extremo","")))),"")</f>
        <v/>
      </c>
      <c r="AO78" s="132"/>
      <c r="AP78" s="125"/>
      <c r="AQ78" s="133"/>
      <c r="AR78" s="133"/>
      <c r="AS78" s="134"/>
      <c r="AT78" s="400"/>
      <c r="AU78" s="400"/>
      <c r="AV78" s="400"/>
    </row>
    <row r="79" spans="1:48" ht="15" hidden="1" customHeight="1" x14ac:dyDescent="0.2">
      <c r="A79" s="398"/>
      <c r="B79" s="401"/>
      <c r="C79" s="400"/>
      <c r="D79" s="400"/>
      <c r="E79" s="403"/>
      <c r="F79" s="400"/>
      <c r="G79" s="401"/>
      <c r="H79" s="400"/>
      <c r="I79" s="403"/>
      <c r="J79" s="403"/>
      <c r="K79" s="403"/>
      <c r="L79" s="403"/>
      <c r="M79" s="403"/>
      <c r="N79" s="403"/>
      <c r="O79" s="416"/>
      <c r="P79" s="417"/>
      <c r="Q79" s="405"/>
      <c r="R79" s="406"/>
      <c r="S79" s="405">
        <f>IF(NOT(ISERROR(MATCH(R79,_xlfn.ANCHORARRAY(G90),0))),Q92&amp;"Por favor no seleccionar los criterios de impacto",R79)</f>
        <v>0</v>
      </c>
      <c r="T79" s="417"/>
      <c r="U79" s="405"/>
      <c r="V79" s="418"/>
      <c r="W79" s="149">
        <v>5</v>
      </c>
      <c r="X79" s="182"/>
      <c r="Y79" s="149"/>
      <c r="Z79" s="149"/>
      <c r="AA79" s="174" t="str">
        <f t="shared" si="108"/>
        <v xml:space="preserve">  </v>
      </c>
      <c r="AB79" s="126" t="str">
        <f t="shared" si="104"/>
        <v/>
      </c>
      <c r="AC79" s="127"/>
      <c r="AD79" s="127"/>
      <c r="AE79" s="128" t="str">
        <f t="shared" si="109"/>
        <v/>
      </c>
      <c r="AF79" s="127"/>
      <c r="AG79" s="127"/>
      <c r="AH79" s="127"/>
      <c r="AI79" s="129" t="str">
        <f t="shared" si="114"/>
        <v/>
      </c>
      <c r="AJ79" s="130" t="str">
        <f t="shared" si="110"/>
        <v/>
      </c>
      <c r="AK79" s="128" t="str">
        <f t="shared" si="111"/>
        <v/>
      </c>
      <c r="AL79" s="130" t="str">
        <f t="shared" si="112"/>
        <v/>
      </c>
      <c r="AM79" s="128" t="str">
        <f t="shared" si="115"/>
        <v/>
      </c>
      <c r="AN79" s="131" t="str">
        <f t="shared" si="113"/>
        <v/>
      </c>
      <c r="AO79" s="132"/>
      <c r="AP79" s="125"/>
      <c r="AQ79" s="133"/>
      <c r="AR79" s="133"/>
      <c r="AS79" s="134"/>
      <c r="AT79" s="400"/>
      <c r="AU79" s="400"/>
      <c r="AV79" s="400"/>
    </row>
    <row r="80" spans="1:48" ht="15" hidden="1" customHeight="1" x14ac:dyDescent="0.2">
      <c r="A80" s="398"/>
      <c r="B80" s="401"/>
      <c r="C80" s="400"/>
      <c r="D80" s="400"/>
      <c r="E80" s="404"/>
      <c r="F80" s="400"/>
      <c r="G80" s="401"/>
      <c r="H80" s="400"/>
      <c r="I80" s="404"/>
      <c r="J80" s="404"/>
      <c r="K80" s="404"/>
      <c r="L80" s="404"/>
      <c r="M80" s="404"/>
      <c r="N80" s="404"/>
      <c r="O80" s="416"/>
      <c r="P80" s="417"/>
      <c r="Q80" s="405"/>
      <c r="R80" s="406"/>
      <c r="S80" s="405">
        <f>IF(NOT(ISERROR(MATCH(R80,_xlfn.ANCHORARRAY(G91),0))),Q93&amp;"Por favor no seleccionar los criterios de impacto",R80)</f>
        <v>0</v>
      </c>
      <c r="T80" s="417"/>
      <c r="U80" s="405"/>
      <c r="V80" s="418"/>
      <c r="W80" s="149">
        <v>6</v>
      </c>
      <c r="X80" s="182"/>
      <c r="Y80" s="149"/>
      <c r="Z80" s="149"/>
      <c r="AA80" s="174" t="str">
        <f t="shared" si="108"/>
        <v xml:space="preserve">  </v>
      </c>
      <c r="AB80" s="126" t="str">
        <f t="shared" si="104"/>
        <v/>
      </c>
      <c r="AC80" s="127"/>
      <c r="AD80" s="127"/>
      <c r="AE80" s="128" t="str">
        <f t="shared" si="109"/>
        <v/>
      </c>
      <c r="AF80" s="127"/>
      <c r="AG80" s="127"/>
      <c r="AH80" s="127"/>
      <c r="AI80" s="129" t="str">
        <f t="shared" si="114"/>
        <v/>
      </c>
      <c r="AJ80" s="130" t="str">
        <f t="shared" si="110"/>
        <v/>
      </c>
      <c r="AK80" s="128" t="str">
        <f t="shared" si="111"/>
        <v/>
      </c>
      <c r="AL80" s="130" t="str">
        <f t="shared" si="112"/>
        <v/>
      </c>
      <c r="AM80" s="128" t="str">
        <f t="shared" si="115"/>
        <v/>
      </c>
      <c r="AN80" s="131" t="str">
        <f t="shared" si="113"/>
        <v/>
      </c>
      <c r="AO80" s="132"/>
      <c r="AP80" s="125"/>
      <c r="AQ80" s="133"/>
      <c r="AR80" s="133"/>
      <c r="AS80" s="134"/>
      <c r="AT80" s="400"/>
      <c r="AU80" s="400"/>
      <c r="AV80" s="400"/>
    </row>
    <row r="81" spans="1:48" ht="90" customHeight="1" x14ac:dyDescent="0.2">
      <c r="A81" s="398">
        <v>13</v>
      </c>
      <c r="B81" s="401" t="s">
        <v>564</v>
      </c>
      <c r="C81" s="400" t="s">
        <v>32</v>
      </c>
      <c r="D81" s="400" t="s">
        <v>1353</v>
      </c>
      <c r="E81" s="402" t="s">
        <v>1354</v>
      </c>
      <c r="F81" s="400" t="s">
        <v>1355</v>
      </c>
      <c r="G81" s="401" t="str">
        <f>+CONCATENATE(C81," ",D81)</f>
        <v xml:space="preserve">Posibilidad de recibir o solicitar cualquier dádiva o beneficio por  manipulación de resultados de auditoria o ejercicicio de evaluación para el beneficio de terceros </v>
      </c>
      <c r="H81" s="400" t="s">
        <v>85</v>
      </c>
      <c r="I81" s="402" t="s">
        <v>62</v>
      </c>
      <c r="J81" s="402" t="s">
        <v>1356</v>
      </c>
      <c r="K81" s="402"/>
      <c r="L81" s="402" t="s">
        <v>1357</v>
      </c>
      <c r="M81" s="402" t="s">
        <v>65</v>
      </c>
      <c r="N81" s="402" t="s">
        <v>46</v>
      </c>
      <c r="O81" s="416">
        <v>50</v>
      </c>
      <c r="P81" s="417" t="str">
        <f>IF(O81&lt;=0,"",IF(O81&lt;=2,"Muy Baja",IF(O81&lt;=24,"Baja",IF(O81&lt;=500,"Media",IF(O81&lt;=5000,"Alta","Muy Alta")))))</f>
        <v>Media</v>
      </c>
      <c r="Q81" s="405">
        <f>IF(P81="","",IF(P81="Muy Baja",0.2,IF(P81="Baja",0.4,IF(P81="Media",0.6,IF(P81="Alta",0.8,IF(P81="Muy Alta",1,))))))</f>
        <v>0.6</v>
      </c>
      <c r="R81" s="406" t="s">
        <v>428</v>
      </c>
      <c r="S81" s="405" t="str">
        <f>IF(NOT(ISERROR(MATCH(R81,'[8]Tabla Impacto'!$B$245:$B$247,0))),'[8]Tabla Impacto'!$F$224&amp;"Por favor no seleccionar los criterios de impacto(Afectación Económica o presupuestal y Pérdida Reputacional)",R81)</f>
        <v xml:space="preserve">     El riesgo afecta la imagen de la entidad con algunos usuarios de relevancia frente al logro de los objetivos</v>
      </c>
      <c r="T81" s="417" t="str">
        <f>IF(OR(S81='[8]Tabla Impacto'!$C$12,S81='[8]Tabla Impacto'!$D$12),"Leve",IF(OR(S81='[8]Tabla Impacto'!$C$13,S81='[8]Tabla Impacto'!$D$13),"Menor",IF(OR(S81='[8]Tabla Impacto'!$C$14,S81='[8]Tabla Impacto'!$D$14),"Moderado",IF(OR(S81='[8]Tabla Impacto'!$C$15,S81='[8]Tabla Impacto'!$D$15),"Mayor",IF(OR(S81='[8]Tabla Impacto'!$C$16,S81='[8]Tabla Impacto'!$D$16),"Catastrófico","")))))</f>
        <v>Moderado</v>
      </c>
      <c r="U81" s="405">
        <f>IF(T81="","",IF(T81="Leve",0.2,IF(T81="Menor",0.4,IF(T81="Moderado",0.6,IF(T81="Mayor",0.8,IF(T81="Catastrófico",1,))))))</f>
        <v>0.6</v>
      </c>
      <c r="V81" s="418" t="str">
        <f>IF(OR(AND(P81="Muy Baja",T81="Leve"),AND(P81="Muy Baja",T81="Menor"),AND(P81="Baja",T81="Leve")),"Bajo",IF(OR(AND(P81="Muy baja",T81="Moderado"),AND(P81="Baja",T81="Menor"),AND(P81="Baja",T81="Moderado"),AND(P81="Media",T81="Leve"),AND(P81="Media",T81="Menor"),AND(P81="Media",T81="Moderado"),AND(P81="Alta",T81="Leve"),AND(P81="Alta",T81="Menor")),"Moderado",IF(OR(AND(P81="Muy Baja",T81="Mayor"),AND(P81="Baja",T81="Mayor"),AND(P81="Media",T81="Mayor"),AND(P81="Alta",T81="Moderado"),AND(P81="Alta",T81="Mayor"),AND(P81="Muy Alta",T81="Leve"),AND(P81="Muy Alta",T81="Menor"),AND(P81="Muy Alta",T81="Moderado"),AND(P81="Muy Alta",T81="Mayor")),"Alto",IF(OR(AND(P81="Muy Baja",T81="Catastrófico"),AND(P81="Baja",T81="Catastrófico"),AND(P81="Media",T81="Catastrófico"),AND(P81="Alta",T81="Catastrófico"),AND(P81="Muy Alta",T81="Catastrófico")),"Extremo",""))))</f>
        <v>Moderado</v>
      </c>
      <c r="W81" s="149">
        <v>1</v>
      </c>
      <c r="X81" s="182" t="s">
        <v>1358</v>
      </c>
      <c r="Y81" s="182" t="s">
        <v>41</v>
      </c>
      <c r="Z81" s="182" t="s">
        <v>1359</v>
      </c>
      <c r="AA81" s="174" t="str">
        <f t="shared" si="108"/>
        <v xml:space="preserve">El jefe OCI  Valida que los responsables de trabajos de auditoría y evaluación firmen y radiquen el compromiso ético y confidencialidad de información cada vez que se asigna una auditoría interna declarando que no tiene impedimentos o conflicto de intereses para ejecutar el trabajo
En caso de declararse impedido se escoge otro profesional o se evalua el alcance del trabajo de auditoría </v>
      </c>
      <c r="AB81" s="126"/>
      <c r="AC81" s="127" t="s">
        <v>398</v>
      </c>
      <c r="AD81" s="127" t="s">
        <v>394</v>
      </c>
      <c r="AE81" s="128" t="str">
        <f>IF(AND(AC81="Preventivo",AD81="Automático"),"50%",IF(AND(AC81="Preventivo",AD81="Manual"),"40%",IF(AND(AC81="Detectivo",AD81="Automático"),"40%",IF(AND(AC81="Detectivo",AD81="Manual"),"30%",IF(AND(AC81="Correctivo",AD81="Automático"),"35%",IF(AND(AC81="Correctivo",AD81="Manual"),"25%",""))))))</f>
        <v>40%</v>
      </c>
      <c r="AF81" s="127" t="s">
        <v>395</v>
      </c>
      <c r="AG81" s="127" t="s">
        <v>396</v>
      </c>
      <c r="AH81" s="127" t="s">
        <v>397</v>
      </c>
      <c r="AI81" s="129">
        <v>0.36</v>
      </c>
      <c r="AJ81" s="130" t="s">
        <v>533</v>
      </c>
      <c r="AK81" s="128">
        <v>0.36</v>
      </c>
      <c r="AL81" s="130" t="s">
        <v>406</v>
      </c>
      <c r="AM81" s="128">
        <v>0.6</v>
      </c>
      <c r="AN81" s="131" t="s">
        <v>406</v>
      </c>
      <c r="AO81" s="377" t="s">
        <v>43</v>
      </c>
      <c r="AP81" s="125" t="s">
        <v>1360</v>
      </c>
      <c r="AQ81" s="125" t="s">
        <v>1361</v>
      </c>
      <c r="AR81" s="125" t="s">
        <v>1362</v>
      </c>
      <c r="AS81" s="335" t="s">
        <v>1363</v>
      </c>
      <c r="AT81" s="400" t="s">
        <v>1364</v>
      </c>
      <c r="AU81" s="400" t="s">
        <v>1365</v>
      </c>
      <c r="AV81" s="400" t="s">
        <v>1366</v>
      </c>
    </row>
    <row r="82" spans="1:48" ht="30" hidden="1" customHeight="1" x14ac:dyDescent="0.2">
      <c r="A82" s="398"/>
      <c r="B82" s="401"/>
      <c r="C82" s="400"/>
      <c r="D82" s="400"/>
      <c r="E82" s="403"/>
      <c r="F82" s="400"/>
      <c r="G82" s="401"/>
      <c r="H82" s="400"/>
      <c r="I82" s="403"/>
      <c r="J82" s="403"/>
      <c r="K82" s="403"/>
      <c r="L82" s="403"/>
      <c r="M82" s="403"/>
      <c r="N82" s="403"/>
      <c r="O82" s="416"/>
      <c r="P82" s="417"/>
      <c r="Q82" s="405"/>
      <c r="R82" s="406"/>
      <c r="S82" s="405">
        <f>IF(NOT(ISERROR(MATCH(R82,_xlfn.ANCHORARRAY(G93),0))),Q95&amp;"Por favor no seleccionar los criterios de impacto",R82)</f>
        <v>0</v>
      </c>
      <c r="T82" s="417"/>
      <c r="U82" s="405"/>
      <c r="V82" s="418"/>
      <c r="W82" s="149">
        <v>2</v>
      </c>
      <c r="X82" s="182"/>
      <c r="Y82" s="149"/>
      <c r="Z82" s="182"/>
      <c r="AA82" s="174" t="str">
        <f t="shared" si="108"/>
        <v xml:space="preserve">  </v>
      </c>
      <c r="AB82" s="126"/>
      <c r="AC82" s="127"/>
      <c r="AD82" s="127"/>
      <c r="AE82" s="128"/>
      <c r="AF82" s="127"/>
      <c r="AG82" s="127"/>
      <c r="AH82" s="127"/>
      <c r="AI82" s="129"/>
      <c r="AJ82" s="130"/>
      <c r="AK82" s="128"/>
      <c r="AL82" s="130"/>
      <c r="AM82" s="128"/>
      <c r="AN82" s="131"/>
      <c r="AO82" s="132"/>
      <c r="AP82" s="125"/>
      <c r="AQ82" s="133"/>
      <c r="AR82" s="125"/>
      <c r="AS82" s="134"/>
      <c r="AT82" s="400"/>
      <c r="AU82" s="400"/>
      <c r="AV82" s="400"/>
    </row>
    <row r="83" spans="1:48" ht="15" hidden="1" customHeight="1" x14ac:dyDescent="0.2">
      <c r="A83" s="398"/>
      <c r="B83" s="401"/>
      <c r="C83" s="400"/>
      <c r="D83" s="400"/>
      <c r="E83" s="403"/>
      <c r="F83" s="400"/>
      <c r="G83" s="401"/>
      <c r="H83" s="400"/>
      <c r="I83" s="403"/>
      <c r="J83" s="403"/>
      <c r="K83" s="403"/>
      <c r="L83" s="403"/>
      <c r="M83" s="403"/>
      <c r="N83" s="403"/>
      <c r="O83" s="416"/>
      <c r="P83" s="417"/>
      <c r="Q83" s="405"/>
      <c r="R83" s="406"/>
      <c r="S83" s="405">
        <f>IF(NOT(ISERROR(MATCH(R83,_xlfn.ANCHORARRAY(G94),0))),Q96&amp;"Por favor no seleccionar los criterios de impacto",R83)</f>
        <v>0</v>
      </c>
      <c r="T83" s="417"/>
      <c r="U83" s="405"/>
      <c r="V83" s="418"/>
      <c r="W83" s="149">
        <v>3</v>
      </c>
      <c r="X83" s="182"/>
      <c r="Y83" s="149"/>
      <c r="Z83" s="149"/>
      <c r="AA83" s="174" t="str">
        <f t="shared" si="108"/>
        <v xml:space="preserve">  </v>
      </c>
      <c r="AB83" s="126"/>
      <c r="AC83" s="127"/>
      <c r="AD83" s="127"/>
      <c r="AE83" s="128"/>
      <c r="AF83" s="127"/>
      <c r="AG83" s="127"/>
      <c r="AH83" s="127"/>
      <c r="AI83" s="129"/>
      <c r="AJ83" s="130"/>
      <c r="AK83" s="128"/>
      <c r="AL83" s="130"/>
      <c r="AM83" s="128"/>
      <c r="AN83" s="131"/>
      <c r="AO83" s="132"/>
      <c r="AP83" s="125"/>
      <c r="AQ83" s="133"/>
      <c r="AR83" s="133"/>
      <c r="AS83" s="134"/>
      <c r="AT83" s="400"/>
      <c r="AU83" s="400"/>
      <c r="AV83" s="400"/>
    </row>
    <row r="84" spans="1:48" ht="15" hidden="1" customHeight="1" x14ac:dyDescent="0.2">
      <c r="A84" s="398"/>
      <c r="B84" s="401"/>
      <c r="C84" s="400"/>
      <c r="D84" s="400"/>
      <c r="E84" s="403"/>
      <c r="F84" s="400"/>
      <c r="G84" s="401"/>
      <c r="H84" s="400"/>
      <c r="I84" s="403"/>
      <c r="J84" s="403"/>
      <c r="K84" s="403"/>
      <c r="L84" s="403"/>
      <c r="M84" s="403"/>
      <c r="N84" s="403"/>
      <c r="O84" s="416"/>
      <c r="P84" s="417"/>
      <c r="Q84" s="405"/>
      <c r="R84" s="406"/>
      <c r="S84" s="405">
        <f>IF(NOT(ISERROR(MATCH(R84,_xlfn.ANCHORARRAY(G95),0))),Q97&amp;"Por favor no seleccionar los criterios de impacto",R84)</f>
        <v>0</v>
      </c>
      <c r="T84" s="417"/>
      <c r="U84" s="405"/>
      <c r="V84" s="418"/>
      <c r="W84" s="149">
        <v>4</v>
      </c>
      <c r="X84" s="182"/>
      <c r="Y84" s="149"/>
      <c r="Z84" s="149"/>
      <c r="AA84" s="174" t="str">
        <f t="shared" si="108"/>
        <v xml:space="preserve">  </v>
      </c>
      <c r="AB84" s="126"/>
      <c r="AC84" s="127"/>
      <c r="AD84" s="127"/>
      <c r="AE84" s="128"/>
      <c r="AF84" s="127"/>
      <c r="AG84" s="127"/>
      <c r="AH84" s="127"/>
      <c r="AI84" s="129"/>
      <c r="AJ84" s="130"/>
      <c r="AK84" s="128"/>
      <c r="AL84" s="130"/>
      <c r="AM84" s="128"/>
      <c r="AN84" s="131"/>
      <c r="AO84" s="132"/>
      <c r="AP84" s="125"/>
      <c r="AQ84" s="133"/>
      <c r="AR84" s="133"/>
      <c r="AS84" s="134"/>
      <c r="AT84" s="400"/>
      <c r="AU84" s="400"/>
      <c r="AV84" s="400"/>
    </row>
    <row r="85" spans="1:48" ht="15" hidden="1" customHeight="1" x14ac:dyDescent="0.2">
      <c r="A85" s="398"/>
      <c r="B85" s="401"/>
      <c r="C85" s="400"/>
      <c r="D85" s="400"/>
      <c r="E85" s="403"/>
      <c r="F85" s="400"/>
      <c r="G85" s="401"/>
      <c r="H85" s="400"/>
      <c r="I85" s="403"/>
      <c r="J85" s="403"/>
      <c r="K85" s="403"/>
      <c r="L85" s="403"/>
      <c r="M85" s="403"/>
      <c r="N85" s="403"/>
      <c r="O85" s="416"/>
      <c r="P85" s="417"/>
      <c r="Q85" s="405"/>
      <c r="R85" s="406"/>
      <c r="S85" s="405">
        <f>IF(NOT(ISERROR(MATCH(R85,_xlfn.ANCHORARRAY(G96),0))),Q98&amp;"Por favor no seleccionar los criterios de impacto",R85)</f>
        <v>0</v>
      </c>
      <c r="T85" s="417"/>
      <c r="U85" s="405"/>
      <c r="V85" s="418"/>
      <c r="W85" s="149">
        <v>5</v>
      </c>
      <c r="X85" s="182"/>
      <c r="Y85" s="149"/>
      <c r="Z85" s="149"/>
      <c r="AA85" s="174" t="str">
        <f t="shared" si="108"/>
        <v xml:space="preserve">  </v>
      </c>
      <c r="AB85" s="126"/>
      <c r="AC85" s="127"/>
      <c r="AD85" s="127"/>
      <c r="AE85" s="128"/>
      <c r="AF85" s="127"/>
      <c r="AG85" s="127"/>
      <c r="AH85" s="127"/>
      <c r="AI85" s="129"/>
      <c r="AJ85" s="130"/>
      <c r="AK85" s="128"/>
      <c r="AL85" s="130"/>
      <c r="AM85" s="128"/>
      <c r="AN85" s="131"/>
      <c r="AO85" s="132"/>
      <c r="AP85" s="125"/>
      <c r="AQ85" s="133"/>
      <c r="AR85" s="133"/>
      <c r="AS85" s="134"/>
      <c r="AT85" s="400"/>
      <c r="AU85" s="400"/>
      <c r="AV85" s="400"/>
    </row>
    <row r="86" spans="1:48" ht="15" hidden="1" customHeight="1" x14ac:dyDescent="0.2">
      <c r="A86" s="398"/>
      <c r="B86" s="401"/>
      <c r="C86" s="400"/>
      <c r="D86" s="400"/>
      <c r="E86" s="404"/>
      <c r="F86" s="400"/>
      <c r="G86" s="401"/>
      <c r="H86" s="400"/>
      <c r="I86" s="404"/>
      <c r="J86" s="404"/>
      <c r="K86" s="404"/>
      <c r="L86" s="404"/>
      <c r="M86" s="404"/>
      <c r="N86" s="404"/>
      <c r="O86" s="416"/>
      <c r="P86" s="417"/>
      <c r="Q86" s="405"/>
      <c r="R86" s="406"/>
      <c r="S86" s="405">
        <f>IF(NOT(ISERROR(MATCH(R86,_xlfn.ANCHORARRAY(G97),0))),Q99&amp;"Por favor no seleccionar los criterios de impacto",R86)</f>
        <v>0</v>
      </c>
      <c r="T86" s="417"/>
      <c r="U86" s="405"/>
      <c r="V86" s="418"/>
      <c r="W86" s="149">
        <v>6</v>
      </c>
      <c r="X86" s="182"/>
      <c r="Y86" s="149"/>
      <c r="Z86" s="149"/>
      <c r="AA86" s="174" t="str">
        <f t="shared" si="108"/>
        <v xml:space="preserve">  </v>
      </c>
      <c r="AB86" s="126"/>
      <c r="AC86" s="127"/>
      <c r="AD86" s="127"/>
      <c r="AE86" s="128"/>
      <c r="AF86" s="127"/>
      <c r="AG86" s="127"/>
      <c r="AH86" s="127"/>
      <c r="AI86" s="129"/>
      <c r="AJ86" s="130"/>
      <c r="AK86" s="128"/>
      <c r="AL86" s="130"/>
      <c r="AM86" s="128"/>
      <c r="AN86" s="131"/>
      <c r="AO86" s="132"/>
      <c r="AP86" s="125"/>
      <c r="AQ86" s="133"/>
      <c r="AR86" s="133"/>
      <c r="AS86" s="134"/>
      <c r="AT86" s="400"/>
      <c r="AU86" s="400"/>
      <c r="AV86" s="400"/>
    </row>
    <row r="87" spans="1:48" ht="148.5" customHeight="1" x14ac:dyDescent="0.2">
      <c r="A87" s="398">
        <v>14</v>
      </c>
      <c r="B87" s="401" t="s">
        <v>565</v>
      </c>
      <c r="C87" s="400" t="s">
        <v>32</v>
      </c>
      <c r="D87" s="400" t="s">
        <v>1367</v>
      </c>
      <c r="E87" s="402" t="s">
        <v>1368</v>
      </c>
      <c r="F87" s="400" t="s">
        <v>1369</v>
      </c>
      <c r="G87" s="401" t="str">
        <f>+CONCATENATE(C87," ",D87)</f>
        <v>Posibilidad de recibir o solicitar cualquier dádiva o beneficio por la modificación de los resultados de las visitas a obra o en los informes mensuales de las visitas a cambio de beneficio a nombre propio o de terceros, con el fin de hacer que los criterios de evaluación y aceptación cumplan con las especificaciones técnicas.</v>
      </c>
      <c r="H87" s="400" t="s">
        <v>84</v>
      </c>
      <c r="I87" s="402" t="s">
        <v>59</v>
      </c>
      <c r="J87" s="402" t="s">
        <v>1370</v>
      </c>
      <c r="K87" s="402" t="s">
        <v>1371</v>
      </c>
      <c r="L87" s="402" t="s">
        <v>1372</v>
      </c>
      <c r="M87" s="402" t="s">
        <v>60</v>
      </c>
      <c r="N87" s="402" t="s">
        <v>42</v>
      </c>
      <c r="O87" s="416">
        <f>(40*12)</f>
        <v>480</v>
      </c>
      <c r="P87" s="417" t="str">
        <f>IF(O87&lt;=0,"",IF(O87&lt;=2,"Muy Baja",IF(O87&lt;=24,"Baja",IF(O87&lt;=500,"Media",IF(O87&lt;=5000,"Alta","Muy Alta")))))</f>
        <v>Media</v>
      </c>
      <c r="Q87" s="405">
        <f>IF(P87="","",IF(P87="Muy Baja",0.2,IF(P87="Baja",0.4,IF(P87="Media",0.6,IF(P87="Alta",0.8,IF(P87="Muy Alta",1,))))))</f>
        <v>0.6</v>
      </c>
      <c r="R87" s="406" t="s">
        <v>428</v>
      </c>
      <c r="S87" s="405" t="str">
        <f>IF(NOT(ISERROR(MATCH(R87,'[10]Tabla Impacto'!$B$245:$B$247,0))),'[10]Tabla Impacto'!$F$224&amp;"Por favor no seleccionar los criterios de impacto(Afectación Económica o presupuestal y Pérdida Reputacional)",R87)</f>
        <v xml:space="preserve">     El riesgo afecta la imagen de la entidad con algunos usuarios de relevancia frente al logro de los objetivos</v>
      </c>
      <c r="T87" s="417" t="str">
        <f>IF(OR(S87='[10]Tabla Impacto'!$C$12,S87='[10]Tabla Impacto'!$D$12),"Leve",IF(OR(S87='[10]Tabla Impacto'!$C$13,S87='[10]Tabla Impacto'!$D$13),"Menor",IF(OR(S87='[10]Tabla Impacto'!$C$14,S87='[10]Tabla Impacto'!$D$14),"Moderado",IF(OR(S87='[10]Tabla Impacto'!$C$15,S87='[10]Tabla Impacto'!$D$15),"Mayor",IF(OR(S87='[10]Tabla Impacto'!$C$16,S87='[10]Tabla Impacto'!$D$16),"Catastrófico","")))))</f>
        <v>Moderado</v>
      </c>
      <c r="U87" s="405">
        <f>IF(T87="","",IF(T87="Leve",0.2,IF(T87="Menor",0.4,IF(T87="Moderado",0.6,IF(T87="Mayor",0.8,IF(T87="Catastrófico",1,))))))</f>
        <v>0.6</v>
      </c>
      <c r="V87" s="418" t="str">
        <f>IF(OR(AND(P87="Muy Baja",T87="Leve"),AND(P87="Muy Baja",T87="Menor"),AND(P87="Baja",T87="Leve")),"Bajo",IF(OR(AND(P87="Muy baja",T87="Moderado"),AND(P87="Baja",T87="Menor"),AND(P87="Baja",T87="Moderado"),AND(P87="Media",T87="Leve"),AND(P87="Media",T87="Menor"),AND(P87="Media",T87="Moderado"),AND(P87="Alta",T87="Leve"),AND(P87="Alta",T87="Menor")),"Moderado",IF(OR(AND(P87="Muy Baja",T87="Mayor"),AND(P87="Baja",T87="Mayor"),AND(P87="Media",T87="Mayor"),AND(P87="Alta",T87="Moderado"),AND(P87="Alta",T87="Mayor"),AND(P87="Muy Alta",T87="Leve"),AND(P87="Muy Alta",T87="Menor"),AND(P87="Muy Alta",T87="Moderado"),AND(P87="Muy Alta",T87="Mayor")),"Alto",IF(OR(AND(P87="Muy Baja",T87="Catastrófico"),AND(P87="Baja",T87="Catastrófico"),AND(P87="Media",T87="Catastrófico"),AND(P87="Alta",T87="Catastrófico"),AND(P87="Muy Alta",T87="Catastrófico")),"Extremo",""))))</f>
        <v>Moderado</v>
      </c>
      <c r="W87" s="149">
        <v>1</v>
      </c>
      <c r="X87" s="182" t="s">
        <v>1373</v>
      </c>
      <c r="Y87" s="182" t="s">
        <v>37</v>
      </c>
      <c r="Z87" s="182" t="s">
        <v>1374</v>
      </c>
      <c r="AA87" s="174" t="str">
        <f>+CONCATENATE(X87," ",Y87," ",Z87)</f>
        <v>El lider de calidad Verifica cada vez que se realice una visita, que esta se halla realizado considerando los mínimos criterios a evaluar, de acuerdo a los protocolos segun el tipo de intervención, dejando la evidencia en el consolidado de visitas tecnicas.
Si se detecta que una visita no cumple con estas condiciones se programa una nueva visita a un CIV con el mismo tipo de intervención.</v>
      </c>
      <c r="AB87" s="126" t="str">
        <f t="shared" ref="AB87:AB92" si="116">IF(OR(AC87="Preventivo",AC87="Detectivo"),"Probabilidad",IF(AC87="Correctivo","Impacto",""))</f>
        <v>Probabilidad</v>
      </c>
      <c r="AC87" s="127" t="s">
        <v>393</v>
      </c>
      <c r="AD87" s="127" t="s">
        <v>394</v>
      </c>
      <c r="AE87" s="128" t="str">
        <f>IF(AND(AC87="Preventivo",AD87="Automático"),"50%",IF(AND(AC87="Preventivo",AD87="Manual"),"40%",IF(AND(AC87="Detectivo",AD87="Automático"),"40%",IF(AND(AC87="Detectivo",AD87="Manual"),"30%",IF(AND(AC87="Correctivo",AD87="Automático"),"35%",IF(AND(AC87="Correctivo",AD87="Manual"),"25%",""))))))</f>
        <v>30%</v>
      </c>
      <c r="AF87" s="127" t="s">
        <v>395</v>
      </c>
      <c r="AG87" s="127" t="s">
        <v>396</v>
      </c>
      <c r="AH87" s="127" t="s">
        <v>397</v>
      </c>
      <c r="AI87" s="129">
        <f>IFERROR(IF(AB87="Probabilidad",(Q87-(+Q87*AE87)),IF(AB87="Impacto",Q87,"")),"")</f>
        <v>0.42</v>
      </c>
      <c r="AJ87" s="130" t="str">
        <f>IFERROR(IF(AI87="","",IF(AI87&lt;=0.2,"Muy Baja",IF(AI87&lt;=0.4,"Baja",IF(AI87&lt;=0.6,"Media",IF(AI87&lt;=0.8,"Alta","Muy Alta"))))),"")</f>
        <v>Media</v>
      </c>
      <c r="AK87" s="128">
        <f>+AI87</f>
        <v>0.42</v>
      </c>
      <c r="AL87" s="130" t="str">
        <f>IFERROR(IF(AM87="","",IF(AM87&lt;=0.2,"Leve",IF(AM87&lt;=0.4,"Menor",IF(AM87&lt;=0.6,"Moderado",IF(AM87&lt;=0.8,"Mayor","Catastrófico"))))),"")</f>
        <v>Moderado</v>
      </c>
      <c r="AM87" s="128">
        <f>IFERROR(IF(AB87="Impacto",(U87-(+U87*AE87)),IF(AB87="Probabilidad",U87,"")),"")</f>
        <v>0.6</v>
      </c>
      <c r="AN87" s="131" t="str">
        <f>IFERROR(IF(OR(AND(AJ87="Muy Baja",AL87="Leve"),AND(AJ87="Muy Baja",AL87="Menor"),AND(AJ87="Baja",AL87="Leve")),"Bajo",IF(OR(AND(AJ87="Muy baja",AL87="Moderado"),AND(AJ87="Baja",AL87="Menor"),AND(AJ87="Baja",AL87="Moderado"),AND(AJ87="Media",AL87="Leve"),AND(AJ87="Media",AL87="Menor"),AND(AJ87="Media",AL87="Moderado"),AND(AJ87="Alta",AL87="Leve"),AND(AJ87="Alta",AL87="Menor")),"Moderado",IF(OR(AND(AJ87="Muy Baja",AL87="Mayor"),AND(AJ87="Baja",AL87="Mayor"),AND(AJ87="Media",AL87="Mayor"),AND(AJ87="Alta",AL87="Moderado"),AND(AJ87="Alta",AL87="Mayor"),AND(AJ87="Muy Alta",AL87="Leve"),AND(AJ87="Muy Alta",AL87="Menor"),AND(AJ87="Muy Alta",AL87="Moderado"),AND(AJ87="Muy Alta",AL87="Mayor")),"Alto",IF(OR(AND(AJ87="Muy Baja",AL87="Catastrófico"),AND(AJ87="Baja",AL87="Catastrófico"),AND(AJ87="Media",AL87="Catastrófico"),AND(AJ87="Alta",AL87="Catastrófico"),AND(AJ87="Muy Alta",AL87="Catastrófico")),"Extremo","")))),"")</f>
        <v>Moderado</v>
      </c>
      <c r="AO87" s="132" t="s">
        <v>43</v>
      </c>
      <c r="AP87" s="125" t="s">
        <v>1375</v>
      </c>
      <c r="AQ87" s="125" t="s">
        <v>1373</v>
      </c>
      <c r="AR87" s="125" t="s">
        <v>990</v>
      </c>
      <c r="AS87" s="134">
        <v>46021</v>
      </c>
      <c r="AT87" s="400" t="s">
        <v>946</v>
      </c>
      <c r="AU87" s="400" t="s">
        <v>947</v>
      </c>
      <c r="AV87" s="400" t="s">
        <v>991</v>
      </c>
    </row>
    <row r="88" spans="1:48" ht="30" hidden="1" customHeight="1" x14ac:dyDescent="0.2">
      <c r="A88" s="398"/>
      <c r="B88" s="401"/>
      <c r="C88" s="400"/>
      <c r="D88" s="400"/>
      <c r="E88" s="403"/>
      <c r="F88" s="400"/>
      <c r="G88" s="401"/>
      <c r="H88" s="400"/>
      <c r="I88" s="403"/>
      <c r="J88" s="403"/>
      <c r="K88" s="403"/>
      <c r="L88" s="403"/>
      <c r="M88" s="403"/>
      <c r="N88" s="403"/>
      <c r="O88" s="416"/>
      <c r="P88" s="417"/>
      <c r="Q88" s="405"/>
      <c r="R88" s="406"/>
      <c r="S88" s="405">
        <f>IF(NOT(ISERROR(MATCH(R88,_xlfn.ANCHORARRAY(G99),0))),Q101&amp;"Por favor no seleccionar los criterios de impacto",R88)</f>
        <v>0</v>
      </c>
      <c r="T88" s="417"/>
      <c r="U88" s="405"/>
      <c r="V88" s="418"/>
      <c r="W88" s="149">
        <v>2</v>
      </c>
      <c r="X88" s="182"/>
      <c r="Y88" s="149"/>
      <c r="Z88" s="149"/>
      <c r="AA88" s="174" t="str">
        <f t="shared" ref="AA88:AA92" si="117">+CONCATENATE(X88," ",Y88," ",Z88)</f>
        <v xml:space="preserve">  </v>
      </c>
      <c r="AB88" s="126" t="str">
        <f t="shared" si="116"/>
        <v/>
      </c>
      <c r="AC88" s="127"/>
      <c r="AD88" s="127"/>
      <c r="AE88" s="128" t="str">
        <f t="shared" ref="AE88:AE92" si="118">IF(AND(AC88="Preventivo",AD88="Automático"),"50%",IF(AND(AC88="Preventivo",AD88="Manual"),"40%",IF(AND(AC88="Detectivo",AD88="Automático"),"40%",IF(AND(AC88="Detectivo",AD88="Manual"),"30%",IF(AND(AC88="Correctivo",AD88="Automático"),"35%",IF(AND(AC88="Correctivo",AD88="Manual"),"25%",""))))))</f>
        <v/>
      </c>
      <c r="AF88" s="127"/>
      <c r="AG88" s="127"/>
      <c r="AH88" s="127"/>
      <c r="AI88" s="129" t="str">
        <f>IFERROR(IF(AND(AB87="Probabilidad",AB88="Probabilidad"),(AK87-(+AK87*AE88)),IF(AB88="Probabilidad",(Q87-(+Q87*AE88)),IF(AB88="Impacto",AK87,""))),"")</f>
        <v/>
      </c>
      <c r="AJ88" s="130" t="str">
        <f t="shared" ref="AJ88:AJ92" si="119">IFERROR(IF(AI88="","",IF(AI88&lt;=0.2,"Muy Baja",IF(AI88&lt;=0.4,"Baja",IF(AI88&lt;=0.6,"Media",IF(AI88&lt;=0.8,"Alta","Muy Alta"))))),"")</f>
        <v/>
      </c>
      <c r="AK88" s="128" t="str">
        <f t="shared" ref="AK88:AK92" si="120">+AI88</f>
        <v/>
      </c>
      <c r="AL88" s="130" t="str">
        <f t="shared" ref="AL88:AL92" si="121">IFERROR(IF(AM88="","",IF(AM88&lt;=0.2,"Leve",IF(AM88&lt;=0.4,"Menor",IF(AM88&lt;=0.6,"Moderado",IF(AM88&lt;=0.8,"Mayor","Catastrófico"))))),"")</f>
        <v/>
      </c>
      <c r="AM88" s="128" t="str">
        <f>IFERROR(IF(AND(AB87="Impacto",AB88="Impacto"),(AM87-(+AM87*AE88)),IF(AB88="Impacto",($T$13-(+$T$13*AE88)),IF(AB88="Probabilidad",AM87,""))),"")</f>
        <v/>
      </c>
      <c r="AN88" s="131" t="str">
        <f t="shared" ref="AN88:AN92" si="122">IFERROR(IF(OR(AND(AJ88="Muy Baja",AL88="Leve"),AND(AJ88="Muy Baja",AL88="Menor"),AND(AJ88="Baja",AL88="Leve")),"Bajo",IF(OR(AND(AJ88="Muy baja",AL88="Moderado"),AND(AJ88="Baja",AL88="Menor"),AND(AJ88="Baja",AL88="Moderado"),AND(AJ88="Media",AL88="Leve"),AND(AJ88="Media",AL88="Menor"),AND(AJ88="Media",AL88="Moderado"),AND(AJ88="Alta",AL88="Leve"),AND(AJ88="Alta",AL88="Menor")),"Moderado",IF(OR(AND(AJ88="Muy Baja",AL88="Mayor"),AND(AJ88="Baja",AL88="Mayor"),AND(AJ88="Media",AL88="Mayor"),AND(AJ88="Alta",AL88="Moderado"),AND(AJ88="Alta",AL88="Mayor"),AND(AJ88="Muy Alta",AL88="Leve"),AND(AJ88="Muy Alta",AL88="Menor"),AND(AJ88="Muy Alta",AL88="Moderado"),AND(AJ88="Muy Alta",AL88="Mayor")),"Alto",IF(OR(AND(AJ88="Muy Baja",AL88="Catastrófico"),AND(AJ88="Baja",AL88="Catastrófico"),AND(AJ88="Media",AL88="Catastrófico"),AND(AJ88="Alta",AL88="Catastrófico"),AND(AJ88="Muy Alta",AL88="Catastrófico")),"Extremo","")))),"")</f>
        <v/>
      </c>
      <c r="AO88" s="132"/>
      <c r="AP88" s="125"/>
      <c r="AQ88" s="133"/>
      <c r="AR88" s="125"/>
      <c r="AS88" s="134"/>
      <c r="AT88" s="400"/>
      <c r="AU88" s="400"/>
      <c r="AV88" s="400"/>
    </row>
    <row r="89" spans="1:48" ht="15" hidden="1" customHeight="1" x14ac:dyDescent="0.2">
      <c r="A89" s="398"/>
      <c r="B89" s="401"/>
      <c r="C89" s="400"/>
      <c r="D89" s="400"/>
      <c r="E89" s="403"/>
      <c r="F89" s="400"/>
      <c r="G89" s="401"/>
      <c r="H89" s="400"/>
      <c r="I89" s="403"/>
      <c r="J89" s="403"/>
      <c r="K89" s="403"/>
      <c r="L89" s="403"/>
      <c r="M89" s="403"/>
      <c r="N89" s="403"/>
      <c r="O89" s="416"/>
      <c r="P89" s="417"/>
      <c r="Q89" s="405"/>
      <c r="R89" s="406"/>
      <c r="S89" s="405">
        <f>IF(NOT(ISERROR(MATCH(R89,_xlfn.ANCHORARRAY(G100),0))),Q102&amp;"Por favor no seleccionar los criterios de impacto",R89)</f>
        <v>0</v>
      </c>
      <c r="T89" s="417"/>
      <c r="U89" s="405"/>
      <c r="V89" s="418"/>
      <c r="W89" s="149">
        <v>3</v>
      </c>
      <c r="X89" s="182"/>
      <c r="Y89" s="149"/>
      <c r="Z89" s="149"/>
      <c r="AA89" s="174" t="str">
        <f t="shared" si="117"/>
        <v xml:space="preserve">  </v>
      </c>
      <c r="AB89" s="126" t="str">
        <f t="shared" si="116"/>
        <v/>
      </c>
      <c r="AC89" s="127"/>
      <c r="AD89" s="127"/>
      <c r="AE89" s="128" t="str">
        <f t="shared" si="118"/>
        <v/>
      </c>
      <c r="AF89" s="127"/>
      <c r="AG89" s="127"/>
      <c r="AH89" s="127"/>
      <c r="AI89" s="129" t="str">
        <f>IFERROR(IF(AND(AB88="Probabilidad",AB89="Probabilidad"),(AK88-(+AK88*AE89)),IF(AND(AB88="Impacto",AB89="Probabilidad"),(AK87-(+AK87*AE89)),IF(AB89="Impacto",AK88,""))),"")</f>
        <v/>
      </c>
      <c r="AJ89" s="130" t="str">
        <f t="shared" si="119"/>
        <v/>
      </c>
      <c r="AK89" s="128" t="str">
        <f t="shared" si="120"/>
        <v/>
      </c>
      <c r="AL89" s="130" t="str">
        <f t="shared" si="121"/>
        <v/>
      </c>
      <c r="AM89" s="128" t="str">
        <f>IFERROR(IF(AND(AB88="Impacto",AB89="Impacto"),(AM88-(+AM88*AE89)),IF(AND(AB88="Probabilidad",AB89="Impacto"),(AM87-(+AM87*AE89)),IF(AB89="Probabilidad",AM88,""))),"")</f>
        <v/>
      </c>
      <c r="AN89" s="131" t="str">
        <f t="shared" si="122"/>
        <v/>
      </c>
      <c r="AO89" s="132"/>
      <c r="AP89" s="125"/>
      <c r="AQ89" s="133"/>
      <c r="AR89" s="133"/>
      <c r="AS89" s="134"/>
      <c r="AT89" s="400"/>
      <c r="AU89" s="400"/>
      <c r="AV89" s="400"/>
    </row>
    <row r="90" spans="1:48" ht="15" hidden="1" customHeight="1" x14ac:dyDescent="0.2">
      <c r="A90" s="398"/>
      <c r="B90" s="401"/>
      <c r="C90" s="400"/>
      <c r="D90" s="400"/>
      <c r="E90" s="403"/>
      <c r="F90" s="400"/>
      <c r="G90" s="401"/>
      <c r="H90" s="400"/>
      <c r="I90" s="403"/>
      <c r="J90" s="403"/>
      <c r="K90" s="403"/>
      <c r="L90" s="403"/>
      <c r="M90" s="403"/>
      <c r="N90" s="403"/>
      <c r="O90" s="416"/>
      <c r="P90" s="417"/>
      <c r="Q90" s="405"/>
      <c r="R90" s="406"/>
      <c r="S90" s="405">
        <f>IF(NOT(ISERROR(MATCH(R90,_xlfn.ANCHORARRAY(G101),0))),Q103&amp;"Por favor no seleccionar los criterios de impacto",R90)</f>
        <v>0</v>
      </c>
      <c r="T90" s="417"/>
      <c r="U90" s="405"/>
      <c r="V90" s="418"/>
      <c r="W90" s="149">
        <v>4</v>
      </c>
      <c r="X90" s="182"/>
      <c r="Y90" s="149"/>
      <c r="Z90" s="149"/>
      <c r="AA90" s="174" t="str">
        <f t="shared" si="117"/>
        <v xml:space="preserve">  </v>
      </c>
      <c r="AB90" s="126" t="str">
        <f t="shared" si="116"/>
        <v/>
      </c>
      <c r="AC90" s="127"/>
      <c r="AD90" s="127"/>
      <c r="AE90" s="128" t="str">
        <f t="shared" si="118"/>
        <v/>
      </c>
      <c r="AF90" s="127"/>
      <c r="AG90" s="127"/>
      <c r="AH90" s="127"/>
      <c r="AI90" s="129" t="str">
        <f t="shared" ref="AI90:AI92" si="123">IFERROR(IF(AND(AB89="Probabilidad",AB90="Probabilidad"),(AK89-(+AK89*AE90)),IF(AND(AB89="Impacto",AB90="Probabilidad"),(AK88-(+AK88*AE90)),IF(AB90="Impacto",AK89,""))),"")</f>
        <v/>
      </c>
      <c r="AJ90" s="130" t="str">
        <f t="shared" si="119"/>
        <v/>
      </c>
      <c r="AK90" s="128" t="str">
        <f t="shared" si="120"/>
        <v/>
      </c>
      <c r="AL90" s="130" t="str">
        <f t="shared" si="121"/>
        <v/>
      </c>
      <c r="AM90" s="128" t="str">
        <f t="shared" ref="AM90:AM92" si="124">IFERROR(IF(AND(AB89="Impacto",AB90="Impacto"),(AM89-(+AM89*AE90)),IF(AND(AB89="Probabilidad",AB90="Impacto"),(AM88-(+AM88*AE90)),IF(AB90="Probabilidad",AM89,""))),"")</f>
        <v/>
      </c>
      <c r="AN90" s="131" t="str">
        <f>IFERROR(IF(OR(AND(AJ90="Muy Baja",AL90="Leve"),AND(AJ90="Muy Baja",AL90="Menor"),AND(AJ90="Baja",AL90="Leve")),"Bajo",IF(OR(AND(AJ90="Muy baja",AL90="Moderado"),AND(AJ90="Baja",AL90="Menor"),AND(AJ90="Baja",AL90="Moderado"),AND(AJ90="Media",AL90="Leve"),AND(AJ90="Media",AL90="Menor"),AND(AJ90="Media",AL90="Moderado"),AND(AJ90="Alta",AL90="Leve"),AND(AJ90="Alta",AL90="Menor")),"Moderado",IF(OR(AND(AJ90="Muy Baja",AL90="Mayor"),AND(AJ90="Baja",AL90="Mayor"),AND(AJ90="Media",AL90="Mayor"),AND(AJ90="Alta",AL90="Moderado"),AND(AJ90="Alta",AL90="Mayor"),AND(AJ90="Muy Alta",AL90="Leve"),AND(AJ90="Muy Alta",AL90="Menor"),AND(AJ90="Muy Alta",AL90="Moderado"),AND(AJ90="Muy Alta",AL90="Mayor")),"Alto",IF(OR(AND(AJ90="Muy Baja",AL90="Catastrófico"),AND(AJ90="Baja",AL90="Catastrófico"),AND(AJ90="Media",AL90="Catastrófico"),AND(AJ90="Alta",AL90="Catastrófico"),AND(AJ90="Muy Alta",AL90="Catastrófico")),"Extremo","")))),"")</f>
        <v/>
      </c>
      <c r="AO90" s="132"/>
      <c r="AP90" s="125"/>
      <c r="AQ90" s="133"/>
      <c r="AR90" s="133"/>
      <c r="AS90" s="134"/>
      <c r="AT90" s="400"/>
      <c r="AU90" s="400"/>
      <c r="AV90" s="400"/>
    </row>
    <row r="91" spans="1:48" ht="15" hidden="1" customHeight="1" x14ac:dyDescent="0.2">
      <c r="A91" s="398"/>
      <c r="B91" s="401"/>
      <c r="C91" s="400"/>
      <c r="D91" s="400"/>
      <c r="E91" s="403"/>
      <c r="F91" s="400"/>
      <c r="G91" s="401"/>
      <c r="H91" s="400"/>
      <c r="I91" s="403"/>
      <c r="J91" s="403"/>
      <c r="K91" s="403"/>
      <c r="L91" s="403"/>
      <c r="M91" s="403"/>
      <c r="N91" s="403"/>
      <c r="O91" s="416"/>
      <c r="P91" s="417"/>
      <c r="Q91" s="405"/>
      <c r="R91" s="406"/>
      <c r="S91" s="405">
        <f>IF(NOT(ISERROR(MATCH(R91,_xlfn.ANCHORARRAY(G102),0))),Q104&amp;"Por favor no seleccionar los criterios de impacto",R91)</f>
        <v>0</v>
      </c>
      <c r="T91" s="417"/>
      <c r="U91" s="405"/>
      <c r="V91" s="418"/>
      <c r="W91" s="149">
        <v>5</v>
      </c>
      <c r="X91" s="182"/>
      <c r="Y91" s="149"/>
      <c r="Z91" s="149"/>
      <c r="AA91" s="174" t="str">
        <f t="shared" si="117"/>
        <v xml:space="preserve">  </v>
      </c>
      <c r="AB91" s="126" t="str">
        <f t="shared" si="116"/>
        <v/>
      </c>
      <c r="AC91" s="127"/>
      <c r="AD91" s="127"/>
      <c r="AE91" s="128" t="str">
        <f t="shared" si="118"/>
        <v/>
      </c>
      <c r="AF91" s="127"/>
      <c r="AG91" s="127"/>
      <c r="AH91" s="127"/>
      <c r="AI91" s="129" t="str">
        <f t="shared" si="123"/>
        <v/>
      </c>
      <c r="AJ91" s="130" t="str">
        <f t="shared" si="119"/>
        <v/>
      </c>
      <c r="AK91" s="128" t="str">
        <f t="shared" si="120"/>
        <v/>
      </c>
      <c r="AL91" s="130" t="str">
        <f t="shared" si="121"/>
        <v/>
      </c>
      <c r="AM91" s="128" t="str">
        <f t="shared" si="124"/>
        <v/>
      </c>
      <c r="AN91" s="131" t="str">
        <f t="shared" si="122"/>
        <v/>
      </c>
      <c r="AO91" s="132"/>
      <c r="AP91" s="125"/>
      <c r="AQ91" s="133"/>
      <c r="AR91" s="133"/>
      <c r="AS91" s="134"/>
      <c r="AT91" s="400"/>
      <c r="AU91" s="400"/>
      <c r="AV91" s="400"/>
    </row>
    <row r="92" spans="1:48" ht="15" hidden="1" customHeight="1" x14ac:dyDescent="0.2">
      <c r="A92" s="398"/>
      <c r="B92" s="401"/>
      <c r="C92" s="400"/>
      <c r="D92" s="400"/>
      <c r="E92" s="404"/>
      <c r="F92" s="400"/>
      <c r="G92" s="401"/>
      <c r="H92" s="400"/>
      <c r="I92" s="404"/>
      <c r="J92" s="404"/>
      <c r="K92" s="404"/>
      <c r="L92" s="404"/>
      <c r="M92" s="404"/>
      <c r="N92" s="404"/>
      <c r="O92" s="416"/>
      <c r="P92" s="417"/>
      <c r="Q92" s="405"/>
      <c r="R92" s="406"/>
      <c r="S92" s="405">
        <f>IF(NOT(ISERROR(MATCH(R92,_xlfn.ANCHORARRAY(G103),0))),Q105&amp;"Por favor no seleccionar los criterios de impacto",R92)</f>
        <v>0</v>
      </c>
      <c r="T92" s="417"/>
      <c r="U92" s="405"/>
      <c r="V92" s="418"/>
      <c r="W92" s="149">
        <v>6</v>
      </c>
      <c r="X92" s="182"/>
      <c r="Y92" s="149"/>
      <c r="Z92" s="149"/>
      <c r="AA92" s="174" t="str">
        <f t="shared" si="117"/>
        <v xml:space="preserve">  </v>
      </c>
      <c r="AB92" s="126" t="str">
        <f t="shared" si="116"/>
        <v/>
      </c>
      <c r="AC92" s="127"/>
      <c r="AD92" s="127"/>
      <c r="AE92" s="128" t="str">
        <f t="shared" si="118"/>
        <v/>
      </c>
      <c r="AF92" s="127"/>
      <c r="AG92" s="127"/>
      <c r="AH92" s="127"/>
      <c r="AI92" s="129" t="str">
        <f t="shared" si="123"/>
        <v/>
      </c>
      <c r="AJ92" s="130" t="str">
        <f t="shared" si="119"/>
        <v/>
      </c>
      <c r="AK92" s="128" t="str">
        <f t="shared" si="120"/>
        <v/>
      </c>
      <c r="AL92" s="130" t="str">
        <f t="shared" si="121"/>
        <v/>
      </c>
      <c r="AM92" s="128" t="str">
        <f t="shared" si="124"/>
        <v/>
      </c>
      <c r="AN92" s="131" t="str">
        <f t="shared" si="122"/>
        <v/>
      </c>
      <c r="AO92" s="132"/>
      <c r="AP92" s="125"/>
      <c r="AQ92" s="133"/>
      <c r="AR92" s="133"/>
      <c r="AS92" s="134"/>
      <c r="AT92" s="400"/>
      <c r="AU92" s="400"/>
      <c r="AV92" s="400"/>
    </row>
    <row r="93" spans="1:48" hidden="1" x14ac:dyDescent="0.2">
      <c r="A93" s="398"/>
      <c r="B93" s="401"/>
      <c r="C93" s="401"/>
      <c r="D93" s="401"/>
      <c r="E93" s="420"/>
      <c r="F93" s="401"/>
      <c r="G93" s="401"/>
      <c r="H93" s="400"/>
      <c r="I93" s="402"/>
      <c r="J93" s="340"/>
      <c r="K93" s="340"/>
      <c r="L93" s="340"/>
      <c r="M93" s="402"/>
      <c r="N93" s="402"/>
      <c r="O93" s="416"/>
      <c r="P93" s="417"/>
      <c r="Q93" s="405"/>
      <c r="R93" s="406"/>
      <c r="S93" s="405"/>
      <c r="T93" s="417"/>
      <c r="U93" s="405"/>
      <c r="V93" s="418"/>
      <c r="W93" s="149"/>
      <c r="X93" s="149"/>
      <c r="Y93" s="149"/>
      <c r="Z93" s="149"/>
      <c r="AA93" s="304" t="str">
        <f t="shared" si="108"/>
        <v xml:space="preserve">  </v>
      </c>
      <c r="AB93" s="126"/>
      <c r="AC93" s="127"/>
      <c r="AD93" s="127"/>
      <c r="AE93" s="128"/>
      <c r="AF93" s="127"/>
      <c r="AG93" s="127"/>
      <c r="AH93" s="127"/>
      <c r="AI93" s="129"/>
      <c r="AJ93" s="130"/>
      <c r="AK93" s="128"/>
      <c r="AL93" s="130"/>
      <c r="AM93" s="128"/>
      <c r="AN93" s="131"/>
      <c r="AO93" s="132"/>
      <c r="AP93" s="304"/>
      <c r="AQ93" s="353"/>
      <c r="AR93" s="353"/>
      <c r="AS93" s="347"/>
      <c r="AT93" s="416"/>
      <c r="AU93" s="416"/>
      <c r="AV93" s="416"/>
    </row>
    <row r="94" spans="1:48" hidden="1" x14ac:dyDescent="0.2">
      <c r="A94" s="691"/>
      <c r="B94" s="691"/>
      <c r="C94" s="691"/>
      <c r="D94" s="691"/>
      <c r="E94" s="692"/>
      <c r="F94" s="691"/>
      <c r="G94" s="691"/>
      <c r="H94" s="693"/>
      <c r="I94" s="693"/>
      <c r="J94" s="341"/>
      <c r="K94" s="341"/>
      <c r="L94" s="341"/>
      <c r="M94" s="693"/>
      <c r="N94" s="693"/>
      <c r="O94" s="694"/>
      <c r="P94" s="693"/>
      <c r="Q94" s="693"/>
      <c r="R94" s="693"/>
      <c r="S94" s="693"/>
      <c r="T94" s="693"/>
      <c r="U94" s="693"/>
      <c r="V94" s="693"/>
      <c r="W94" s="149"/>
      <c r="X94" s="149"/>
      <c r="Y94" s="149"/>
      <c r="Z94" s="149"/>
      <c r="AA94" s="304" t="str">
        <f t="shared" si="108"/>
        <v xml:space="preserve">  </v>
      </c>
      <c r="AB94" s="126"/>
      <c r="AC94" s="127"/>
      <c r="AD94" s="127"/>
      <c r="AE94" s="128"/>
      <c r="AF94" s="127"/>
      <c r="AG94" s="127"/>
      <c r="AH94" s="127"/>
      <c r="AI94" s="129"/>
      <c r="AJ94" s="130"/>
      <c r="AK94" s="128"/>
      <c r="AL94" s="130"/>
      <c r="AM94" s="128"/>
      <c r="AN94" s="131"/>
      <c r="AO94" s="132"/>
      <c r="AP94" s="304"/>
      <c r="AQ94" s="353"/>
      <c r="AR94" s="353"/>
      <c r="AS94" s="347"/>
      <c r="AT94" s="693"/>
      <c r="AU94" s="693"/>
      <c r="AV94" s="693"/>
    </row>
    <row r="95" spans="1:48" hidden="1" x14ac:dyDescent="0.2">
      <c r="A95" s="691"/>
      <c r="B95" s="691"/>
      <c r="C95" s="691"/>
      <c r="D95" s="691"/>
      <c r="E95" s="692"/>
      <c r="F95" s="691"/>
      <c r="G95" s="691"/>
      <c r="H95" s="693"/>
      <c r="I95" s="693"/>
      <c r="J95" s="341"/>
      <c r="K95" s="341"/>
      <c r="L95" s="341"/>
      <c r="M95" s="693"/>
      <c r="N95" s="693"/>
      <c r="O95" s="694"/>
      <c r="P95" s="693"/>
      <c r="Q95" s="693"/>
      <c r="R95" s="693"/>
      <c r="S95" s="693"/>
      <c r="T95" s="693"/>
      <c r="U95" s="693"/>
      <c r="V95" s="693"/>
      <c r="W95" s="149"/>
      <c r="X95" s="149"/>
      <c r="Y95" s="149"/>
      <c r="Z95" s="149"/>
      <c r="AA95" s="304" t="str">
        <f t="shared" si="108"/>
        <v xml:space="preserve">  </v>
      </c>
      <c r="AB95" s="126"/>
      <c r="AC95" s="127"/>
      <c r="AD95" s="127"/>
      <c r="AE95" s="128"/>
      <c r="AF95" s="127"/>
      <c r="AG95" s="127"/>
      <c r="AH95" s="127"/>
      <c r="AI95" s="129"/>
      <c r="AJ95" s="130"/>
      <c r="AK95" s="128"/>
      <c r="AL95" s="130"/>
      <c r="AM95" s="128"/>
      <c r="AN95" s="131"/>
      <c r="AO95" s="132"/>
      <c r="AP95" s="304"/>
      <c r="AQ95" s="353"/>
      <c r="AR95" s="353"/>
      <c r="AS95" s="347"/>
      <c r="AT95" s="693"/>
      <c r="AU95" s="693"/>
      <c r="AV95" s="693"/>
    </row>
    <row r="96" spans="1:48" hidden="1" x14ac:dyDescent="0.2">
      <c r="A96" s="691"/>
      <c r="B96" s="691"/>
      <c r="C96" s="691"/>
      <c r="D96" s="691"/>
      <c r="E96" s="692"/>
      <c r="F96" s="691"/>
      <c r="G96" s="691"/>
      <c r="H96" s="693"/>
      <c r="I96" s="693"/>
      <c r="J96" s="341"/>
      <c r="K96" s="341"/>
      <c r="L96" s="341"/>
      <c r="M96" s="693"/>
      <c r="N96" s="693"/>
      <c r="O96" s="694"/>
      <c r="P96" s="693"/>
      <c r="Q96" s="693"/>
      <c r="R96" s="693"/>
      <c r="S96" s="693"/>
      <c r="T96" s="693"/>
      <c r="U96" s="693"/>
      <c r="V96" s="693"/>
      <c r="W96" s="149"/>
      <c r="X96" s="149"/>
      <c r="Y96" s="149"/>
      <c r="Z96" s="149"/>
      <c r="AA96" s="304" t="str">
        <f t="shared" si="108"/>
        <v xml:space="preserve">  </v>
      </c>
      <c r="AB96" s="126"/>
      <c r="AC96" s="127"/>
      <c r="AD96" s="127"/>
      <c r="AE96" s="128"/>
      <c r="AF96" s="127"/>
      <c r="AG96" s="127"/>
      <c r="AH96" s="127"/>
      <c r="AI96" s="129"/>
      <c r="AJ96" s="130"/>
      <c r="AK96" s="128"/>
      <c r="AL96" s="130"/>
      <c r="AM96" s="128"/>
      <c r="AN96" s="131"/>
      <c r="AO96" s="132"/>
      <c r="AP96" s="304"/>
      <c r="AQ96" s="353"/>
      <c r="AR96" s="353"/>
      <c r="AS96" s="347"/>
      <c r="AT96" s="693"/>
      <c r="AU96" s="693"/>
      <c r="AV96" s="693"/>
    </row>
    <row r="97" spans="1:48" hidden="1" x14ac:dyDescent="0.2">
      <c r="A97" s="691"/>
      <c r="B97" s="691"/>
      <c r="C97" s="691"/>
      <c r="D97" s="691"/>
      <c r="E97" s="692"/>
      <c r="F97" s="691"/>
      <c r="G97" s="691"/>
      <c r="H97" s="693"/>
      <c r="I97" s="693"/>
      <c r="J97" s="341"/>
      <c r="K97" s="341"/>
      <c r="L97" s="341"/>
      <c r="M97" s="693"/>
      <c r="N97" s="693"/>
      <c r="O97" s="694"/>
      <c r="P97" s="693"/>
      <c r="Q97" s="693"/>
      <c r="R97" s="693"/>
      <c r="S97" s="693"/>
      <c r="T97" s="693"/>
      <c r="U97" s="693"/>
      <c r="V97" s="693"/>
      <c r="W97" s="149"/>
      <c r="X97" s="149"/>
      <c r="Y97" s="149"/>
      <c r="Z97" s="149"/>
      <c r="AA97" s="304"/>
      <c r="AB97" s="126"/>
      <c r="AC97" s="127"/>
      <c r="AD97" s="127"/>
      <c r="AE97" s="128"/>
      <c r="AF97" s="127"/>
      <c r="AG97" s="127"/>
      <c r="AH97" s="127"/>
      <c r="AI97" s="129"/>
      <c r="AJ97" s="130"/>
      <c r="AK97" s="128"/>
      <c r="AL97" s="130"/>
      <c r="AM97" s="128"/>
      <c r="AN97" s="131"/>
      <c r="AO97" s="132"/>
      <c r="AP97" s="125"/>
      <c r="AQ97" s="133"/>
      <c r="AR97" s="133"/>
      <c r="AS97" s="134"/>
      <c r="AT97" s="693"/>
      <c r="AU97" s="693"/>
      <c r="AV97" s="693"/>
    </row>
  </sheetData>
  <dataConsolidate/>
  <mergeCells count="427">
    <mergeCell ref="J81:J86"/>
    <mergeCell ref="K81:K86"/>
    <mergeCell ref="L81:L86"/>
    <mergeCell ref="AT75:AT80"/>
    <mergeCell ref="AU75:AU80"/>
    <mergeCell ref="AV75:AV80"/>
    <mergeCell ref="J87:J92"/>
    <mergeCell ref="K87:K92"/>
    <mergeCell ref="L87:L92"/>
    <mergeCell ref="T87:T92"/>
    <mergeCell ref="U87:U92"/>
    <mergeCell ref="V87:V92"/>
    <mergeCell ref="AT87:AT92"/>
    <mergeCell ref="AU87:AU92"/>
    <mergeCell ref="AV87:AV92"/>
    <mergeCell ref="V81:V86"/>
    <mergeCell ref="AT81:AT86"/>
    <mergeCell ref="AU81:AU86"/>
    <mergeCell ref="AV81:AV86"/>
    <mergeCell ref="M81:M86"/>
    <mergeCell ref="N81:N86"/>
    <mergeCell ref="O81:O86"/>
    <mergeCell ref="P81:P86"/>
    <mergeCell ref="Q81:Q86"/>
    <mergeCell ref="V93:V97"/>
    <mergeCell ref="AT93:AT97"/>
    <mergeCell ref="AU93:AU97"/>
    <mergeCell ref="AV93:AV97"/>
    <mergeCell ref="M93:M97"/>
    <mergeCell ref="N93:N97"/>
    <mergeCell ref="O93:O97"/>
    <mergeCell ref="P93:P97"/>
    <mergeCell ref="Q93:Q97"/>
    <mergeCell ref="R93:R97"/>
    <mergeCell ref="S93:S97"/>
    <mergeCell ref="T93:T97"/>
    <mergeCell ref="U93:U97"/>
    <mergeCell ref="I87:I92"/>
    <mergeCell ref="A93:A97"/>
    <mergeCell ref="B93:B97"/>
    <mergeCell ref="C93:C97"/>
    <mergeCell ref="D93:D97"/>
    <mergeCell ref="E93:E97"/>
    <mergeCell ref="F93:F97"/>
    <mergeCell ref="G93:G97"/>
    <mergeCell ref="H93:H97"/>
    <mergeCell ref="I93:I97"/>
    <mergeCell ref="A87:A92"/>
    <mergeCell ref="B87:B92"/>
    <mergeCell ref="C87:C92"/>
    <mergeCell ref="D87:D92"/>
    <mergeCell ref="E87:E92"/>
    <mergeCell ref="F87:F92"/>
    <mergeCell ref="G87:G92"/>
    <mergeCell ref="H87:H92"/>
    <mergeCell ref="R81:R86"/>
    <mergeCell ref="S81:S86"/>
    <mergeCell ref="T81:T86"/>
    <mergeCell ref="U81:U86"/>
    <mergeCell ref="M87:M92"/>
    <mergeCell ref="N87:N92"/>
    <mergeCell ref="O87:O92"/>
    <mergeCell ref="P87:P92"/>
    <mergeCell ref="Q87:Q92"/>
    <mergeCell ref="R87:R92"/>
    <mergeCell ref="S87:S92"/>
    <mergeCell ref="A81:A86"/>
    <mergeCell ref="B81:B86"/>
    <mergeCell ref="C81:C86"/>
    <mergeCell ref="D81:D86"/>
    <mergeCell ref="E81:E86"/>
    <mergeCell ref="F81:F86"/>
    <mergeCell ref="G81:G86"/>
    <mergeCell ref="H81:H86"/>
    <mergeCell ref="I81:I86"/>
    <mergeCell ref="AU69:AU74"/>
    <mergeCell ref="AV69:AV74"/>
    <mergeCell ref="A75:A80"/>
    <mergeCell ref="B75:B80"/>
    <mergeCell ref="C75:C80"/>
    <mergeCell ref="D75:D80"/>
    <mergeCell ref="E75:E80"/>
    <mergeCell ref="F75:F80"/>
    <mergeCell ref="G75:G80"/>
    <mergeCell ref="H75:H80"/>
    <mergeCell ref="I75:I80"/>
    <mergeCell ref="M75:M80"/>
    <mergeCell ref="N75:N80"/>
    <mergeCell ref="O75:O80"/>
    <mergeCell ref="P75:P80"/>
    <mergeCell ref="Q75:Q80"/>
    <mergeCell ref="R75:R80"/>
    <mergeCell ref="S75:S80"/>
    <mergeCell ref="T75:T80"/>
    <mergeCell ref="U75:U80"/>
    <mergeCell ref="V75:V80"/>
    <mergeCell ref="J69:J74"/>
    <mergeCell ref="K69:K74"/>
    <mergeCell ref="L69:L74"/>
    <mergeCell ref="A69:A74"/>
    <mergeCell ref="B69:B74"/>
    <mergeCell ref="C69:C74"/>
    <mergeCell ref="D69:D74"/>
    <mergeCell ref="E69:E74"/>
    <mergeCell ref="F69:F74"/>
    <mergeCell ref="G69:G74"/>
    <mergeCell ref="H69:H74"/>
    <mergeCell ref="I69:I74"/>
    <mergeCell ref="A1:D4"/>
    <mergeCell ref="E1:U2"/>
    <mergeCell ref="AB1:AV2"/>
    <mergeCell ref="E3:J3"/>
    <mergeCell ref="K3:U3"/>
    <mergeCell ref="AB3:AP3"/>
    <mergeCell ref="AQ3:AV3"/>
    <mergeCell ref="E4:U4"/>
    <mergeCell ref="AB4:AV4"/>
    <mergeCell ref="AO6:AS6"/>
    <mergeCell ref="AT6:AV6"/>
    <mergeCell ref="A7:A8"/>
    <mergeCell ref="B7:B8"/>
    <mergeCell ref="C7:C8"/>
    <mergeCell ref="D7:D8"/>
    <mergeCell ref="E7:E8"/>
    <mergeCell ref="F7:F8"/>
    <mergeCell ref="G7:G8"/>
    <mergeCell ref="H7:H8"/>
    <mergeCell ref="A6:H6"/>
    <mergeCell ref="I6:L6"/>
    <mergeCell ref="M6:N7"/>
    <mergeCell ref="O6:V6"/>
    <mergeCell ref="W6:AI6"/>
    <mergeCell ref="AJ6:AN6"/>
    <mergeCell ref="I7:I8"/>
    <mergeCell ref="J7:J8"/>
    <mergeCell ref="K7:K8"/>
    <mergeCell ref="L7:L8"/>
    <mergeCell ref="W7:W8"/>
    <mergeCell ref="AA7:AA8"/>
    <mergeCell ref="AB7:AB8"/>
    <mergeCell ref="AC7:AH7"/>
    <mergeCell ref="O7:O8"/>
    <mergeCell ref="P7:P8"/>
    <mergeCell ref="Q7:Q8"/>
    <mergeCell ref="R7:R8"/>
    <mergeCell ref="S7:S8"/>
    <mergeCell ref="T7:T8"/>
    <mergeCell ref="AU7:AU8"/>
    <mergeCell ref="AV7:AV8"/>
    <mergeCell ref="A9:A14"/>
    <mergeCell ref="B9:B14"/>
    <mergeCell ref="C9:C14"/>
    <mergeCell ref="D9:D14"/>
    <mergeCell ref="E9:E14"/>
    <mergeCell ref="F9:F14"/>
    <mergeCell ref="G9:G14"/>
    <mergeCell ref="H9:H14"/>
    <mergeCell ref="AO7:AO8"/>
    <mergeCell ref="AP7:AP8"/>
    <mergeCell ref="AQ7:AQ8"/>
    <mergeCell ref="AR7:AR8"/>
    <mergeCell ref="AS7:AS8"/>
    <mergeCell ref="AT7:AT8"/>
    <mergeCell ref="AI7:AI8"/>
    <mergeCell ref="AJ7:AJ8"/>
    <mergeCell ref="AK7:AK8"/>
    <mergeCell ref="AL7:AL8"/>
    <mergeCell ref="AM7:AM8"/>
    <mergeCell ref="AN7:AN8"/>
    <mergeCell ref="U7:U8"/>
    <mergeCell ref="V7:V8"/>
    <mergeCell ref="A15:A20"/>
    <mergeCell ref="B15:B20"/>
    <mergeCell ref="C15:C20"/>
    <mergeCell ref="D15:D20"/>
    <mergeCell ref="E15:E20"/>
    <mergeCell ref="O9:O14"/>
    <mergeCell ref="P9:P14"/>
    <mergeCell ref="Q9:Q14"/>
    <mergeCell ref="R9:R14"/>
    <mergeCell ref="I9:I14"/>
    <mergeCell ref="J9:J14"/>
    <mergeCell ref="K9:K14"/>
    <mergeCell ref="L9:L14"/>
    <mergeCell ref="M9:M14"/>
    <mergeCell ref="N9:N14"/>
    <mergeCell ref="H15:H20"/>
    <mergeCell ref="I15:I20"/>
    <mergeCell ref="J15:J20"/>
    <mergeCell ref="U9:U14"/>
    <mergeCell ref="V9:V14"/>
    <mergeCell ref="AT9:AT14"/>
    <mergeCell ref="AU9:AU14"/>
    <mergeCell ref="AV9:AV14"/>
    <mergeCell ref="S9:S14"/>
    <mergeCell ref="T9:T14"/>
    <mergeCell ref="AU15:AU20"/>
    <mergeCell ref="AV15:AV20"/>
    <mergeCell ref="S15:S20"/>
    <mergeCell ref="T15:T20"/>
    <mergeCell ref="U15:U20"/>
    <mergeCell ref="V15:V20"/>
    <mergeCell ref="AT15:AT20"/>
    <mergeCell ref="F21:F26"/>
    <mergeCell ref="G21:G26"/>
    <mergeCell ref="H21:H26"/>
    <mergeCell ref="R15:R20"/>
    <mergeCell ref="L15:L20"/>
    <mergeCell ref="M15:M20"/>
    <mergeCell ref="N15:N20"/>
    <mergeCell ref="O15:O20"/>
    <mergeCell ref="P15:P20"/>
    <mergeCell ref="Q15:Q20"/>
    <mergeCell ref="F15:F20"/>
    <mergeCell ref="G15:G20"/>
    <mergeCell ref="K15:K20"/>
    <mergeCell ref="A27:A32"/>
    <mergeCell ref="B27:B32"/>
    <mergeCell ref="C27:C32"/>
    <mergeCell ref="D27:D32"/>
    <mergeCell ref="E27:E32"/>
    <mergeCell ref="O21:O26"/>
    <mergeCell ref="P21:P26"/>
    <mergeCell ref="Q21:Q26"/>
    <mergeCell ref="R21:R26"/>
    <mergeCell ref="I21:I26"/>
    <mergeCell ref="J21:J26"/>
    <mergeCell ref="K21:K26"/>
    <mergeCell ref="L21:L26"/>
    <mergeCell ref="M21:M26"/>
    <mergeCell ref="N21:N26"/>
    <mergeCell ref="H27:H32"/>
    <mergeCell ref="I27:I32"/>
    <mergeCell ref="J27:J32"/>
    <mergeCell ref="K27:K32"/>
    <mergeCell ref="A21:A26"/>
    <mergeCell ref="B21:B26"/>
    <mergeCell ref="C21:C26"/>
    <mergeCell ref="D21:D26"/>
    <mergeCell ref="E21:E26"/>
    <mergeCell ref="U21:U26"/>
    <mergeCell ref="V21:V26"/>
    <mergeCell ref="AT21:AT26"/>
    <mergeCell ref="AU21:AU26"/>
    <mergeCell ref="AV21:AV26"/>
    <mergeCell ref="S21:S26"/>
    <mergeCell ref="T21:T26"/>
    <mergeCell ref="AU27:AU32"/>
    <mergeCell ref="AV27:AV32"/>
    <mergeCell ref="S27:S32"/>
    <mergeCell ref="T27:T32"/>
    <mergeCell ref="U27:U32"/>
    <mergeCell ref="V27:V32"/>
    <mergeCell ref="AT27:AT32"/>
    <mergeCell ref="F33:F38"/>
    <mergeCell ref="G33:G38"/>
    <mergeCell ref="H33:H38"/>
    <mergeCell ref="R27:R32"/>
    <mergeCell ref="L27:L32"/>
    <mergeCell ref="M27:M32"/>
    <mergeCell ref="N27:N32"/>
    <mergeCell ref="O27:O32"/>
    <mergeCell ref="P27:P32"/>
    <mergeCell ref="Q27:Q32"/>
    <mergeCell ref="F27:F32"/>
    <mergeCell ref="G27:G32"/>
    <mergeCell ref="A39:A44"/>
    <mergeCell ref="B39:B44"/>
    <mergeCell ref="C39:C44"/>
    <mergeCell ref="D39:D44"/>
    <mergeCell ref="E39:E44"/>
    <mergeCell ref="O33:O38"/>
    <mergeCell ref="P33:P38"/>
    <mergeCell ref="Q33:Q38"/>
    <mergeCell ref="R33:R38"/>
    <mergeCell ref="I33:I38"/>
    <mergeCell ref="J33:J38"/>
    <mergeCell ref="K33:K38"/>
    <mergeCell ref="L33:L38"/>
    <mergeCell ref="M33:M38"/>
    <mergeCell ref="N33:N38"/>
    <mergeCell ref="H39:H44"/>
    <mergeCell ref="I39:I44"/>
    <mergeCell ref="J39:J44"/>
    <mergeCell ref="K39:K44"/>
    <mergeCell ref="A33:A38"/>
    <mergeCell ref="B33:B38"/>
    <mergeCell ref="C33:C38"/>
    <mergeCell ref="D33:D38"/>
    <mergeCell ref="E33:E38"/>
    <mergeCell ref="U33:U38"/>
    <mergeCell ref="V33:V38"/>
    <mergeCell ref="AT33:AT38"/>
    <mergeCell ref="AU33:AU38"/>
    <mergeCell ref="AV33:AV38"/>
    <mergeCell ref="S33:S38"/>
    <mergeCell ref="T33:T38"/>
    <mergeCell ref="AU39:AU44"/>
    <mergeCell ref="AV39:AV44"/>
    <mergeCell ref="S39:S44"/>
    <mergeCell ref="T39:T44"/>
    <mergeCell ref="U39:U44"/>
    <mergeCell ref="V39:V44"/>
    <mergeCell ref="AT39:AT44"/>
    <mergeCell ref="D45:D50"/>
    <mergeCell ref="E45:E50"/>
    <mergeCell ref="F45:F50"/>
    <mergeCell ref="G45:G50"/>
    <mergeCell ref="H45:H50"/>
    <mergeCell ref="R39:R44"/>
    <mergeCell ref="L39:L44"/>
    <mergeCell ref="M39:M44"/>
    <mergeCell ref="N39:N44"/>
    <mergeCell ref="O39:O44"/>
    <mergeCell ref="P39:P44"/>
    <mergeCell ref="Q39:Q44"/>
    <mergeCell ref="F39:F44"/>
    <mergeCell ref="G39:G44"/>
    <mergeCell ref="AT45:AT50"/>
    <mergeCell ref="AU45:AU50"/>
    <mergeCell ref="AV45:AV50"/>
    <mergeCell ref="S45:S50"/>
    <mergeCell ref="T45:T50"/>
    <mergeCell ref="AU51:AU56"/>
    <mergeCell ref="AV51:AV56"/>
    <mergeCell ref="S51:S56"/>
    <mergeCell ref="T51:T56"/>
    <mergeCell ref="U51:U56"/>
    <mergeCell ref="V51:V56"/>
    <mergeCell ref="AT51:AT56"/>
    <mergeCell ref="A51:A56"/>
    <mergeCell ref="B51:B56"/>
    <mergeCell ref="C51:C56"/>
    <mergeCell ref="D51:D56"/>
    <mergeCell ref="E51:E56"/>
    <mergeCell ref="H51:H56"/>
    <mergeCell ref="I51:I56"/>
    <mergeCell ref="U45:U50"/>
    <mergeCell ref="V45:V50"/>
    <mergeCell ref="O45:O50"/>
    <mergeCell ref="P45:P50"/>
    <mergeCell ref="Q45:Q50"/>
    <mergeCell ref="R45:R50"/>
    <mergeCell ref="I45:I50"/>
    <mergeCell ref="J45:J50"/>
    <mergeCell ref="K45:K50"/>
    <mergeCell ref="L45:L50"/>
    <mergeCell ref="M45:M50"/>
    <mergeCell ref="N45:N50"/>
    <mergeCell ref="J51:J56"/>
    <mergeCell ref="K51:K56"/>
    <mergeCell ref="A45:A50"/>
    <mergeCell ref="B45:B50"/>
    <mergeCell ref="C45:C50"/>
    <mergeCell ref="R51:R56"/>
    <mergeCell ref="L51:L56"/>
    <mergeCell ref="M51:M56"/>
    <mergeCell ref="N51:N56"/>
    <mergeCell ref="O51:O56"/>
    <mergeCell ref="P51:P56"/>
    <mergeCell ref="Q51:Q56"/>
    <mergeCell ref="F51:F56"/>
    <mergeCell ref="G51:G56"/>
    <mergeCell ref="A57:A62"/>
    <mergeCell ref="B57:B62"/>
    <mergeCell ref="C57:C62"/>
    <mergeCell ref="D57:D62"/>
    <mergeCell ref="E57:E62"/>
    <mergeCell ref="F57:F62"/>
    <mergeCell ref="G57:G62"/>
    <mergeCell ref="H57:H62"/>
    <mergeCell ref="I63:I68"/>
    <mergeCell ref="A63:A68"/>
    <mergeCell ref="B63:B68"/>
    <mergeCell ref="C63:C68"/>
    <mergeCell ref="D63:D68"/>
    <mergeCell ref="E63:E68"/>
    <mergeCell ref="F63:F68"/>
    <mergeCell ref="G63:G68"/>
    <mergeCell ref="H63:H68"/>
    <mergeCell ref="V57:V62"/>
    <mergeCell ref="AT57:AT62"/>
    <mergeCell ref="I57:I62"/>
    <mergeCell ref="M57:M62"/>
    <mergeCell ref="J63:J68"/>
    <mergeCell ref="K63:K68"/>
    <mergeCell ref="L63:L68"/>
    <mergeCell ref="AU63:AU68"/>
    <mergeCell ref="AV63:AV68"/>
    <mergeCell ref="M63:M68"/>
    <mergeCell ref="N63:N68"/>
    <mergeCell ref="O63:O68"/>
    <mergeCell ref="P63:P68"/>
    <mergeCell ref="Q63:Q68"/>
    <mergeCell ref="AU57:AU62"/>
    <mergeCell ref="AV57:AV62"/>
    <mergeCell ref="O57:O62"/>
    <mergeCell ref="P57:P62"/>
    <mergeCell ref="Q57:Q62"/>
    <mergeCell ref="R57:R62"/>
    <mergeCell ref="S57:S62"/>
    <mergeCell ref="T57:T62"/>
    <mergeCell ref="U57:U62"/>
    <mergeCell ref="J75:J80"/>
    <mergeCell ref="K75:K80"/>
    <mergeCell ref="L75:L80"/>
    <mergeCell ref="V69:V74"/>
    <mergeCell ref="AT69:AT74"/>
    <mergeCell ref="J57:J62"/>
    <mergeCell ref="K57:K62"/>
    <mergeCell ref="L57:L62"/>
    <mergeCell ref="M69:M74"/>
    <mergeCell ref="N69:N74"/>
    <mergeCell ref="O69:O74"/>
    <mergeCell ref="P69:P74"/>
    <mergeCell ref="Q69:Q74"/>
    <mergeCell ref="R69:R74"/>
    <mergeCell ref="S69:S74"/>
    <mergeCell ref="T69:T74"/>
    <mergeCell ref="U69:U74"/>
    <mergeCell ref="R63:R68"/>
    <mergeCell ref="S63:S68"/>
    <mergeCell ref="T63:T68"/>
    <mergeCell ref="U63:U68"/>
    <mergeCell ref="V63:V68"/>
    <mergeCell ref="AT63:AT68"/>
    <mergeCell ref="N57:N62"/>
  </mergeCells>
  <conditionalFormatting sqref="P9 P15">
    <cfRule type="cellIs" dxfId="367" priority="289" operator="equal">
      <formula>"Baja"</formula>
    </cfRule>
    <cfRule type="cellIs" dxfId="366" priority="288" operator="equal">
      <formula>"Media"</formula>
    </cfRule>
    <cfRule type="cellIs" dxfId="365" priority="287" operator="equal">
      <formula>"Alta"</formula>
    </cfRule>
    <cfRule type="cellIs" dxfId="364" priority="286" operator="equal">
      <formula>"Muy Alta"</formula>
    </cfRule>
    <cfRule type="cellIs" dxfId="363" priority="290" operator="equal">
      <formula>"Muy Baja"</formula>
    </cfRule>
  </conditionalFormatting>
  <conditionalFormatting sqref="P21">
    <cfRule type="cellIs" dxfId="362" priority="271" operator="equal">
      <formula>"Baja"</formula>
    </cfRule>
    <cfRule type="cellIs" dxfId="361" priority="268" operator="equal">
      <formula>"Muy Alta"</formula>
    </cfRule>
    <cfRule type="cellIs" dxfId="360" priority="272" operator="equal">
      <formula>"Muy Baja"</formula>
    </cfRule>
    <cfRule type="cellIs" dxfId="359" priority="270" operator="equal">
      <formula>"Media"</formula>
    </cfRule>
    <cfRule type="cellIs" dxfId="358" priority="269" operator="equal">
      <formula>"Alta"</formula>
    </cfRule>
  </conditionalFormatting>
  <conditionalFormatting sqref="P27">
    <cfRule type="cellIs" dxfId="357" priority="263" operator="equal">
      <formula>"Muy Baja"</formula>
    </cfRule>
    <cfRule type="cellIs" dxfId="356" priority="259" operator="equal">
      <formula>"Muy Alta"</formula>
    </cfRule>
    <cfRule type="cellIs" dxfId="355" priority="262" operator="equal">
      <formula>"Baja"</formula>
    </cfRule>
    <cfRule type="cellIs" dxfId="354" priority="261" operator="equal">
      <formula>"Media"</formula>
    </cfRule>
    <cfRule type="cellIs" dxfId="353" priority="260" operator="equal">
      <formula>"Alta"</formula>
    </cfRule>
  </conditionalFormatting>
  <conditionalFormatting sqref="P33">
    <cfRule type="cellIs" dxfId="352" priority="251" operator="equal">
      <formula>"Alta"</formula>
    </cfRule>
    <cfRule type="cellIs" dxfId="351" priority="253" operator="equal">
      <formula>"Baja"</formula>
    </cfRule>
    <cfRule type="cellIs" dxfId="350" priority="252" operator="equal">
      <formula>"Media"</formula>
    </cfRule>
    <cfRule type="cellIs" dxfId="349" priority="254" operator="equal">
      <formula>"Muy Baja"</formula>
    </cfRule>
    <cfRule type="cellIs" dxfId="348" priority="250" operator="equal">
      <formula>"Muy Alta"</formula>
    </cfRule>
  </conditionalFormatting>
  <conditionalFormatting sqref="P39">
    <cfRule type="cellIs" dxfId="347" priority="245" operator="equal">
      <formula>"Muy Baja"</formula>
    </cfRule>
    <cfRule type="cellIs" dxfId="346" priority="244" operator="equal">
      <formula>"Baja"</formula>
    </cfRule>
    <cfRule type="cellIs" dxfId="345" priority="243" operator="equal">
      <formula>"Media"</formula>
    </cfRule>
    <cfRule type="cellIs" dxfId="344" priority="242" operator="equal">
      <formula>"Alta"</formula>
    </cfRule>
    <cfRule type="cellIs" dxfId="343" priority="241" operator="equal">
      <formula>"Muy Alta"</formula>
    </cfRule>
  </conditionalFormatting>
  <conditionalFormatting sqref="P45">
    <cfRule type="cellIs" dxfId="342" priority="232" operator="equal">
      <formula>"Muy Alta"</formula>
    </cfRule>
    <cfRule type="cellIs" dxfId="341" priority="233" operator="equal">
      <formula>"Alta"</formula>
    </cfRule>
    <cfRule type="cellIs" dxfId="340" priority="236" operator="equal">
      <formula>"Muy Baja"</formula>
    </cfRule>
    <cfRule type="cellIs" dxfId="339" priority="235" operator="equal">
      <formula>"Baja"</formula>
    </cfRule>
    <cfRule type="cellIs" dxfId="338" priority="234" operator="equal">
      <formula>"Media"</formula>
    </cfRule>
  </conditionalFormatting>
  <conditionalFormatting sqref="P51">
    <cfRule type="cellIs" dxfId="337" priority="187" operator="equal">
      <formula>"Alta"</formula>
    </cfRule>
    <cfRule type="cellIs" dxfId="336" priority="188" operator="equal">
      <formula>"Media"</formula>
    </cfRule>
    <cfRule type="cellIs" dxfId="335" priority="189" operator="equal">
      <formula>"Baja"</formula>
    </cfRule>
    <cfRule type="cellIs" dxfId="334" priority="186" operator="equal">
      <formula>"Muy Alta"</formula>
    </cfRule>
    <cfRule type="cellIs" dxfId="333" priority="190" operator="equal">
      <formula>"Muy Baja"</formula>
    </cfRule>
  </conditionalFormatting>
  <conditionalFormatting sqref="P57">
    <cfRule type="cellIs" dxfId="332" priority="151" operator="equal">
      <formula>"Media"</formula>
    </cfRule>
    <cfRule type="cellIs" dxfId="331" priority="149" operator="equal">
      <formula>"Muy Alta"</formula>
    </cfRule>
    <cfRule type="cellIs" dxfId="330" priority="152" operator="equal">
      <formula>"Baja"</formula>
    </cfRule>
    <cfRule type="cellIs" dxfId="329" priority="153" operator="equal">
      <formula>"Muy Baja"</formula>
    </cfRule>
    <cfRule type="cellIs" dxfId="328" priority="150" operator="equal">
      <formula>"Alta"</formula>
    </cfRule>
  </conditionalFormatting>
  <conditionalFormatting sqref="P63 P69 P75 P81">
    <cfRule type="cellIs" dxfId="327" priority="42" operator="equal">
      <formula>"Baja"</formula>
    </cfRule>
    <cfRule type="cellIs" dxfId="326" priority="39" operator="equal">
      <formula>"Muy Alta"</formula>
    </cfRule>
    <cfRule type="cellIs" dxfId="325" priority="40" operator="equal">
      <formula>"Alta"</formula>
    </cfRule>
    <cfRule type="cellIs" dxfId="324" priority="41" operator="equal">
      <formula>"Media"</formula>
    </cfRule>
    <cfRule type="cellIs" dxfId="323" priority="43" operator="equal">
      <formula>"Muy Baja"</formula>
    </cfRule>
  </conditionalFormatting>
  <conditionalFormatting sqref="P87">
    <cfRule type="cellIs" dxfId="322" priority="25" operator="equal">
      <formula>"Muy Alta"</formula>
    </cfRule>
    <cfRule type="cellIs" dxfId="321" priority="27" operator="equal">
      <formula>"Media"</formula>
    </cfRule>
    <cfRule type="cellIs" dxfId="320" priority="28" operator="equal">
      <formula>"Baja"</formula>
    </cfRule>
    <cfRule type="cellIs" dxfId="319" priority="29" operator="equal">
      <formula>"Muy Baja"</formula>
    </cfRule>
    <cfRule type="cellIs" dxfId="318" priority="26" operator="equal">
      <formula>"Alta"</formula>
    </cfRule>
  </conditionalFormatting>
  <conditionalFormatting sqref="P93">
    <cfRule type="cellIs" dxfId="317" priority="162" operator="equal">
      <formula>"Muy Baja"</formula>
    </cfRule>
    <cfRule type="cellIs" dxfId="316" priority="158" operator="equal">
      <formula>"Muy Alta"</formula>
    </cfRule>
    <cfRule type="cellIs" dxfId="315" priority="159" operator="equal">
      <formula>"Alta"</formula>
    </cfRule>
    <cfRule type="cellIs" dxfId="314" priority="160" operator="equal">
      <formula>"Media"</formula>
    </cfRule>
    <cfRule type="cellIs" dxfId="313" priority="161" operator="equal">
      <formula>"Baja"</formula>
    </cfRule>
  </conditionalFormatting>
  <conditionalFormatting sqref="S9:S97">
    <cfRule type="containsText" dxfId="312" priority="1" operator="containsText" text="❌">
      <formula>NOT(ISERROR(SEARCH("❌",S9)))</formula>
    </cfRule>
  </conditionalFormatting>
  <conditionalFormatting sqref="T9 T15 T21 T27 T33 T39 T45 T51">
    <cfRule type="cellIs" dxfId="311" priority="282" operator="equal">
      <formula>"Mayor"</formula>
    </cfRule>
    <cfRule type="cellIs" dxfId="310" priority="284" operator="equal">
      <formula>"Menor"</formula>
    </cfRule>
    <cfRule type="cellIs" dxfId="309" priority="285" operator="equal">
      <formula>"Leve"</formula>
    </cfRule>
    <cfRule type="cellIs" dxfId="308" priority="283" operator="equal">
      <formula>"Moderado"</formula>
    </cfRule>
    <cfRule type="cellIs" dxfId="307" priority="281" operator="equal">
      <formula>"Catastrófico"</formula>
    </cfRule>
  </conditionalFormatting>
  <conditionalFormatting sqref="T57">
    <cfRule type="cellIs" dxfId="306" priority="144" operator="equal">
      <formula>"Catastrófico"</formula>
    </cfRule>
    <cfRule type="cellIs" dxfId="305" priority="145" operator="equal">
      <formula>"Mayor"</formula>
    </cfRule>
    <cfRule type="cellIs" dxfId="304" priority="147" operator="equal">
      <formula>"Menor"</formula>
    </cfRule>
    <cfRule type="cellIs" dxfId="303" priority="148" operator="equal">
      <formula>"Leve"</formula>
    </cfRule>
    <cfRule type="cellIs" dxfId="302" priority="146" operator="equal">
      <formula>"Moderado"</formula>
    </cfRule>
  </conditionalFormatting>
  <conditionalFormatting sqref="T63 T69 T75 T81">
    <cfRule type="cellIs" dxfId="301" priority="35" operator="equal">
      <formula>"Mayor"</formula>
    </cfRule>
    <cfRule type="cellIs" dxfId="300" priority="34" operator="equal">
      <formula>"Catastrófico"</formula>
    </cfRule>
    <cfRule type="cellIs" dxfId="299" priority="36" operator="equal">
      <formula>"Moderado"</formula>
    </cfRule>
    <cfRule type="cellIs" dxfId="298" priority="37" operator="equal">
      <formula>"Menor"</formula>
    </cfRule>
    <cfRule type="cellIs" dxfId="297" priority="38" operator="equal">
      <formula>"Leve"</formula>
    </cfRule>
  </conditionalFormatting>
  <conditionalFormatting sqref="T87">
    <cfRule type="cellIs" dxfId="296" priority="23" operator="equal">
      <formula>"Menor"</formula>
    </cfRule>
    <cfRule type="cellIs" dxfId="295" priority="24" operator="equal">
      <formula>"Leve"</formula>
    </cfRule>
    <cfRule type="cellIs" dxfId="294" priority="20" operator="equal">
      <formula>"Catastrófico"</formula>
    </cfRule>
    <cfRule type="cellIs" dxfId="293" priority="21" operator="equal">
      <formula>"Mayor"</formula>
    </cfRule>
    <cfRule type="cellIs" dxfId="292" priority="22" operator="equal">
      <formula>"Moderado"</formula>
    </cfRule>
  </conditionalFormatting>
  <conditionalFormatting sqref="T93">
    <cfRule type="cellIs" dxfId="291" priority="185" operator="equal">
      <formula>"Leve"</formula>
    </cfRule>
    <cfRule type="cellIs" dxfId="290" priority="184" operator="equal">
      <formula>"Menor"</formula>
    </cfRule>
    <cfRule type="cellIs" dxfId="289" priority="183" operator="equal">
      <formula>"Moderado"</formula>
    </cfRule>
    <cfRule type="cellIs" dxfId="288" priority="182" operator="equal">
      <formula>"Mayor"</formula>
    </cfRule>
    <cfRule type="cellIs" dxfId="287" priority="181" operator="equal">
      <formula>"Catastrófico"</formula>
    </cfRule>
  </conditionalFormatting>
  <conditionalFormatting sqref="V9">
    <cfRule type="cellIs" dxfId="286" priority="280" operator="equal">
      <formula>"Bajo"</formula>
    </cfRule>
    <cfRule type="cellIs" dxfId="285" priority="279" operator="equal">
      <formula>"Moderado"</formula>
    </cfRule>
    <cfRule type="cellIs" dxfId="284" priority="278" operator="equal">
      <formula>"Alto"</formula>
    </cfRule>
    <cfRule type="cellIs" dxfId="283" priority="277" operator="equal">
      <formula>"Extremo"</formula>
    </cfRule>
  </conditionalFormatting>
  <conditionalFormatting sqref="V15">
    <cfRule type="cellIs" dxfId="282" priority="276" operator="equal">
      <formula>"Bajo"</formula>
    </cfRule>
    <cfRule type="cellIs" dxfId="281" priority="274" operator="equal">
      <formula>"Alto"</formula>
    </cfRule>
    <cfRule type="cellIs" dxfId="280" priority="273" operator="equal">
      <formula>"Extremo"</formula>
    </cfRule>
    <cfRule type="cellIs" dxfId="279" priority="275" operator="equal">
      <formula>"Moderado"</formula>
    </cfRule>
  </conditionalFormatting>
  <conditionalFormatting sqref="V21">
    <cfRule type="cellIs" dxfId="278" priority="267" operator="equal">
      <formula>"Bajo"</formula>
    </cfRule>
    <cfRule type="cellIs" dxfId="277" priority="266" operator="equal">
      <formula>"Moderado"</formula>
    </cfRule>
    <cfRule type="cellIs" dxfId="276" priority="265" operator="equal">
      <formula>"Alto"</formula>
    </cfRule>
    <cfRule type="cellIs" dxfId="275" priority="264" operator="equal">
      <formula>"Extremo"</formula>
    </cfRule>
  </conditionalFormatting>
  <conditionalFormatting sqref="V27">
    <cfRule type="cellIs" dxfId="274" priority="257" operator="equal">
      <formula>"Moderado"</formula>
    </cfRule>
    <cfRule type="cellIs" dxfId="273" priority="256" operator="equal">
      <formula>"Alto"</formula>
    </cfRule>
    <cfRule type="cellIs" dxfId="272" priority="255" operator="equal">
      <formula>"Extremo"</formula>
    </cfRule>
    <cfRule type="cellIs" dxfId="271" priority="258" operator="equal">
      <formula>"Bajo"</formula>
    </cfRule>
  </conditionalFormatting>
  <conditionalFormatting sqref="V33">
    <cfRule type="cellIs" dxfId="270" priority="247" operator="equal">
      <formula>"Alto"</formula>
    </cfRule>
    <cfRule type="cellIs" dxfId="269" priority="248" operator="equal">
      <formula>"Moderado"</formula>
    </cfRule>
    <cfRule type="cellIs" dxfId="268" priority="249" operator="equal">
      <formula>"Bajo"</formula>
    </cfRule>
    <cfRule type="cellIs" dxfId="267" priority="246" operator="equal">
      <formula>"Extremo"</formula>
    </cfRule>
  </conditionalFormatting>
  <conditionalFormatting sqref="V39">
    <cfRule type="cellIs" dxfId="266" priority="238" operator="equal">
      <formula>"Alto"</formula>
    </cfRule>
    <cfRule type="cellIs" dxfId="265" priority="239" operator="equal">
      <formula>"Moderado"</formula>
    </cfRule>
    <cfRule type="cellIs" dxfId="264" priority="240" operator="equal">
      <formula>"Bajo"</formula>
    </cfRule>
    <cfRule type="cellIs" dxfId="263" priority="237" operator="equal">
      <formula>"Extremo"</formula>
    </cfRule>
  </conditionalFormatting>
  <conditionalFormatting sqref="V45">
    <cfRule type="cellIs" dxfId="262" priority="230" operator="equal">
      <formula>"Moderado"</formula>
    </cfRule>
    <cfRule type="cellIs" dxfId="261" priority="231" operator="equal">
      <formula>"Bajo"</formula>
    </cfRule>
    <cfRule type="cellIs" dxfId="260" priority="228" operator="equal">
      <formula>"Extremo"</formula>
    </cfRule>
    <cfRule type="cellIs" dxfId="259" priority="229" operator="equal">
      <formula>"Alto"</formula>
    </cfRule>
  </conditionalFormatting>
  <conditionalFormatting sqref="V51">
    <cfRule type="cellIs" dxfId="258" priority="224" operator="equal">
      <formula>"Extremo"</formula>
    </cfRule>
    <cfRule type="cellIs" dxfId="257" priority="225" operator="equal">
      <formula>"Alto"</formula>
    </cfRule>
    <cfRule type="cellIs" dxfId="256" priority="226" operator="equal">
      <formula>"Moderado"</formula>
    </cfRule>
    <cfRule type="cellIs" dxfId="255" priority="227" operator="equal">
      <formula>"Bajo"</formula>
    </cfRule>
  </conditionalFormatting>
  <conditionalFormatting sqref="V57">
    <cfRule type="cellIs" dxfId="254" priority="140" operator="equal">
      <formula>"Extremo"</formula>
    </cfRule>
    <cfRule type="cellIs" dxfId="253" priority="141" operator="equal">
      <formula>"Alto"</formula>
    </cfRule>
    <cfRule type="cellIs" dxfId="252" priority="142" operator="equal">
      <formula>"Moderado"</formula>
    </cfRule>
    <cfRule type="cellIs" dxfId="251" priority="143" operator="equal">
      <formula>"Bajo"</formula>
    </cfRule>
  </conditionalFormatting>
  <conditionalFormatting sqref="V63 V69 V75 V81">
    <cfRule type="cellIs" dxfId="250" priority="31" operator="equal">
      <formula>"Alto"</formula>
    </cfRule>
    <cfRule type="cellIs" dxfId="249" priority="32" operator="equal">
      <formula>"Moderado"</formula>
    </cfRule>
    <cfRule type="cellIs" dxfId="248" priority="33" operator="equal">
      <formula>"Bajo"</formula>
    </cfRule>
    <cfRule type="cellIs" dxfId="247" priority="30" operator="equal">
      <formula>"Extremo"</formula>
    </cfRule>
  </conditionalFormatting>
  <conditionalFormatting sqref="V87">
    <cfRule type="cellIs" dxfId="246" priority="18" operator="equal">
      <formula>"Moderado"</formula>
    </cfRule>
    <cfRule type="cellIs" dxfId="245" priority="19" operator="equal">
      <formula>"Bajo"</formula>
    </cfRule>
    <cfRule type="cellIs" dxfId="244" priority="17" operator="equal">
      <formula>"Alto"</formula>
    </cfRule>
    <cfRule type="cellIs" dxfId="243" priority="16" operator="equal">
      <formula>"Extremo"</formula>
    </cfRule>
  </conditionalFormatting>
  <conditionalFormatting sqref="V93">
    <cfRule type="cellIs" dxfId="242" priority="155" operator="equal">
      <formula>"Alto"</formula>
    </cfRule>
    <cfRule type="cellIs" dxfId="241" priority="156" operator="equal">
      <formula>"Moderado"</formula>
    </cfRule>
    <cfRule type="cellIs" dxfId="240" priority="157" operator="equal">
      <formula>"Bajo"</formula>
    </cfRule>
    <cfRule type="cellIs" dxfId="239" priority="154" operator="equal">
      <formula>"Extremo"</formula>
    </cfRule>
  </conditionalFormatting>
  <conditionalFormatting sqref="AJ9:AJ97">
    <cfRule type="cellIs" dxfId="238" priority="14" operator="equal">
      <formula>"Baja"</formula>
    </cfRule>
    <cfRule type="cellIs" dxfId="237" priority="15" operator="equal">
      <formula>"Muy Baja"</formula>
    </cfRule>
    <cfRule type="cellIs" dxfId="236" priority="13" operator="equal">
      <formula>"Media"</formula>
    </cfRule>
    <cfRule type="cellIs" dxfId="235" priority="12" operator="equal">
      <formula>"Alta"</formula>
    </cfRule>
    <cfRule type="cellIs" dxfId="234" priority="11" operator="equal">
      <formula>"Muy Alta"</formula>
    </cfRule>
  </conditionalFormatting>
  <conditionalFormatting sqref="AL9:AL97">
    <cfRule type="cellIs" dxfId="233" priority="10" operator="equal">
      <formula>"Leve"</formula>
    </cfRule>
    <cfRule type="cellIs" dxfId="232" priority="9" operator="equal">
      <formula>"Menor"</formula>
    </cfRule>
    <cfRule type="cellIs" dxfId="231" priority="8" operator="equal">
      <formula>"Moderado"</formula>
    </cfRule>
    <cfRule type="cellIs" dxfId="230" priority="7" operator="equal">
      <formula>"Mayor"</formula>
    </cfRule>
    <cfRule type="cellIs" dxfId="229" priority="6" operator="equal">
      <formula>"Catastrófico"</formula>
    </cfRule>
  </conditionalFormatting>
  <conditionalFormatting sqref="AN9:AN97">
    <cfRule type="cellIs" dxfId="228" priority="2" operator="equal">
      <formula>"Extremo"</formula>
    </cfRule>
    <cfRule type="cellIs" dxfId="227" priority="5" operator="equal">
      <formula>"Bajo"</formula>
    </cfRule>
    <cfRule type="cellIs" dxfId="226" priority="4" operator="equal">
      <formula>"Moderado"</formula>
    </cfRule>
    <cfRule type="cellIs" dxfId="225" priority="3" operator="equal">
      <formula>"Alto"</formula>
    </cfRule>
  </conditionalFormatting>
  <dataValidations count="2">
    <dataValidation allowBlank="1" showInputMessage="1" showErrorMessage="1" error="Recuerde que las acciones se generan bajo la medida de mitigar el riesgo" sqref="AP51:AS51 AQ52" xr:uid="{8E93857B-C35B-46D4-BEFC-BBD5BF24479B}"/>
    <dataValidation type="list" allowBlank="1" showInputMessage="1" showErrorMessage="1" sqref="AH48:AH50 AF9:AH9 AF15:AH15 AH53:AH56 AH64:AH68" xr:uid="{8A15A44A-DC3A-4F6D-9775-5A837E819C22}">
      <formula1>#REF!</formula1>
    </dataValidation>
  </dataValidations>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www.umv.gov.co&amp;CDES-FM-018
Página &amp;P de &amp;N</oddFooter>
  </headerFooter>
  <colBreaks count="1" manualBreakCount="1">
    <brk id="21" max="75"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9E64DF5F-C15F-40BF-B285-05D235DB1734}">
          <x14:formula1>
            <xm:f>Listas!$L$29:$L$53</xm:f>
          </x14:formula1>
          <xm:sqref>B57:B92</xm:sqref>
        </x14:dataValidation>
        <x14:dataValidation type="list" allowBlank="1" showInputMessage="1" showErrorMessage="1" xr:uid="{165B064F-838F-437A-A577-60561F91235E}">
          <x14:formula1>
            <xm:f>Listas!$E$2:$E$3</xm:f>
          </x14:formula1>
          <xm:sqref>C63:C68</xm:sqref>
        </x14:dataValidation>
        <x14:dataValidation type="list" allowBlank="1" showInputMessage="1" showErrorMessage="1" xr:uid="{86722C94-3559-4815-8BBB-4DDF0C70ED9D}">
          <x14:formula1>
            <xm:f>'Tabla Impacto'!$F$210:$F$222</xm:f>
          </x14:formula1>
          <xm:sqref>R93:R97</xm:sqref>
        </x14:dataValidation>
        <x14:dataValidation type="list" allowBlank="1" showInputMessage="1" showErrorMessage="1" xr:uid="{CD58334D-C9F3-4EE0-9F40-07FB6194C79D}">
          <x14:formula1>
            <xm:f>'Tabla Impacto'!$F$220:$F$222</xm:f>
          </x14:formula1>
          <xm:sqref>R9:R56 R63:R68</xm:sqref>
        </x14:dataValidation>
        <x14:dataValidation type="list" allowBlank="1" showInputMessage="1" showErrorMessage="1" xr:uid="{11DCC850-4B9A-4A01-9ABC-F98A32B13470}">
          <x14:formula1>
            <xm:f>'Tabla Valoración controles'!$D$4:$D$6</xm:f>
          </x14:formula1>
          <xm:sqref>AC9:AC56 AC63:AC68 AC82:AC86 AC93</xm:sqref>
        </x14:dataValidation>
        <x14:dataValidation type="list" allowBlank="1" showInputMessage="1" showErrorMessage="1" xr:uid="{C97C0234-81E5-4E5A-B553-8BC2BDBB6F01}">
          <x14:formula1>
            <xm:f>'Tabla Valoración controles'!$D$7:$D$8</xm:f>
          </x14:formula1>
          <xm:sqref>AD9:AD56 AD63:AD68 AD82:AD86</xm:sqref>
        </x14:dataValidation>
        <x14:dataValidation type="list" allowBlank="1" showInputMessage="1" showErrorMessage="1" xr:uid="{1019E21A-5921-4260-B6C1-F0848953A6A0}">
          <x14:formula1>
            <xm:f>Listas!$B$4:$B$7</xm:f>
          </x14:formula1>
          <xm:sqref>AO9:AO56 AO63:AO68 AO82:AO86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10247-7632-40C2-AC9E-38FB3C809E15}">
  <sheetPr>
    <tabColor rgb="FF002060"/>
  </sheetPr>
  <dimension ref="A1:JO73"/>
  <sheetViews>
    <sheetView topLeftCell="A8" zoomScale="55" zoomScaleNormal="55" zoomScaleSheetLayoutView="50" zoomScalePageLayoutView="60" workbookViewId="0">
      <selection activeCell="A16" sqref="A16:A21"/>
    </sheetView>
  </sheetViews>
  <sheetFormatPr baseColWidth="10" defaultColWidth="11.42578125" defaultRowHeight="15" x14ac:dyDescent="0.2"/>
  <cols>
    <col min="1" max="1" width="6.5703125" style="153" customWidth="1"/>
    <col min="2" max="2" width="24.5703125" style="153" customWidth="1"/>
    <col min="3" max="3" width="22.7109375" style="153" customWidth="1"/>
    <col min="4" max="4" width="25.140625" style="153" customWidth="1"/>
    <col min="5" max="5" width="38.5703125" style="153" customWidth="1"/>
    <col min="6" max="6" width="25.28515625" style="153" customWidth="1"/>
    <col min="7" max="7" width="51.140625" style="153" customWidth="1"/>
    <col min="8" max="8" width="17.7109375" style="135" customWidth="1"/>
    <col min="9" max="10" width="18.85546875" style="135" customWidth="1"/>
    <col min="11" max="11" width="24.28515625" style="135" customWidth="1"/>
    <col min="12" max="12" width="19.42578125" style="135" customWidth="1"/>
    <col min="13" max="13" width="20.5703125" style="135" customWidth="1"/>
    <col min="14" max="14" width="16.7109375" style="154" customWidth="1"/>
    <col min="15" max="15" width="16.7109375" style="135" customWidth="1"/>
    <col min="16" max="16" width="10.85546875" style="135" customWidth="1"/>
    <col min="17" max="17" width="23.28515625" style="135" customWidth="1"/>
    <col min="18" max="18" width="23.28515625" style="135" hidden="1" customWidth="1"/>
    <col min="19" max="19" width="23.28515625" style="135" customWidth="1"/>
    <col min="20" max="20" width="10.28515625" style="135" customWidth="1"/>
    <col min="21" max="21" width="15" style="135" customWidth="1"/>
    <col min="22" max="22" width="5.140625" style="135" customWidth="1"/>
    <col min="23" max="23" width="29.85546875" style="135" hidden="1" customWidth="1"/>
    <col min="24" max="24" width="11.7109375" style="135" hidden="1" customWidth="1"/>
    <col min="25" max="25" width="33.5703125" style="135" hidden="1" customWidth="1"/>
    <col min="26" max="26" width="97.7109375" style="135" customWidth="1"/>
    <col min="27" max="27" width="19.7109375" style="135" hidden="1" customWidth="1"/>
    <col min="28" max="28" width="5.85546875" style="135" customWidth="1"/>
    <col min="29" max="29" width="6.85546875" style="135" customWidth="1"/>
    <col min="30" max="30" width="5" style="135" hidden="1" customWidth="1"/>
    <col min="31" max="31" width="5.5703125" style="135" customWidth="1"/>
    <col min="32" max="32" width="7.140625" style="135" customWidth="1"/>
    <col min="33" max="33" width="6.7109375" style="135" customWidth="1"/>
    <col min="34" max="34" width="7.5703125" style="135" hidden="1" customWidth="1"/>
    <col min="35" max="35" width="8.5703125" style="135" customWidth="1"/>
    <col min="36" max="36" width="10.85546875" style="135" hidden="1" customWidth="1"/>
    <col min="37" max="37" width="10.85546875" style="135" customWidth="1"/>
    <col min="38" max="38" width="10.85546875" style="135" hidden="1" customWidth="1"/>
    <col min="39" max="40" width="10.85546875" style="135" customWidth="1"/>
    <col min="41" max="41" width="42.42578125" style="152" hidden="1" customWidth="1"/>
    <col min="42" max="42" width="23" style="135" hidden="1" customWidth="1"/>
    <col min="43" max="43" width="18.85546875" style="135" hidden="1" customWidth="1"/>
    <col min="44" max="44" width="23.7109375" style="135" hidden="1" customWidth="1"/>
    <col min="45" max="45" width="22.42578125" style="135" hidden="1" customWidth="1"/>
    <col min="46" max="46" width="16.42578125" style="135" hidden="1" customWidth="1"/>
    <col min="47" max="47" width="20.5703125" style="135" hidden="1" customWidth="1"/>
    <col min="48" max="16384" width="11.42578125" style="135"/>
  </cols>
  <sheetData>
    <row r="1" spans="1:275" s="137" customFormat="1" ht="21" thickBot="1" x14ac:dyDescent="0.35">
      <c r="A1" s="439"/>
      <c r="B1" s="440"/>
      <c r="C1" s="441"/>
      <c r="D1" s="442"/>
      <c r="E1" s="461" t="s">
        <v>1059</v>
      </c>
      <c r="F1" s="461"/>
      <c r="G1" s="461"/>
      <c r="H1" s="461"/>
      <c r="I1" s="461"/>
      <c r="J1" s="461"/>
      <c r="K1" s="461"/>
      <c r="L1" s="461"/>
      <c r="M1" s="461"/>
      <c r="N1" s="461"/>
      <c r="O1" s="461"/>
      <c r="P1" s="461"/>
      <c r="Q1" s="461"/>
      <c r="R1" s="461"/>
      <c r="S1" s="461"/>
      <c r="T1" s="461"/>
      <c r="U1" s="461"/>
      <c r="V1" s="175"/>
      <c r="W1" s="175"/>
      <c r="X1" s="175"/>
      <c r="Y1" s="175"/>
      <c r="Z1" s="175"/>
      <c r="AA1" s="458"/>
      <c r="AB1" s="458"/>
      <c r="AC1" s="458"/>
      <c r="AD1" s="458"/>
      <c r="AE1" s="458"/>
      <c r="AF1" s="458"/>
      <c r="AG1" s="458"/>
      <c r="AH1" s="458"/>
      <c r="AI1" s="458"/>
      <c r="AJ1" s="458"/>
      <c r="AK1" s="458"/>
      <c r="AL1" s="458"/>
      <c r="AM1" s="458"/>
      <c r="AN1" s="458"/>
      <c r="AO1" s="458"/>
      <c r="AP1" s="458"/>
      <c r="AQ1" s="458"/>
      <c r="AR1" s="458"/>
      <c r="AS1" s="458"/>
      <c r="AT1" s="458"/>
      <c r="AU1" s="458"/>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row>
    <row r="2" spans="1:275" s="137" customFormat="1" ht="21" thickBot="1" x14ac:dyDescent="0.35">
      <c r="A2" s="443"/>
      <c r="B2" s="444"/>
      <c r="C2" s="445"/>
      <c r="D2" s="446"/>
      <c r="E2" s="461"/>
      <c r="F2" s="461"/>
      <c r="G2" s="461"/>
      <c r="H2" s="461"/>
      <c r="I2" s="461"/>
      <c r="J2" s="461"/>
      <c r="K2" s="461"/>
      <c r="L2" s="461"/>
      <c r="M2" s="461"/>
      <c r="N2" s="461"/>
      <c r="O2" s="461"/>
      <c r="P2" s="461"/>
      <c r="Q2" s="461"/>
      <c r="R2" s="461"/>
      <c r="S2" s="461"/>
      <c r="T2" s="461"/>
      <c r="U2" s="461"/>
      <c r="V2" s="175"/>
      <c r="W2" s="175"/>
      <c r="X2" s="175"/>
      <c r="Y2" s="175"/>
      <c r="Z2" s="175"/>
      <c r="AA2" s="458"/>
      <c r="AB2" s="458"/>
      <c r="AC2" s="458"/>
      <c r="AD2" s="458"/>
      <c r="AE2" s="458"/>
      <c r="AF2" s="458"/>
      <c r="AG2" s="458"/>
      <c r="AH2" s="458"/>
      <c r="AI2" s="458"/>
      <c r="AJ2" s="458"/>
      <c r="AK2" s="458"/>
      <c r="AL2" s="458"/>
      <c r="AM2" s="458"/>
      <c r="AN2" s="458"/>
      <c r="AO2" s="458"/>
      <c r="AP2" s="458"/>
      <c r="AQ2" s="458"/>
      <c r="AR2" s="458"/>
      <c r="AS2" s="458"/>
      <c r="AT2" s="458"/>
      <c r="AU2" s="458"/>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row>
    <row r="3" spans="1:275" s="137" customFormat="1" ht="27.75" customHeight="1" thickBot="1" x14ac:dyDescent="0.35">
      <c r="A3" s="443"/>
      <c r="B3" s="444"/>
      <c r="C3" s="445"/>
      <c r="D3" s="446"/>
      <c r="E3" s="462" t="s">
        <v>575</v>
      </c>
      <c r="F3" s="462"/>
      <c r="G3" s="462"/>
      <c r="H3" s="462"/>
      <c r="I3" s="462"/>
      <c r="J3" s="462"/>
      <c r="K3" s="462" t="s">
        <v>340</v>
      </c>
      <c r="L3" s="462"/>
      <c r="M3" s="462"/>
      <c r="N3" s="462"/>
      <c r="O3" s="462"/>
      <c r="P3" s="462"/>
      <c r="Q3" s="462"/>
      <c r="R3" s="462"/>
      <c r="S3" s="462"/>
      <c r="T3" s="462"/>
      <c r="U3" s="462"/>
      <c r="V3" s="176"/>
      <c r="W3" s="176"/>
      <c r="X3" s="176"/>
      <c r="Y3" s="176"/>
      <c r="Z3" s="175"/>
      <c r="AA3" s="459"/>
      <c r="AB3" s="459"/>
      <c r="AC3" s="459"/>
      <c r="AD3" s="459"/>
      <c r="AE3" s="459"/>
      <c r="AF3" s="459"/>
      <c r="AG3" s="459"/>
      <c r="AH3" s="459"/>
      <c r="AI3" s="459"/>
      <c r="AJ3" s="459"/>
      <c r="AK3" s="459"/>
      <c r="AL3" s="459"/>
      <c r="AM3" s="459"/>
      <c r="AN3" s="459"/>
      <c r="AO3" s="459"/>
      <c r="AP3" s="459"/>
      <c r="AQ3" s="459"/>
      <c r="AR3" s="459"/>
      <c r="AS3" s="459"/>
      <c r="AT3" s="459"/>
      <c r="AU3" s="459"/>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row>
    <row r="4" spans="1:275" s="137" customFormat="1" ht="27.75" customHeight="1" thickBot="1" x14ac:dyDescent="0.35">
      <c r="A4" s="447"/>
      <c r="B4" s="448"/>
      <c r="C4" s="449"/>
      <c r="D4" s="450"/>
      <c r="E4" s="462" t="s">
        <v>576</v>
      </c>
      <c r="F4" s="462"/>
      <c r="G4" s="462"/>
      <c r="H4" s="462"/>
      <c r="I4" s="462"/>
      <c r="J4" s="462"/>
      <c r="K4" s="462"/>
      <c r="L4" s="462"/>
      <c r="M4" s="462"/>
      <c r="N4" s="462"/>
      <c r="O4" s="462"/>
      <c r="P4" s="462"/>
      <c r="Q4" s="462"/>
      <c r="R4" s="462"/>
      <c r="S4" s="462"/>
      <c r="T4" s="462"/>
      <c r="U4" s="462"/>
      <c r="V4" s="175"/>
      <c r="W4" s="175"/>
      <c r="X4" s="175"/>
      <c r="Y4" s="175"/>
      <c r="Z4" s="175"/>
      <c r="AA4" s="459"/>
      <c r="AB4" s="459"/>
      <c r="AC4" s="459"/>
      <c r="AD4" s="459"/>
      <c r="AE4" s="459"/>
      <c r="AF4" s="459"/>
      <c r="AG4" s="459"/>
      <c r="AH4" s="459"/>
      <c r="AI4" s="459"/>
      <c r="AJ4" s="459"/>
      <c r="AK4" s="459"/>
      <c r="AL4" s="459"/>
      <c r="AM4" s="459"/>
      <c r="AN4" s="459"/>
      <c r="AO4" s="459"/>
      <c r="AP4" s="459"/>
      <c r="AQ4" s="459"/>
      <c r="AR4" s="459"/>
      <c r="AS4" s="459"/>
      <c r="AT4" s="459"/>
      <c r="AU4" s="459"/>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row>
    <row r="5" spans="1:275" x14ac:dyDescent="0.2">
      <c r="A5" s="138"/>
      <c r="B5" s="138"/>
      <c r="C5" s="139"/>
      <c r="D5" s="138"/>
      <c r="E5" s="138"/>
      <c r="F5" s="138"/>
      <c r="G5" s="138"/>
      <c r="H5" s="140"/>
      <c r="I5" s="140"/>
      <c r="J5" s="140"/>
      <c r="K5" s="140"/>
      <c r="L5" s="140"/>
      <c r="M5" s="140"/>
      <c r="N5" s="141"/>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77"/>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row>
    <row r="6" spans="1:275" ht="15.75" x14ac:dyDescent="0.25">
      <c r="A6" s="142"/>
      <c r="B6" s="142" t="s">
        <v>1060</v>
      </c>
      <c r="C6" s="142">
        <v>2025</v>
      </c>
      <c r="D6" s="143"/>
      <c r="E6" s="143"/>
      <c r="F6" s="143"/>
      <c r="G6" s="143"/>
      <c r="H6" s="143"/>
      <c r="I6" s="143"/>
      <c r="J6" s="143"/>
      <c r="K6" s="143"/>
      <c r="L6" s="143"/>
      <c r="M6" s="143"/>
      <c r="N6" s="143"/>
      <c r="O6" s="143"/>
      <c r="P6" s="143"/>
      <c r="Q6" s="143"/>
      <c r="R6" s="143"/>
      <c r="S6" s="143"/>
      <c r="T6" s="143"/>
      <c r="U6" s="143"/>
      <c r="V6" s="143"/>
      <c r="W6" s="143"/>
      <c r="X6" s="143"/>
      <c r="Y6" s="143"/>
      <c r="Z6" s="144"/>
      <c r="AA6" s="144"/>
      <c r="AB6" s="144"/>
      <c r="AC6" s="145"/>
      <c r="AD6" s="145"/>
      <c r="AE6" s="145"/>
      <c r="AF6" s="145"/>
      <c r="AG6" s="145"/>
      <c r="AH6" s="145"/>
      <c r="AI6" s="145"/>
      <c r="AJ6" s="145"/>
      <c r="AK6" s="145"/>
      <c r="AL6" s="145"/>
      <c r="AM6" s="145"/>
      <c r="AN6" s="145"/>
      <c r="AO6" s="145"/>
      <c r="AP6" s="145"/>
      <c r="AQ6" s="145"/>
      <c r="AR6" s="145"/>
      <c r="AS6" s="145"/>
      <c r="AT6" s="145"/>
      <c r="AU6" s="145"/>
    </row>
    <row r="7" spans="1:275" ht="27.75" customHeight="1" x14ac:dyDescent="0.2">
      <c r="A7" s="454" t="s">
        <v>345</v>
      </c>
      <c r="B7" s="455"/>
      <c r="C7" s="455"/>
      <c r="D7" s="455"/>
      <c r="E7" s="455"/>
      <c r="F7" s="455"/>
      <c r="G7" s="455"/>
      <c r="H7" s="474" t="s">
        <v>346</v>
      </c>
      <c r="I7" s="475"/>
      <c r="J7" s="475"/>
      <c r="K7" s="476"/>
      <c r="L7" s="485" t="s">
        <v>347</v>
      </c>
      <c r="M7" s="486"/>
      <c r="N7" s="482" t="s">
        <v>348</v>
      </c>
      <c r="O7" s="483"/>
      <c r="P7" s="483"/>
      <c r="Q7" s="483"/>
      <c r="R7" s="483"/>
      <c r="S7" s="483"/>
      <c r="T7" s="483"/>
      <c r="U7" s="483"/>
      <c r="V7" s="455" t="s">
        <v>349</v>
      </c>
      <c r="W7" s="455"/>
      <c r="X7" s="455"/>
      <c r="Y7" s="455"/>
      <c r="Z7" s="455"/>
      <c r="AA7" s="455"/>
      <c r="AB7" s="455"/>
      <c r="AC7" s="455"/>
      <c r="AD7" s="455"/>
      <c r="AE7" s="455"/>
      <c r="AF7" s="455"/>
      <c r="AG7" s="455"/>
      <c r="AH7" s="456"/>
      <c r="AI7" s="477" t="s">
        <v>350</v>
      </c>
      <c r="AJ7" s="478"/>
      <c r="AK7" s="478"/>
      <c r="AL7" s="478"/>
      <c r="AM7" s="479"/>
      <c r="AN7" s="454" t="s">
        <v>351</v>
      </c>
      <c r="AO7" s="455"/>
      <c r="AP7" s="455"/>
      <c r="AQ7" s="455"/>
      <c r="AR7" s="456"/>
      <c r="AS7" s="474" t="s">
        <v>352</v>
      </c>
      <c r="AT7" s="475"/>
      <c r="AU7" s="476"/>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row>
    <row r="8" spans="1:275" ht="15.75" customHeight="1" x14ac:dyDescent="0.2">
      <c r="A8" s="472" t="s">
        <v>353</v>
      </c>
      <c r="B8" s="487" t="s">
        <v>342</v>
      </c>
      <c r="C8" s="457" t="s">
        <v>354</v>
      </c>
      <c r="D8" s="457" t="s">
        <v>416</v>
      </c>
      <c r="E8" s="457" t="s">
        <v>417</v>
      </c>
      <c r="F8" s="711" t="s">
        <v>357</v>
      </c>
      <c r="G8" s="457" t="s">
        <v>358</v>
      </c>
      <c r="H8" s="468" t="s">
        <v>56</v>
      </c>
      <c r="I8" s="468" t="s">
        <v>359</v>
      </c>
      <c r="J8" s="468" t="s">
        <v>360</v>
      </c>
      <c r="K8" s="468" t="s">
        <v>361</v>
      </c>
      <c r="L8" s="485"/>
      <c r="M8" s="486"/>
      <c r="N8" s="480" t="s">
        <v>362</v>
      </c>
      <c r="O8" s="480" t="s">
        <v>363</v>
      </c>
      <c r="P8" s="460" t="s">
        <v>364</v>
      </c>
      <c r="Q8" s="480" t="s">
        <v>365</v>
      </c>
      <c r="R8" s="480" t="s">
        <v>366</v>
      </c>
      <c r="S8" s="480" t="s">
        <v>367</v>
      </c>
      <c r="T8" s="460" t="s">
        <v>364</v>
      </c>
      <c r="U8" s="480" t="s">
        <v>368</v>
      </c>
      <c r="V8" s="471" t="s">
        <v>369</v>
      </c>
      <c r="W8" s="186"/>
      <c r="X8" s="186"/>
      <c r="Y8" s="186"/>
      <c r="Z8" s="457" t="s">
        <v>2</v>
      </c>
      <c r="AA8" s="457" t="s">
        <v>3</v>
      </c>
      <c r="AB8" s="457" t="s">
        <v>370</v>
      </c>
      <c r="AC8" s="457"/>
      <c r="AD8" s="457"/>
      <c r="AE8" s="457"/>
      <c r="AF8" s="457"/>
      <c r="AG8" s="457"/>
      <c r="AH8" s="471" t="s">
        <v>371</v>
      </c>
      <c r="AI8" s="463" t="s">
        <v>372</v>
      </c>
      <c r="AJ8" s="463" t="s">
        <v>364</v>
      </c>
      <c r="AK8" s="463" t="s">
        <v>373</v>
      </c>
      <c r="AL8" s="463" t="s">
        <v>364</v>
      </c>
      <c r="AM8" s="463" t="s">
        <v>374</v>
      </c>
      <c r="AN8" s="471" t="s">
        <v>4</v>
      </c>
      <c r="AO8" s="457" t="s">
        <v>375</v>
      </c>
      <c r="AP8" s="457" t="s">
        <v>376</v>
      </c>
      <c r="AQ8" s="457" t="s">
        <v>377</v>
      </c>
      <c r="AR8" s="457" t="s">
        <v>378</v>
      </c>
      <c r="AS8" s="481" t="s">
        <v>379</v>
      </c>
      <c r="AT8" s="481" t="s">
        <v>380</v>
      </c>
      <c r="AU8" s="481" t="s">
        <v>376</v>
      </c>
      <c r="AV8" s="140"/>
      <c r="AW8" s="140"/>
      <c r="AX8" s="140"/>
      <c r="AY8" s="140"/>
      <c r="AZ8" s="140"/>
      <c r="BA8" s="140"/>
      <c r="BB8" s="140"/>
      <c r="BC8" s="140"/>
      <c r="BD8" s="140"/>
      <c r="BE8" s="140"/>
      <c r="BF8" s="140"/>
      <c r="BG8" s="140"/>
      <c r="BH8" s="140"/>
      <c r="BI8" s="140"/>
      <c r="BJ8" s="140"/>
      <c r="BK8" s="140"/>
      <c r="BL8" s="140"/>
      <c r="BM8" s="140"/>
      <c r="BN8" s="140"/>
      <c r="BO8" s="140"/>
      <c r="BP8" s="140"/>
      <c r="BQ8" s="140"/>
      <c r="BR8" s="140"/>
    </row>
    <row r="9" spans="1:275" s="148" customFormat="1" ht="71.25" customHeight="1" x14ac:dyDescent="0.25">
      <c r="A9" s="472"/>
      <c r="B9" s="487"/>
      <c r="C9" s="467"/>
      <c r="D9" s="457"/>
      <c r="E9" s="457"/>
      <c r="F9" s="712"/>
      <c r="G9" s="467"/>
      <c r="H9" s="469"/>
      <c r="I9" s="469"/>
      <c r="J9" s="469"/>
      <c r="K9" s="469"/>
      <c r="L9" s="185" t="s">
        <v>381</v>
      </c>
      <c r="M9" s="185" t="s">
        <v>382</v>
      </c>
      <c r="N9" s="480"/>
      <c r="O9" s="480"/>
      <c r="P9" s="460"/>
      <c r="Q9" s="480"/>
      <c r="R9" s="480"/>
      <c r="S9" s="460"/>
      <c r="T9" s="460"/>
      <c r="U9" s="480"/>
      <c r="V9" s="471"/>
      <c r="W9" s="184" t="s">
        <v>383</v>
      </c>
      <c r="X9" s="184" t="s">
        <v>379</v>
      </c>
      <c r="Y9" s="184" t="s">
        <v>384</v>
      </c>
      <c r="Z9" s="457"/>
      <c r="AA9" s="457"/>
      <c r="AB9" s="183" t="s">
        <v>385</v>
      </c>
      <c r="AC9" s="183" t="s">
        <v>386</v>
      </c>
      <c r="AD9" s="183" t="s">
        <v>387</v>
      </c>
      <c r="AE9" s="183" t="s">
        <v>388</v>
      </c>
      <c r="AF9" s="183" t="s">
        <v>389</v>
      </c>
      <c r="AG9" s="183" t="s">
        <v>390</v>
      </c>
      <c r="AH9" s="471"/>
      <c r="AI9" s="463"/>
      <c r="AJ9" s="463"/>
      <c r="AK9" s="463"/>
      <c r="AL9" s="463"/>
      <c r="AM9" s="463"/>
      <c r="AN9" s="471"/>
      <c r="AO9" s="457"/>
      <c r="AP9" s="457"/>
      <c r="AQ9" s="457"/>
      <c r="AR9" s="457"/>
      <c r="AS9" s="481"/>
      <c r="AT9" s="481"/>
      <c r="AU9" s="481"/>
      <c r="AV9" s="146"/>
      <c r="AW9" s="146"/>
      <c r="AX9" s="146"/>
      <c r="AY9" s="146"/>
      <c r="AZ9" s="146"/>
      <c r="BA9" s="146"/>
      <c r="BB9" s="146"/>
      <c r="BC9" s="146"/>
      <c r="BD9" s="146"/>
      <c r="BE9" s="146"/>
      <c r="BF9" s="146"/>
      <c r="BG9" s="146"/>
      <c r="BH9" s="146"/>
      <c r="BI9" s="146"/>
      <c r="BJ9" s="146"/>
      <c r="BK9" s="146"/>
      <c r="BL9" s="146"/>
      <c r="BM9" s="146"/>
      <c r="BN9" s="146"/>
      <c r="BO9" s="146"/>
      <c r="BP9" s="146"/>
      <c r="BQ9" s="146"/>
      <c r="BR9" s="146"/>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c r="DB9" s="147"/>
      <c r="DC9" s="147"/>
      <c r="DD9" s="147"/>
      <c r="DE9" s="147"/>
      <c r="DF9" s="147"/>
      <c r="DG9" s="147"/>
      <c r="DH9" s="147"/>
      <c r="DI9" s="147"/>
      <c r="DJ9" s="147"/>
      <c r="DK9" s="147"/>
      <c r="DL9" s="147"/>
      <c r="DM9" s="147"/>
      <c r="DN9" s="147"/>
      <c r="DO9" s="147"/>
      <c r="DP9" s="147"/>
      <c r="DQ9" s="147"/>
      <c r="DR9" s="147"/>
      <c r="DS9" s="147"/>
      <c r="DT9" s="147"/>
      <c r="DU9" s="147"/>
      <c r="DV9" s="147"/>
      <c r="DW9" s="147"/>
      <c r="DX9" s="147"/>
      <c r="DY9" s="147"/>
      <c r="DZ9" s="147"/>
      <c r="EA9" s="147"/>
      <c r="EB9" s="147"/>
      <c r="EC9" s="147"/>
      <c r="ED9" s="147"/>
      <c r="EE9" s="147"/>
      <c r="EF9" s="147"/>
      <c r="EG9" s="147"/>
      <c r="EH9" s="147"/>
      <c r="EI9" s="147"/>
      <c r="EJ9" s="147"/>
      <c r="EK9" s="147"/>
      <c r="EL9" s="147"/>
      <c r="EM9" s="147"/>
      <c r="EN9" s="147"/>
      <c r="EO9" s="147"/>
      <c r="EP9" s="147"/>
      <c r="EQ9" s="147"/>
      <c r="ER9" s="147"/>
      <c r="ES9" s="147"/>
      <c r="ET9" s="147"/>
      <c r="EU9" s="147"/>
      <c r="EV9" s="147"/>
      <c r="EW9" s="147"/>
      <c r="EX9" s="147"/>
      <c r="EY9" s="147"/>
      <c r="EZ9" s="147"/>
      <c r="FA9" s="147"/>
      <c r="FB9" s="147"/>
      <c r="FC9" s="147"/>
      <c r="FD9" s="147"/>
      <c r="FE9" s="147"/>
      <c r="FF9" s="147"/>
      <c r="FG9" s="147"/>
      <c r="FH9" s="147"/>
      <c r="FI9" s="147"/>
      <c r="FJ9" s="147"/>
      <c r="FK9" s="147"/>
      <c r="FL9" s="147"/>
      <c r="FM9" s="147"/>
      <c r="FN9" s="147"/>
      <c r="FO9" s="147"/>
      <c r="FP9" s="147"/>
      <c r="FQ9" s="147"/>
      <c r="FR9" s="147"/>
      <c r="FS9" s="147"/>
      <c r="FT9" s="147"/>
      <c r="FU9" s="147"/>
      <c r="FV9" s="147"/>
      <c r="FW9" s="147"/>
      <c r="FX9" s="147"/>
      <c r="FY9" s="147"/>
      <c r="FZ9" s="147"/>
      <c r="GA9" s="147"/>
      <c r="GB9" s="147"/>
      <c r="GC9" s="147"/>
      <c r="GD9" s="147"/>
      <c r="GE9" s="147"/>
      <c r="GF9" s="147"/>
      <c r="GG9" s="147"/>
      <c r="GH9" s="147"/>
      <c r="GI9" s="147"/>
      <c r="GJ9" s="147"/>
      <c r="GK9" s="147"/>
      <c r="GL9" s="147"/>
      <c r="GM9" s="147"/>
      <c r="GN9" s="147"/>
      <c r="GO9" s="147"/>
      <c r="GP9" s="147"/>
      <c r="GQ9" s="147"/>
      <c r="GR9" s="147"/>
      <c r="GS9" s="147"/>
      <c r="GT9" s="147"/>
      <c r="GU9" s="147"/>
      <c r="GV9" s="147"/>
      <c r="GW9" s="147"/>
      <c r="GX9" s="147"/>
      <c r="GY9" s="147"/>
      <c r="GZ9" s="147"/>
      <c r="HA9" s="147"/>
      <c r="HB9" s="147"/>
      <c r="HC9" s="147"/>
      <c r="HD9" s="147"/>
      <c r="HE9" s="147"/>
      <c r="HF9" s="147"/>
      <c r="HG9" s="147"/>
      <c r="HH9" s="147"/>
      <c r="HI9" s="147"/>
      <c r="HJ9" s="147"/>
      <c r="HK9" s="147"/>
      <c r="HL9" s="147"/>
      <c r="HM9" s="147"/>
      <c r="HN9" s="147"/>
      <c r="HO9" s="147"/>
      <c r="HP9" s="147"/>
      <c r="HQ9" s="147"/>
      <c r="HR9" s="147"/>
      <c r="HS9" s="147"/>
      <c r="HT9" s="147"/>
      <c r="HU9" s="147"/>
      <c r="HV9" s="147"/>
      <c r="HW9" s="147"/>
      <c r="HX9" s="147"/>
      <c r="HY9" s="147"/>
      <c r="HZ9" s="147"/>
      <c r="IA9" s="147"/>
      <c r="IB9" s="147"/>
      <c r="IC9" s="147"/>
      <c r="ID9" s="147"/>
      <c r="IE9" s="147"/>
      <c r="IF9" s="147"/>
      <c r="IG9" s="147"/>
      <c r="IH9" s="147"/>
      <c r="II9" s="147"/>
      <c r="IJ9" s="147"/>
      <c r="IK9" s="147"/>
      <c r="IL9" s="147"/>
      <c r="IM9" s="147"/>
      <c r="IN9" s="147"/>
      <c r="IO9" s="147"/>
      <c r="IP9" s="147"/>
      <c r="IQ9" s="147"/>
      <c r="IR9" s="147"/>
      <c r="IS9" s="147"/>
      <c r="IT9" s="147"/>
      <c r="IU9" s="147"/>
      <c r="IV9" s="147"/>
      <c r="IW9" s="147"/>
      <c r="IX9" s="147"/>
      <c r="IY9" s="147"/>
      <c r="IZ9" s="147"/>
      <c r="JA9" s="147"/>
      <c r="JB9" s="147"/>
      <c r="JC9" s="147"/>
      <c r="JD9" s="147"/>
      <c r="JE9" s="147"/>
      <c r="JF9" s="147"/>
      <c r="JG9" s="147"/>
      <c r="JH9" s="147"/>
      <c r="JI9" s="147"/>
      <c r="JJ9" s="147"/>
      <c r="JK9" s="147"/>
      <c r="JL9" s="147"/>
      <c r="JM9" s="147"/>
      <c r="JN9" s="147"/>
      <c r="JO9" s="147"/>
    </row>
    <row r="10" spans="1:275" s="150" customFormat="1" ht="145.5" customHeight="1" x14ac:dyDescent="0.25">
      <c r="A10" s="398">
        <v>1</v>
      </c>
      <c r="B10" s="400" t="s">
        <v>554</v>
      </c>
      <c r="C10" s="400" t="s">
        <v>48</v>
      </c>
      <c r="D10" s="400" t="s">
        <v>1027</v>
      </c>
      <c r="E10" s="400" t="s">
        <v>1028</v>
      </c>
      <c r="F10" s="400" t="s">
        <v>1029</v>
      </c>
      <c r="G10" s="401" t="str">
        <f>+CONCATENATE(C10," ",D10," ",E10)</f>
        <v>Posibilidad de efecto dañosos sobre bienes por perdida, hurto o daño de elementos devolutivos y de consumo necesarios para la gestión ambiental, social y de sst   debido a la falta de cuidado, rigurosidad en la vigilancia y debilidades en los controles internos</v>
      </c>
      <c r="H10" s="402" t="s">
        <v>62</v>
      </c>
      <c r="I10" s="402" t="s">
        <v>1030</v>
      </c>
      <c r="J10" s="402" t="s">
        <v>1031</v>
      </c>
      <c r="K10" s="402" t="s">
        <v>1032</v>
      </c>
      <c r="L10" s="402" t="s">
        <v>63</v>
      </c>
      <c r="M10" s="402" t="s">
        <v>42</v>
      </c>
      <c r="N10" s="416">
        <v>250</v>
      </c>
      <c r="O10" s="417" t="str">
        <f>IF(N10&lt;=0,"",IF(N10&lt;=2,"Muy Baja",IF(N10&lt;=24,"Baja",IF(N10&lt;=500,"Media",IF(N10&lt;=5000,"Alta","Muy Alta")))))</f>
        <v>Media</v>
      </c>
      <c r="P10" s="405">
        <f>IF(O10="","",IF(O10="Muy Baja",0.2,IF(O10="Baja",0.4,IF(O10="Media",0.6,IF(O10="Alta",0.8,IF(O10="Muy Alta",1,))))))</f>
        <v>0.6</v>
      </c>
      <c r="Q10" s="406" t="s">
        <v>428</v>
      </c>
      <c r="R10" s="405" t="str">
        <f>IF(NOT(ISERROR(MATCH(Q10,'[3]Tabla Impacto'!$B$245:$B$247,0))),'[3]Tabla Impacto'!$F$224&amp;"Por favor no seleccionar los criterios de impacto(Afectación Económica o presupuestal y Pérdida Reputacional)",Q10)</f>
        <v xml:space="preserve">     El riesgo afecta la imagen de la entidad con algunos usuarios de relevancia frente al logro de los objetivos</v>
      </c>
      <c r="S10" s="417" t="str">
        <f>IF(OR(R10='[3]Tabla Impacto'!$C$12,R10='[3]Tabla Impacto'!$D$12),"Leve",IF(OR(R10='[3]Tabla Impacto'!$C$13,R10='[3]Tabla Impacto'!$D$13),"Menor",IF(OR(R10='[3]Tabla Impacto'!$C$14,R10='[3]Tabla Impacto'!$D$14),"Moderado",IF(OR(R10='[3]Tabla Impacto'!$C$15,R10='[3]Tabla Impacto'!$D$15),"Mayor",IF(OR(R10='[3]Tabla Impacto'!$C$16,R10='[3]Tabla Impacto'!$D$16),"Catastrófico","")))))</f>
        <v>Moderado</v>
      </c>
      <c r="T10" s="405">
        <f>IF(S10="","",IF(S10="Leve",0.2,IF(S10="Menor",0.4,IF(S10="Moderado",0.6,IF(S10="Mayor",0.8,IF(S10="Catastrófico",1,))))))</f>
        <v>0.6</v>
      </c>
      <c r="U10" s="418" t="str">
        <f>IF(OR(AND(O10="Muy Baja",S10="Leve"),AND(O10="Muy Baja",S10="Menor"),AND(O10="Baja",S10="Leve")),"Bajo",IF(OR(AND(O10="Muy baja",S10="Moderado"),AND(O10="Baja",S10="Menor"),AND(O10="Baja",S10="Moderado"),AND(O10="Media",S10="Leve"),AND(O10="Media",S10="Menor"),AND(O10="Media",S10="Moderado"),AND(O10="Alta",S10="Leve"),AND(O10="Alta",S10="Menor")),"Moderado",IF(OR(AND(O10="Muy Baja",S10="Mayor"),AND(O10="Baja",S10="Mayor"),AND(O10="Media",S10="Mayor"),AND(O10="Alta",S10="Moderado"),AND(O10="Alta",S10="Mayor"),AND(O10="Muy Alta",S10="Leve"),AND(O10="Muy Alta",S10="Menor"),AND(O10="Muy Alta",S10="Moderado"),AND(O10="Muy Alta",S10="Mayor")),"Alto",IF(OR(AND(O10="Muy Baja",S10="Catastrófico"),AND(O10="Baja",S10="Catastrófico"),AND(O10="Media",S10="Catastrófico"),AND(O10="Alta",S10="Catastrófico"),AND(O10="Muy Alta",S10="Catastrófico")),"Extremo",""))))</f>
        <v>Moderado</v>
      </c>
      <c r="V10" s="149">
        <v>1</v>
      </c>
      <c r="W10" s="182" t="s">
        <v>854</v>
      </c>
      <c r="X10" s="348" t="s">
        <v>52</v>
      </c>
      <c r="Y10" s="182" t="s">
        <v>1033</v>
      </c>
      <c r="Z10" s="304" t="str">
        <f>+CONCATENATE(W10," ",X10," ",Y10)</f>
        <v xml:space="preserve">Los profesionales designados por el jefe de Servicio a la Ciudadanía y Sostenibilidad (Coordinadores (as)  Ambiental, Social y SST)  Revisa Cuatrimestralmente la apropiación de las sensibilizaciones en las tematicas (de cuidado de lo publico, cuidado de bienes y responsabilidades en el uso adecuado y peridda de los bienes publicos) con una evaluación de tres (3) jornadas de sensibilización; lo anterior se realizará mediante un documento  de evaluación y la evidencia será el analisis, como producto de los resultados de las evaluaciones aplicadas. 
En caso de que los resultados de la evaluación no superen el 80% se brindará apoyo personalizado. </v>
      </c>
      <c r="AA10" s="126" t="str">
        <f t="shared" ref="AA10:AA21" si="0">IF(OR(AB10="Preventivo",AB10="Detectivo"),"Probabilidad",IF(AB10="Correctivo","Impacto",""))</f>
        <v>Impacto</v>
      </c>
      <c r="AB10" s="127" t="s">
        <v>419</v>
      </c>
      <c r="AC10" s="127" t="s">
        <v>394</v>
      </c>
      <c r="AD10" s="128" t="str">
        <f>IF(AND(AB10="Preventivo",AC10="Automático"),"50%",IF(AND(AB10="Preventivo",AC10="Manual"),"40%",IF(AND(AB10="Detectivo",AC10="Automático"),"40%",IF(AND(AB10="Detectivo",AC10="Manual"),"30%",IF(AND(AB10="Correctivo",AC10="Automático"),"35%",IF(AND(AB10="Correctivo",AC10="Manual"),"25%",""))))))</f>
        <v>25%</v>
      </c>
      <c r="AE10" s="127" t="s">
        <v>421</v>
      </c>
      <c r="AF10" s="127" t="s">
        <v>396</v>
      </c>
      <c r="AG10" s="127" t="s">
        <v>422</v>
      </c>
      <c r="AH10" s="129">
        <f>IFERROR(IF(AA10="Probabilidad",(P10-(+P10*AD10)),IF(AA10="Impacto",P10,"")),"")</f>
        <v>0.6</v>
      </c>
      <c r="AI10" s="130" t="str">
        <f>IFERROR(IF(AH10="","",IF(AH10&lt;=0.2,"Muy Baja",IF(AH10&lt;=0.4,"Baja",IF(AH10&lt;=0.6,"Media",IF(AH10&lt;=0.8,"Alta","Muy Alta"))))),"")</f>
        <v>Media</v>
      </c>
      <c r="AJ10" s="128">
        <f>+AH10</f>
        <v>0.6</v>
      </c>
      <c r="AK10" s="130" t="str">
        <f>IFERROR(IF(AL10="","",IF(AL10&lt;=0.2,"Leve",IF(AL10&lt;=0.4,"Menor",IF(AL10&lt;=0.6,"Moderado",IF(AL10&lt;=0.8,"Mayor","Catastrófico"))))),"")</f>
        <v>Moderado</v>
      </c>
      <c r="AL10" s="128">
        <f>IFERROR(IF(AA10="Impacto",(T10-(+T10*AD10)),IF(AA10="Probabilidad",T10,"")),"")</f>
        <v>0.44999999999999996</v>
      </c>
      <c r="AM10" s="131" t="str">
        <f>IFERROR(IF(OR(AND(AI10="Muy Baja",AK10="Leve"),AND(AI10="Muy Baja",AK10="Menor"),AND(AI10="Baja",AK10="Leve")),"Bajo",IF(OR(AND(AI10="Muy baja",AK10="Moderado"),AND(AI10="Baja",AK10="Menor"),AND(AI10="Baja",AK10="Moderado"),AND(AI10="Media",AK10="Leve"),AND(AI10="Media",AK10="Menor"),AND(AI10="Media",AK10="Moderado"),AND(AI10="Alta",AK10="Leve"),AND(AI10="Alta",AK10="Menor")),"Moderado",IF(OR(AND(AI10="Muy Baja",AK10="Mayor"),AND(AI10="Baja",AK10="Mayor"),AND(AI10="Media",AK10="Mayor"),AND(AI10="Alta",AK10="Moderado"),AND(AI10="Alta",AK10="Mayor"),AND(AI10="Muy Alta",AK10="Leve"),AND(AI10="Muy Alta",AK10="Menor"),AND(AI10="Muy Alta",AK10="Moderado"),AND(AI10="Muy Alta",AK10="Mayor")),"Alto",IF(OR(AND(AI10="Muy Baja",AK10="Catastrófico"),AND(AI10="Baja",AK10="Catastrófico"),AND(AI10="Media",AK10="Catastrófico"),AND(AI10="Alta",AK10="Catastrófico"),AND(AI10="Muy Alta",AK10="Catastrófico")),"Extremo","")))),"")</f>
        <v>Moderado</v>
      </c>
      <c r="AN10" s="132" t="s">
        <v>43</v>
      </c>
      <c r="AO10" s="304" t="s">
        <v>1034</v>
      </c>
      <c r="AP10" s="125" t="s">
        <v>1035</v>
      </c>
      <c r="AQ10" s="125" t="s">
        <v>1036</v>
      </c>
      <c r="AR10" s="335" t="s">
        <v>1037</v>
      </c>
      <c r="AS10" s="400" t="s">
        <v>859</v>
      </c>
      <c r="AT10" s="400" t="s">
        <v>1038</v>
      </c>
      <c r="AU10" s="400" t="s">
        <v>672</v>
      </c>
    </row>
    <row r="11" spans="1:275" ht="145.5" customHeight="1" x14ac:dyDescent="0.2">
      <c r="A11" s="398"/>
      <c r="B11" s="400"/>
      <c r="C11" s="400"/>
      <c r="D11" s="400"/>
      <c r="E11" s="400"/>
      <c r="F11" s="400"/>
      <c r="G11" s="401"/>
      <c r="H11" s="403"/>
      <c r="I11" s="403"/>
      <c r="J11" s="403"/>
      <c r="K11" s="403"/>
      <c r="L11" s="403"/>
      <c r="M11" s="403"/>
      <c r="N11" s="416"/>
      <c r="O11" s="417"/>
      <c r="P11" s="405"/>
      <c r="Q11" s="406"/>
      <c r="R11" s="405">
        <f>IF(NOT(ISERROR(MATCH(Q11,_xlfn.ANCHORARRAY(G22),0))),P24&amp;"Por favor no seleccionar los criterios de impacto",Q11)</f>
        <v>0</v>
      </c>
      <c r="S11" s="417"/>
      <c r="T11" s="405"/>
      <c r="U11" s="418"/>
      <c r="V11" s="149">
        <v>2</v>
      </c>
      <c r="W11" s="182" t="s">
        <v>872</v>
      </c>
      <c r="X11" s="351" t="s">
        <v>41</v>
      </c>
      <c r="Y11" s="182" t="s">
        <v>1039</v>
      </c>
      <c r="Z11" s="304" t="str">
        <f t="shared" ref="Z11:Z69" si="1">+CONCATENATE(W11," ",X11," ",Y11)</f>
        <v>Los profesionales designados por el Jefe de Servicio a la Ciudadania y Sostenibilidad  (Coordinadores (as)  Ambiental, Social y SST)  Valida Cuatrimestralmente la correcta asignación para su cuidado y preservación de elementos devolutivos y de consumo necesarios para la gestión ambiental, social y de sst, a los residentes a cargo del frente de obra donde se encuentran dichos elementos, a traves de mesa de seguimiento y/o correo electronico.
Lo anterior se evidenciará por medio de acta de asignación o correo electronico de parte de los coordinadores a los residentes de la OSCS. 
En el caso que se identifiquen perdidas, se procede a informar al supervisor del contrato para tomar las medidas correctivas necesarias</v>
      </c>
      <c r="AA11" s="126" t="str">
        <f t="shared" si="0"/>
        <v>Probabilidad</v>
      </c>
      <c r="AB11" s="127" t="s">
        <v>398</v>
      </c>
      <c r="AC11" s="127" t="s">
        <v>394</v>
      </c>
      <c r="AD11" s="128" t="str">
        <f t="shared" ref="AD11:AD15" si="2">IF(AND(AB11="Preventivo",AC11="Automático"),"50%",IF(AND(AB11="Preventivo",AC11="Manual"),"40%",IF(AND(AB11="Detectivo",AC11="Automático"),"40%",IF(AND(AB11="Detectivo",AC11="Manual"),"30%",IF(AND(AB11="Correctivo",AC11="Automático"),"35%",IF(AND(AB11="Correctivo",AC11="Manual"),"25%",""))))))</f>
        <v>40%</v>
      </c>
      <c r="AE11" s="127" t="s">
        <v>421</v>
      </c>
      <c r="AF11" s="127" t="s">
        <v>396</v>
      </c>
      <c r="AG11" s="127" t="s">
        <v>422</v>
      </c>
      <c r="AH11" s="129">
        <f>IFERROR(IF(AND(AA10="Probabilidad",AA11="Probabilidad"),(AJ10-(+AJ10*AD11)),IF(AA11="Probabilidad",(P10-(+P10*AD11)),IF(AA11="Impacto",AJ10,""))),"")</f>
        <v>0.36</v>
      </c>
      <c r="AI11" s="130" t="str">
        <f t="shared" ref="AI11:AI69" si="3">IFERROR(IF(AH11="","",IF(AH11&lt;=0.2,"Muy Baja",IF(AH11&lt;=0.4,"Baja",IF(AH11&lt;=0.6,"Media",IF(AH11&lt;=0.8,"Alta","Muy Alta"))))),"")</f>
        <v>Baja</v>
      </c>
      <c r="AJ11" s="128">
        <f t="shared" ref="AJ11:AJ15" si="4">+AH11</f>
        <v>0.36</v>
      </c>
      <c r="AK11" s="130" t="str">
        <f t="shared" ref="AK11:AK69" si="5">IFERROR(IF(AL11="","",IF(AL11&lt;=0.2,"Leve",IF(AL11&lt;=0.4,"Menor",IF(AL11&lt;=0.6,"Moderado",IF(AL11&lt;=0.8,"Mayor","Catastrófico"))))),"")</f>
        <v>Moderado</v>
      </c>
      <c r="AL11" s="128">
        <f>IFERROR(IF(AND(AA10="Impacto",AA11="Impacto"),(AL10-(+AL10*AD11)),IF(AA11="Impacto",($T$10-(+$T$10*AD11)),IF(AA11="Probabilidad",AL10,""))),"")</f>
        <v>0.44999999999999996</v>
      </c>
      <c r="AM11" s="131" t="str">
        <f t="shared" ref="AM11:AM15" si="6">IFERROR(IF(OR(AND(AI11="Muy Baja",AK11="Leve"),AND(AI11="Muy Baja",AK11="Menor"),AND(AI11="Baja",AK11="Leve")),"Bajo",IF(OR(AND(AI11="Muy baja",AK11="Moderado"),AND(AI11="Baja",AK11="Menor"),AND(AI11="Baja",AK11="Moderado"),AND(AI11="Media",AK11="Leve"),AND(AI11="Media",AK11="Menor"),AND(AI11="Media",AK11="Moderado"),AND(AI11="Alta",AK11="Leve"),AND(AI11="Alta",AK11="Menor")),"Moderado",IF(OR(AND(AI11="Muy Baja",AK11="Mayor"),AND(AI11="Baja",AK11="Mayor"),AND(AI11="Media",AK11="Mayor"),AND(AI11="Alta",AK11="Moderado"),AND(AI11="Alta",AK11="Mayor"),AND(AI11="Muy Alta",AK11="Leve"),AND(AI11="Muy Alta",AK11="Menor"),AND(AI11="Muy Alta",AK11="Moderado"),AND(AI11="Muy Alta",AK11="Mayor")),"Alto",IF(OR(AND(AI11="Muy Baja",AK11="Catastrófico"),AND(AI11="Baja",AK11="Catastrófico"),AND(AI11="Media",AK11="Catastrófico"),AND(AI11="Alta",AK11="Catastrófico"),AND(AI11="Muy Alta",AK11="Catastrófico")),"Extremo","")))),"")</f>
        <v>Moderado</v>
      </c>
      <c r="AN11" s="132" t="s">
        <v>43</v>
      </c>
      <c r="AO11" s="304"/>
      <c r="AP11" s="133"/>
      <c r="AQ11" s="125"/>
      <c r="AR11" s="134"/>
      <c r="AS11" s="400"/>
      <c r="AT11" s="400"/>
      <c r="AU11" s="400"/>
    </row>
    <row r="12" spans="1:275" hidden="1" x14ac:dyDescent="0.2">
      <c r="A12" s="398"/>
      <c r="B12" s="400"/>
      <c r="C12" s="400"/>
      <c r="D12" s="400"/>
      <c r="E12" s="400"/>
      <c r="F12" s="400"/>
      <c r="G12" s="401"/>
      <c r="H12" s="403"/>
      <c r="I12" s="403"/>
      <c r="J12" s="403"/>
      <c r="K12" s="403"/>
      <c r="L12" s="403"/>
      <c r="M12" s="403"/>
      <c r="N12" s="416"/>
      <c r="O12" s="417"/>
      <c r="P12" s="405"/>
      <c r="Q12" s="406"/>
      <c r="R12" s="405">
        <f>IF(NOT(ISERROR(MATCH(Q12,_xlfn.ANCHORARRAY(G23),0))),P25&amp;"Por favor no seleccionar los criterios de impacto",Q12)</f>
        <v>0</v>
      </c>
      <c r="S12" s="417"/>
      <c r="T12" s="405"/>
      <c r="U12" s="418"/>
      <c r="V12" s="149">
        <v>3</v>
      </c>
      <c r="W12" s="182"/>
      <c r="X12" s="149"/>
      <c r="Y12" s="149"/>
      <c r="Z12" s="304" t="str">
        <f t="shared" si="1"/>
        <v xml:space="preserve">  </v>
      </c>
      <c r="AA12" s="126" t="str">
        <f t="shared" si="0"/>
        <v/>
      </c>
      <c r="AB12" s="127"/>
      <c r="AC12" s="127"/>
      <c r="AD12" s="128" t="str">
        <f t="shared" si="2"/>
        <v/>
      </c>
      <c r="AE12" s="127"/>
      <c r="AF12" s="127"/>
      <c r="AG12" s="127"/>
      <c r="AH12" s="129" t="str">
        <f>IFERROR(IF(AND(AA11="Probabilidad",AA12="Probabilidad"),(AJ11-(+AJ11*AD12)),IF(AND(AA11="Impacto",AA12="Probabilidad"),(AJ10-(+AJ10*AD12)),IF(AA12="Impacto",AJ11,""))),"")</f>
        <v/>
      </c>
      <c r="AI12" s="130" t="str">
        <f t="shared" si="3"/>
        <v/>
      </c>
      <c r="AJ12" s="128" t="str">
        <f t="shared" si="4"/>
        <v/>
      </c>
      <c r="AK12" s="130" t="str">
        <f t="shared" si="5"/>
        <v/>
      </c>
      <c r="AL12" s="128" t="str">
        <f>IFERROR(IF(AND(AA11="Impacto",AA12="Impacto"),(AL11-(+AL11*AD12)),IF(AND(AA11="Probabilidad",AA12="Impacto"),(AL10-(+AL10*AD12)),IF(AA12="Probabilidad",AL11,""))),"")</f>
        <v/>
      </c>
      <c r="AM12" s="131" t="str">
        <f t="shared" si="6"/>
        <v/>
      </c>
      <c r="AN12" s="132"/>
      <c r="AO12" s="304"/>
      <c r="AP12" s="133"/>
      <c r="AQ12" s="133"/>
      <c r="AR12" s="134"/>
      <c r="AS12" s="400"/>
      <c r="AT12" s="400"/>
      <c r="AU12" s="400"/>
    </row>
    <row r="13" spans="1:275" hidden="1" x14ac:dyDescent="0.2">
      <c r="A13" s="398"/>
      <c r="B13" s="400"/>
      <c r="C13" s="400"/>
      <c r="D13" s="400"/>
      <c r="E13" s="400"/>
      <c r="F13" s="400"/>
      <c r="G13" s="401"/>
      <c r="H13" s="403"/>
      <c r="I13" s="403"/>
      <c r="J13" s="403"/>
      <c r="K13" s="403"/>
      <c r="L13" s="403"/>
      <c r="M13" s="403"/>
      <c r="N13" s="416"/>
      <c r="O13" s="417"/>
      <c r="P13" s="405"/>
      <c r="Q13" s="406"/>
      <c r="R13" s="405">
        <f>IF(NOT(ISERROR(MATCH(Q13,_xlfn.ANCHORARRAY(G24),0))),P26&amp;"Por favor no seleccionar los criterios de impacto",Q13)</f>
        <v>0</v>
      </c>
      <c r="S13" s="417"/>
      <c r="T13" s="405"/>
      <c r="U13" s="418"/>
      <c r="V13" s="149">
        <v>4</v>
      </c>
      <c r="W13" s="182"/>
      <c r="X13" s="149"/>
      <c r="Y13" s="149"/>
      <c r="Z13" s="304" t="str">
        <f t="shared" si="1"/>
        <v xml:space="preserve">  </v>
      </c>
      <c r="AA13" s="126" t="str">
        <f t="shared" si="0"/>
        <v/>
      </c>
      <c r="AB13" s="127"/>
      <c r="AC13" s="127"/>
      <c r="AD13" s="128" t="str">
        <f t="shared" si="2"/>
        <v/>
      </c>
      <c r="AE13" s="127"/>
      <c r="AF13" s="127"/>
      <c r="AG13" s="127"/>
      <c r="AH13" s="129" t="str">
        <f t="shared" ref="AH13:AH15" si="7">IFERROR(IF(AND(AA12="Probabilidad",AA13="Probabilidad"),(AJ12-(+AJ12*AD13)),IF(AND(AA12="Impacto",AA13="Probabilidad"),(AJ11-(+AJ11*AD13)),IF(AA13="Impacto",AJ12,""))),"")</f>
        <v/>
      </c>
      <c r="AI13" s="130" t="str">
        <f t="shared" si="3"/>
        <v/>
      </c>
      <c r="AJ13" s="128" t="str">
        <f t="shared" si="4"/>
        <v/>
      </c>
      <c r="AK13" s="130" t="str">
        <f t="shared" si="5"/>
        <v/>
      </c>
      <c r="AL13" s="128" t="str">
        <f t="shared" ref="AL13:AL15" si="8">IFERROR(IF(AND(AA12="Impacto",AA13="Impacto"),(AL12-(+AL12*AD13)),IF(AND(AA12="Probabilidad",AA13="Impacto"),(AL11-(+AL11*AD13)),IF(AA13="Probabilidad",AL12,""))),"")</f>
        <v/>
      </c>
      <c r="AM13" s="131" t="str">
        <f>IFERROR(IF(OR(AND(AI13="Muy Baja",AK13="Leve"),AND(AI13="Muy Baja",AK13="Menor"),AND(AI13="Baja",AK13="Leve")),"Bajo",IF(OR(AND(AI13="Muy baja",AK13="Moderado"),AND(AI13="Baja",AK13="Menor"),AND(AI13="Baja",AK13="Moderado"),AND(AI13="Media",AK13="Leve"),AND(AI13="Media",AK13="Menor"),AND(AI13="Media",AK13="Moderado"),AND(AI13="Alta",AK13="Leve"),AND(AI13="Alta",AK13="Menor")),"Moderado",IF(OR(AND(AI13="Muy Baja",AK13="Mayor"),AND(AI13="Baja",AK13="Mayor"),AND(AI13="Media",AK13="Mayor"),AND(AI13="Alta",AK13="Moderado"),AND(AI13="Alta",AK13="Mayor"),AND(AI13="Muy Alta",AK13="Leve"),AND(AI13="Muy Alta",AK13="Menor"),AND(AI13="Muy Alta",AK13="Moderado"),AND(AI13="Muy Alta",AK13="Mayor")),"Alto",IF(OR(AND(AI13="Muy Baja",AK13="Catastrófico"),AND(AI13="Baja",AK13="Catastrófico"),AND(AI13="Media",AK13="Catastrófico"),AND(AI13="Alta",AK13="Catastrófico"),AND(AI13="Muy Alta",AK13="Catastrófico")),"Extremo","")))),"")</f>
        <v/>
      </c>
      <c r="AN13" s="132"/>
      <c r="AO13" s="304"/>
      <c r="AP13" s="133"/>
      <c r="AQ13" s="133"/>
      <c r="AR13" s="134"/>
      <c r="AS13" s="400"/>
      <c r="AT13" s="400"/>
      <c r="AU13" s="400"/>
    </row>
    <row r="14" spans="1:275" hidden="1" x14ac:dyDescent="0.2">
      <c r="A14" s="398"/>
      <c r="B14" s="400"/>
      <c r="C14" s="400"/>
      <c r="D14" s="400"/>
      <c r="E14" s="400"/>
      <c r="F14" s="400"/>
      <c r="G14" s="401"/>
      <c r="H14" s="403"/>
      <c r="I14" s="403"/>
      <c r="J14" s="403"/>
      <c r="K14" s="403"/>
      <c r="L14" s="403"/>
      <c r="M14" s="403"/>
      <c r="N14" s="416"/>
      <c r="O14" s="417"/>
      <c r="P14" s="405"/>
      <c r="Q14" s="406"/>
      <c r="R14" s="405">
        <f>IF(NOT(ISERROR(MATCH(Q14,_xlfn.ANCHORARRAY(G25),0))),P27&amp;"Por favor no seleccionar los criterios de impacto",Q14)</f>
        <v>0</v>
      </c>
      <c r="S14" s="417"/>
      <c r="T14" s="405"/>
      <c r="U14" s="418"/>
      <c r="V14" s="149">
        <v>5</v>
      </c>
      <c r="W14" s="182"/>
      <c r="X14" s="149"/>
      <c r="Y14" s="149"/>
      <c r="Z14" s="304" t="str">
        <f t="shared" si="1"/>
        <v xml:space="preserve">  </v>
      </c>
      <c r="AA14" s="126" t="str">
        <f t="shared" si="0"/>
        <v/>
      </c>
      <c r="AB14" s="127"/>
      <c r="AC14" s="127"/>
      <c r="AD14" s="128" t="str">
        <f t="shared" si="2"/>
        <v/>
      </c>
      <c r="AE14" s="127"/>
      <c r="AF14" s="127"/>
      <c r="AG14" s="127"/>
      <c r="AH14" s="129" t="str">
        <f t="shared" si="7"/>
        <v/>
      </c>
      <c r="AI14" s="130" t="str">
        <f t="shared" si="3"/>
        <v/>
      </c>
      <c r="AJ14" s="128" t="str">
        <f t="shared" si="4"/>
        <v/>
      </c>
      <c r="AK14" s="130" t="str">
        <f t="shared" si="5"/>
        <v/>
      </c>
      <c r="AL14" s="128" t="str">
        <f t="shared" si="8"/>
        <v/>
      </c>
      <c r="AM14" s="131" t="str">
        <f t="shared" si="6"/>
        <v/>
      </c>
      <c r="AN14" s="132"/>
      <c r="AO14" s="304"/>
      <c r="AP14" s="133"/>
      <c r="AQ14" s="133"/>
      <c r="AR14" s="134"/>
      <c r="AS14" s="400"/>
      <c r="AT14" s="400"/>
      <c r="AU14" s="400"/>
    </row>
    <row r="15" spans="1:275" hidden="1" x14ac:dyDescent="0.2">
      <c r="A15" s="398"/>
      <c r="B15" s="400"/>
      <c r="C15" s="400"/>
      <c r="D15" s="400"/>
      <c r="E15" s="400"/>
      <c r="F15" s="400"/>
      <c r="G15" s="401"/>
      <c r="H15" s="404"/>
      <c r="I15" s="404"/>
      <c r="J15" s="404"/>
      <c r="K15" s="404"/>
      <c r="L15" s="404"/>
      <c r="M15" s="404"/>
      <c r="N15" s="416"/>
      <c r="O15" s="417"/>
      <c r="P15" s="405"/>
      <c r="Q15" s="406"/>
      <c r="R15" s="405">
        <f>IF(NOT(ISERROR(MATCH(Q15,_xlfn.ANCHORARRAY(G26),0))),P28&amp;"Por favor no seleccionar los criterios de impacto",Q15)</f>
        <v>0</v>
      </c>
      <c r="S15" s="417"/>
      <c r="T15" s="405"/>
      <c r="U15" s="418"/>
      <c r="V15" s="149">
        <v>6</v>
      </c>
      <c r="W15" s="182"/>
      <c r="X15" s="149"/>
      <c r="Y15" s="149"/>
      <c r="Z15" s="304" t="str">
        <f t="shared" si="1"/>
        <v xml:space="preserve">  </v>
      </c>
      <c r="AA15" s="126" t="str">
        <f t="shared" si="0"/>
        <v/>
      </c>
      <c r="AB15" s="127"/>
      <c r="AC15" s="127"/>
      <c r="AD15" s="128" t="str">
        <f t="shared" si="2"/>
        <v/>
      </c>
      <c r="AE15" s="127"/>
      <c r="AF15" s="127"/>
      <c r="AG15" s="127"/>
      <c r="AH15" s="129" t="str">
        <f t="shared" si="7"/>
        <v/>
      </c>
      <c r="AI15" s="130" t="str">
        <f t="shared" si="3"/>
        <v/>
      </c>
      <c r="AJ15" s="128" t="str">
        <f t="shared" si="4"/>
        <v/>
      </c>
      <c r="AK15" s="130" t="str">
        <f t="shared" si="5"/>
        <v/>
      </c>
      <c r="AL15" s="128" t="str">
        <f t="shared" si="8"/>
        <v/>
      </c>
      <c r="AM15" s="131" t="str">
        <f t="shared" si="6"/>
        <v/>
      </c>
      <c r="AN15" s="132"/>
      <c r="AO15" s="304"/>
      <c r="AP15" s="133"/>
      <c r="AQ15" s="133"/>
      <c r="AR15" s="134"/>
      <c r="AS15" s="400"/>
      <c r="AT15" s="400"/>
      <c r="AU15" s="400"/>
    </row>
    <row r="16" spans="1:275" ht="131.25" customHeight="1" x14ac:dyDescent="0.2">
      <c r="A16" s="708">
        <v>2</v>
      </c>
      <c r="B16" s="400" t="s">
        <v>558</v>
      </c>
      <c r="C16" s="495" t="s">
        <v>48</v>
      </c>
      <c r="D16" s="495" t="s">
        <v>1081</v>
      </c>
      <c r="E16" s="495" t="s">
        <v>1082</v>
      </c>
      <c r="F16" s="495" t="s">
        <v>1083</v>
      </c>
      <c r="G16" s="710" t="str">
        <f>+CONCATENATE(C16," ",D16," ",E16)</f>
        <v>Posibilidad de efecto dañosos sobre bienes Por pérdida, extravío o hurto de bienes muebles de la entidad  a causa de la omisión en la aplicación del procedimiento para el ingreso, custodia y salida de bienes e inventario del almacén y el reporte de informac ión a quien gestiona las pólizas cuando haya
lugar</v>
      </c>
      <c r="H16" s="402" t="s">
        <v>59</v>
      </c>
      <c r="I16" s="402" t="s">
        <v>1084</v>
      </c>
      <c r="J16" s="402" t="s">
        <v>1085</v>
      </c>
      <c r="K16" s="402" t="s">
        <v>1086</v>
      </c>
      <c r="L16" s="402" t="s">
        <v>55</v>
      </c>
      <c r="M16" s="402" t="s">
        <v>55</v>
      </c>
      <c r="N16" s="416">
        <v>120</v>
      </c>
      <c r="O16" s="417" t="str">
        <f>IF(N16&lt;=0,"",IF(N16&lt;=2,"Muy Baja",IF(N16&lt;=24,"Baja",IF(N16&lt;=500,"Media",IF(N16&lt;=5000,"Alta","Muy Alta")))))</f>
        <v>Media</v>
      </c>
      <c r="P16" s="405">
        <f>IF(O16="","",IF(O16="Muy Baja",0.2,IF(O16="Baja",0.4,IF(O16="Media",0.6,IF(O16="Alta",0.8,IF(O16="Muy Alta",1,))))))</f>
        <v>0.6</v>
      </c>
      <c r="Q16" s="406" t="s">
        <v>392</v>
      </c>
      <c r="R16" s="405" t="str">
        <f>IF(NOT(ISERROR(MATCH(Q16,'[4]Tabla Impacto'!$B$245:$B$247,0))),'[4]Tabla Impacto'!$F$224&amp;"Por favor no seleccionar los criterios de impacto(Afectación Económica o presupuestal y Pérdida Reputacional)",Q16)</f>
        <v xml:space="preserve">     El riesgo afecta la imagen de alguna área de la organización</v>
      </c>
      <c r="S16" s="417" t="str">
        <f>IF(OR(R16='[4]Tabla Impacto'!$C$12,R16='[4]Tabla Impacto'!$D$12),"Leve",IF(OR(R16='[4]Tabla Impacto'!$C$13,R16='[4]Tabla Impacto'!$D$13),"Menor",IF(OR(R16='[4]Tabla Impacto'!$C$14,R16='[4]Tabla Impacto'!$D$14),"Moderado",IF(OR(R16='[4]Tabla Impacto'!$C$15,R16='[4]Tabla Impacto'!$D$15),"Mayor",IF(OR(R16='[4]Tabla Impacto'!$C$16,R16='[4]Tabla Impacto'!$D$16),"Catastrófico","")))))</f>
        <v>Leve</v>
      </c>
      <c r="T16" s="405">
        <f>IF(S16="","",IF(S16="Leve",0.2,IF(S16="Menor",0.4,IF(S16="Moderado",0.6,IF(S16="Mayor",0.8,IF(S16="Catastrófico",1,))))))</f>
        <v>0.2</v>
      </c>
      <c r="U16" s="418" t="str">
        <f>IF(OR(AND(O16="Muy Baja",S16="Leve"),AND(O16="Muy Baja",S16="Menor"),AND(O16="Baja",S16="Leve")),"Bajo",IF(OR(AND(O16="Muy baja",S16="Moderado"),AND(O16="Baja",S16="Menor"),AND(O16="Baja",S16="Moderado"),AND(O16="Media",S16="Leve"),AND(O16="Media",S16="Menor"),AND(O16="Media",S16="Moderado"),AND(O16="Alta",S16="Leve"),AND(O16="Alta",S16="Menor")),"Moderado",IF(OR(AND(O16="Muy Baja",S16="Mayor"),AND(O16="Baja",S16="Mayor"),AND(O16="Media",S16="Mayor"),AND(O16="Alta",S16="Moderado"),AND(O16="Alta",S16="Mayor"),AND(O16="Muy Alta",S16="Leve"),AND(O16="Muy Alta",S16="Menor"),AND(O16="Muy Alta",S16="Moderado"),AND(O16="Muy Alta",S16="Mayor")),"Alto",IF(OR(AND(O16="Muy Baja",S16="Catastrófico"),AND(O16="Baja",S16="Catastrófico"),AND(O16="Media",S16="Catastrófico"),AND(O16="Alta",S16="Catastrófico"),AND(O16="Muy Alta",S16="Catastrófico")),"Extremo",""))))</f>
        <v>Moderado</v>
      </c>
      <c r="V16" s="149">
        <v>1</v>
      </c>
      <c r="W16" s="182" t="s">
        <v>1071</v>
      </c>
      <c r="X16" s="182" t="s">
        <v>45</v>
      </c>
      <c r="Y16" s="182" t="s">
        <v>1204</v>
      </c>
      <c r="Z16" s="304" t="str">
        <f>+CONCATENATE(W16," ",X16," ",Y16)</f>
        <v>El Servidor Público o contratista designado  Coteja cada trimestre a través de la toma física aleatoria o integral las existencias de los bienes comparando con los registros en el sistema de inventarios. Dejando como soporte los formtos diligenciados toma fisica. 
En caso de que existan diferencias se dejará un informe donde se detallan los sobrantes o faltantes, para continuar el trámite administrativo.</v>
      </c>
      <c r="AA16" s="126" t="str">
        <f t="shared" si="0"/>
        <v>Probabilidad</v>
      </c>
      <c r="AB16" s="127" t="s">
        <v>398</v>
      </c>
      <c r="AC16" s="127" t="s">
        <v>394</v>
      </c>
      <c r="AD16" s="128" t="str">
        <f>IF(AND(AB16="Preventivo",AC16="Automático"),"50%",IF(AND(AB16="Preventivo",AC16="Manual"),"40%",IF(AND(AB16="Detectivo",AC16="Automático"),"40%",IF(AND(AB16="Detectivo",AC16="Manual"),"30%",IF(AND(AB16="Correctivo",AC16="Automático"),"35%",IF(AND(AB16="Correctivo",AC16="Manual"),"25%",""))))))</f>
        <v>40%</v>
      </c>
      <c r="AE16" s="127" t="s">
        <v>395</v>
      </c>
      <c r="AF16" s="127" t="s">
        <v>541</v>
      </c>
      <c r="AG16" s="127" t="s">
        <v>397</v>
      </c>
      <c r="AH16" s="129">
        <f>IFERROR(IF(AA16="Probabilidad",(P16-(+P16*AD16)),IF(AA16="Impacto",P16,"")),"")</f>
        <v>0.36</v>
      </c>
      <c r="AI16" s="130" t="str">
        <f>IFERROR(IF(AH16="","",IF(AH16&lt;=0.2,"Muy Baja",IF(AH16&lt;=0.4,"Baja",IF(AH16&lt;=0.6,"Media",IF(AH16&lt;=0.8,"Alta","Muy Alta"))))),"")</f>
        <v>Baja</v>
      </c>
      <c r="AJ16" s="128">
        <f>+AH16</f>
        <v>0.36</v>
      </c>
      <c r="AK16" s="130" t="str">
        <f>IFERROR(IF(AL16="","",IF(AL16&lt;=0.2,"Leve",IF(AL16&lt;=0.4,"Menor",IF(AL16&lt;=0.6,"Moderado",IF(AL16&lt;=0.8,"Mayor","Catastrófico"))))),"")</f>
        <v>Leve</v>
      </c>
      <c r="AL16" s="128">
        <f>IFERROR(IF(AA16="Impacto",(T16-(+T16*AD16)),IF(AA16="Probabilidad",T16,"")),"")</f>
        <v>0.2</v>
      </c>
      <c r="AM16" s="131" t="str">
        <f>IFERROR(IF(OR(AND(AI16="Muy Baja",AK16="Leve"),AND(AI16="Muy Baja",AK16="Menor"),AND(AI16="Baja",AK16="Leve")),"Bajo",IF(OR(AND(AI16="Muy baja",AK16="Moderado"),AND(AI16="Baja",AK16="Menor"),AND(AI16="Baja",AK16="Moderado"),AND(AI16="Media",AK16="Leve"),AND(AI16="Media",AK16="Menor"),AND(AI16="Media",AK16="Moderado"),AND(AI16="Alta",AK16="Leve"),AND(AI16="Alta",AK16="Menor")),"Moderado",IF(OR(AND(AI16="Muy Baja",AK16="Mayor"),AND(AI16="Baja",AK16="Mayor"),AND(AI16="Media",AK16="Mayor"),AND(AI16="Alta",AK16="Moderado"),AND(AI16="Alta",AK16="Mayor"),AND(AI16="Muy Alta",AK16="Leve"),AND(AI16="Muy Alta",AK16="Menor"),AND(AI16="Muy Alta",AK16="Moderado"),AND(AI16="Muy Alta",AK16="Mayor")),"Alto",IF(OR(AND(AI16="Muy Baja",AK16="Catastrófico"),AND(AI16="Baja",AK16="Catastrófico"),AND(AI16="Media",AK16="Catastrófico"),AND(AI16="Alta",AK16="Catastrófico"),AND(AI16="Muy Alta",AK16="Catastrófico")),"Extremo","")))),"")</f>
        <v>Bajo</v>
      </c>
      <c r="AN16" s="132" t="s">
        <v>35</v>
      </c>
      <c r="AO16" s="125" t="s">
        <v>1087</v>
      </c>
      <c r="AP16" s="125" t="s">
        <v>1075</v>
      </c>
      <c r="AQ16" s="125" t="s">
        <v>1076</v>
      </c>
      <c r="AR16" s="134" t="s">
        <v>1088</v>
      </c>
      <c r="AS16" s="372" t="s">
        <v>1078</v>
      </c>
      <c r="AT16" s="372" t="s">
        <v>1079</v>
      </c>
      <c r="AU16" s="372" t="s">
        <v>1080</v>
      </c>
    </row>
    <row r="17" spans="1:47" s="302" customFormat="1" ht="15" customHeight="1" x14ac:dyDescent="0.2">
      <c r="A17" s="708"/>
      <c r="B17" s="400"/>
      <c r="C17" s="495"/>
      <c r="D17" s="495"/>
      <c r="E17" s="495"/>
      <c r="F17" s="495"/>
      <c r="G17" s="710"/>
      <c r="H17" s="403"/>
      <c r="I17" s="403"/>
      <c r="J17" s="403"/>
      <c r="K17" s="403"/>
      <c r="L17" s="403"/>
      <c r="M17" s="403"/>
      <c r="N17" s="416"/>
      <c r="O17" s="417"/>
      <c r="P17" s="405"/>
      <c r="Q17" s="406"/>
      <c r="R17" s="405">
        <f>IF(NOT(ISERROR(MATCH(Q17,_xlfn.ANCHORARRAY(G28),0))),P30&amp;"Por favor no seleccionar los criterios de impacto",Q17)</f>
        <v>0</v>
      </c>
      <c r="S17" s="417"/>
      <c r="T17" s="405"/>
      <c r="U17" s="418"/>
      <c r="V17" s="149">
        <v>2</v>
      </c>
      <c r="W17" s="182"/>
      <c r="X17" s="149"/>
      <c r="Y17" s="149"/>
      <c r="Z17" s="174" t="str">
        <f t="shared" ref="Z17:Z21" si="9">+CONCATENATE(W17," ",X17," ",Y17)</f>
        <v xml:space="preserve">  </v>
      </c>
      <c r="AA17" s="126" t="str">
        <f t="shared" si="0"/>
        <v/>
      </c>
      <c r="AB17" s="127"/>
      <c r="AC17" s="127"/>
      <c r="AD17" s="128" t="str">
        <f t="shared" ref="AD17:AD21" si="10">IF(AND(AB17="Preventivo",AC17="Automático"),"50%",IF(AND(AB17="Preventivo",AC17="Manual"),"40%",IF(AND(AB17="Detectivo",AC17="Automático"),"40%",IF(AND(AB17="Detectivo",AC17="Manual"),"30%",IF(AND(AB17="Correctivo",AC17="Automático"),"35%",IF(AND(AB17="Correctivo",AC17="Manual"),"25%",""))))))</f>
        <v/>
      </c>
      <c r="AE17" s="127"/>
      <c r="AF17" s="127"/>
      <c r="AG17" s="127"/>
      <c r="AH17" s="129" t="str">
        <f>IFERROR(IF(AND(AA16="Probabilidad",AA17="Probabilidad"),(AJ16-(+AJ16*AD17)),IF(AA17="Probabilidad",(P16-(+P16*AD17)),IF(AA17="Impacto",AJ16,""))),"")</f>
        <v/>
      </c>
      <c r="AI17" s="130" t="str">
        <f t="shared" ref="AI17:AI21" si="11">IFERROR(IF(AH17="","",IF(AH17&lt;=0.2,"Muy Baja",IF(AH17&lt;=0.4,"Baja",IF(AH17&lt;=0.6,"Media",IF(AH17&lt;=0.8,"Alta","Muy Alta"))))),"")</f>
        <v/>
      </c>
      <c r="AJ17" s="128" t="str">
        <f t="shared" ref="AJ17:AJ21" si="12">+AH17</f>
        <v/>
      </c>
      <c r="AK17" s="130" t="str">
        <f t="shared" ref="AK17:AK21" si="13">IFERROR(IF(AL17="","",IF(AL17&lt;=0.2,"Leve",IF(AL17&lt;=0.4,"Menor",IF(AL17&lt;=0.6,"Moderado",IF(AL17&lt;=0.8,"Mayor","Catastrófico"))))),"")</f>
        <v/>
      </c>
      <c r="AL17" s="128" t="str">
        <f>IFERROR(IF(AND(AA16="Impacto",AA17="Impacto"),(AL16-(+AL16*AD17)),IF(AA17="Impacto",($S$13-(+$S$13*AD17)),IF(AA17="Probabilidad",AL16,""))),"")</f>
        <v/>
      </c>
      <c r="AM17" s="131" t="str">
        <f t="shared" ref="AM17:AM21" si="14">IFERROR(IF(OR(AND(AI17="Muy Baja",AK17="Leve"),AND(AI17="Muy Baja",AK17="Menor"),AND(AI17="Baja",AK17="Leve")),"Bajo",IF(OR(AND(AI17="Muy baja",AK17="Moderado"),AND(AI17="Baja",AK17="Menor"),AND(AI17="Baja",AK17="Moderado"),AND(AI17="Media",AK17="Leve"),AND(AI17="Media",AK17="Menor"),AND(AI17="Media",AK17="Moderado"),AND(AI17="Alta",AK17="Leve"),AND(AI17="Alta",AK17="Menor")),"Moderado",IF(OR(AND(AI17="Muy Baja",AK17="Mayor"),AND(AI17="Baja",AK17="Mayor"),AND(AI17="Media",AK17="Mayor"),AND(AI17="Alta",AK17="Moderado"),AND(AI17="Alta",AK17="Mayor"),AND(AI17="Muy Alta",AK17="Leve"),AND(AI17="Muy Alta",AK17="Menor"),AND(AI17="Muy Alta",AK17="Moderado"),AND(AI17="Muy Alta",AK17="Mayor")),"Alto",IF(OR(AND(AI17="Muy Baja",AK17="Catastrófico"),AND(AI17="Baja",AK17="Catastrófico"),AND(AI17="Media",AK17="Catastrófico"),AND(AI17="Alta",AK17="Catastrófico"),AND(AI17="Muy Alta",AK17="Catastrófico")),"Extremo","")))),"")</f>
        <v/>
      </c>
      <c r="AN17" s="132"/>
      <c r="AO17" s="125"/>
      <c r="AP17" s="133"/>
      <c r="AQ17" s="125"/>
      <c r="AR17" s="134"/>
      <c r="AS17" s="372"/>
      <c r="AT17" s="372"/>
      <c r="AU17" s="372"/>
    </row>
    <row r="18" spans="1:47" s="302" customFormat="1" ht="15" customHeight="1" x14ac:dyDescent="0.2">
      <c r="A18" s="708"/>
      <c r="B18" s="400"/>
      <c r="C18" s="495"/>
      <c r="D18" s="495"/>
      <c r="E18" s="495"/>
      <c r="F18" s="495"/>
      <c r="G18" s="710"/>
      <c r="H18" s="403"/>
      <c r="I18" s="403"/>
      <c r="J18" s="403"/>
      <c r="K18" s="403"/>
      <c r="L18" s="403"/>
      <c r="M18" s="403"/>
      <c r="N18" s="416"/>
      <c r="O18" s="417"/>
      <c r="P18" s="405"/>
      <c r="Q18" s="406"/>
      <c r="R18" s="405">
        <f>IF(NOT(ISERROR(MATCH(Q18,_xlfn.ANCHORARRAY(G29),0))),P31&amp;"Por favor no seleccionar los criterios de impacto",Q18)</f>
        <v>0</v>
      </c>
      <c r="S18" s="417"/>
      <c r="T18" s="405"/>
      <c r="U18" s="418"/>
      <c r="V18" s="149">
        <v>3</v>
      </c>
      <c r="W18" s="182"/>
      <c r="X18" s="149"/>
      <c r="Y18" s="149"/>
      <c r="Z18" s="174" t="str">
        <f t="shared" si="9"/>
        <v xml:space="preserve">  </v>
      </c>
      <c r="AA18" s="126" t="str">
        <f t="shared" si="0"/>
        <v/>
      </c>
      <c r="AB18" s="127"/>
      <c r="AC18" s="127"/>
      <c r="AD18" s="128" t="str">
        <f t="shared" si="10"/>
        <v/>
      </c>
      <c r="AE18" s="127"/>
      <c r="AF18" s="127"/>
      <c r="AG18" s="127"/>
      <c r="AH18" s="129" t="str">
        <f>IFERROR(IF(AND(AA17="Probabilidad",AA18="Probabilidad"),(AJ17-(+AJ17*AD18)),IF(AND(AA17="Impacto",AA18="Probabilidad"),(AJ16-(+AJ16*AD18)),IF(AA18="Impacto",AJ17,""))),"")</f>
        <v/>
      </c>
      <c r="AI18" s="130" t="str">
        <f t="shared" si="11"/>
        <v/>
      </c>
      <c r="AJ18" s="128" t="str">
        <f t="shared" si="12"/>
        <v/>
      </c>
      <c r="AK18" s="130" t="str">
        <f t="shared" si="13"/>
        <v/>
      </c>
      <c r="AL18" s="128" t="str">
        <f>IFERROR(IF(AND(AA17="Impacto",AA18="Impacto"),(AL17-(+AL17*AD18)),IF(AND(AA17="Probabilidad",AA18="Impacto"),(AL16-(+AL16*AD18)),IF(AA18="Probabilidad",AL17,""))),"")</f>
        <v/>
      </c>
      <c r="AM18" s="131" t="str">
        <f t="shared" si="14"/>
        <v/>
      </c>
      <c r="AN18" s="132"/>
      <c r="AO18" s="125"/>
      <c r="AP18" s="133"/>
      <c r="AQ18" s="133"/>
      <c r="AR18" s="134"/>
      <c r="AS18" s="372"/>
      <c r="AT18" s="372"/>
      <c r="AU18" s="372"/>
    </row>
    <row r="19" spans="1:47" s="302" customFormat="1" ht="15" customHeight="1" x14ac:dyDescent="0.2">
      <c r="A19" s="708"/>
      <c r="B19" s="400"/>
      <c r="C19" s="495"/>
      <c r="D19" s="495"/>
      <c r="E19" s="495"/>
      <c r="F19" s="495"/>
      <c r="G19" s="710"/>
      <c r="H19" s="403"/>
      <c r="I19" s="403"/>
      <c r="J19" s="403"/>
      <c r="K19" s="403"/>
      <c r="L19" s="403"/>
      <c r="M19" s="403"/>
      <c r="N19" s="416"/>
      <c r="O19" s="417"/>
      <c r="P19" s="405"/>
      <c r="Q19" s="406"/>
      <c r="R19" s="405">
        <f>IF(NOT(ISERROR(MATCH(Q19,_xlfn.ANCHORARRAY(G30),0))),P32&amp;"Por favor no seleccionar los criterios de impacto",Q19)</f>
        <v>0</v>
      </c>
      <c r="S19" s="417"/>
      <c r="T19" s="405"/>
      <c r="U19" s="418"/>
      <c r="V19" s="149">
        <v>4</v>
      </c>
      <c r="W19" s="182"/>
      <c r="X19" s="149"/>
      <c r="Y19" s="149"/>
      <c r="Z19" s="174" t="str">
        <f t="shared" si="9"/>
        <v xml:space="preserve">  </v>
      </c>
      <c r="AA19" s="126" t="str">
        <f t="shared" si="0"/>
        <v/>
      </c>
      <c r="AB19" s="127"/>
      <c r="AC19" s="127"/>
      <c r="AD19" s="128" t="str">
        <f t="shared" si="10"/>
        <v/>
      </c>
      <c r="AE19" s="127"/>
      <c r="AF19" s="127"/>
      <c r="AG19" s="127"/>
      <c r="AH19" s="129" t="str">
        <f t="shared" ref="AH19:AH21" si="15">IFERROR(IF(AND(AA18="Probabilidad",AA19="Probabilidad"),(AJ18-(+AJ18*AD19)),IF(AND(AA18="Impacto",AA19="Probabilidad"),(AJ17-(+AJ17*AD19)),IF(AA19="Impacto",AJ18,""))),"")</f>
        <v/>
      </c>
      <c r="AI19" s="130" t="str">
        <f t="shared" si="11"/>
        <v/>
      </c>
      <c r="AJ19" s="128" t="str">
        <f t="shared" si="12"/>
        <v/>
      </c>
      <c r="AK19" s="130" t="str">
        <f t="shared" si="13"/>
        <v/>
      </c>
      <c r="AL19" s="128" t="str">
        <f t="shared" ref="AL19:AL21" si="16">IFERROR(IF(AND(AA18="Impacto",AA19="Impacto"),(AL18-(+AL18*AD19)),IF(AND(AA18="Probabilidad",AA19="Impacto"),(AL17-(+AL17*AD19)),IF(AA19="Probabilidad",AL18,""))),"")</f>
        <v/>
      </c>
      <c r="AM19" s="131" t="str">
        <f>IFERROR(IF(OR(AND(AI19="Muy Baja",AK19="Leve"),AND(AI19="Muy Baja",AK19="Menor"),AND(AI19="Baja",AK19="Leve")),"Bajo",IF(OR(AND(AI19="Muy baja",AK19="Moderado"),AND(AI19="Baja",AK19="Menor"),AND(AI19="Baja",AK19="Moderado"),AND(AI19="Media",AK19="Leve"),AND(AI19="Media",AK19="Menor"),AND(AI19="Media",AK19="Moderado"),AND(AI19="Alta",AK19="Leve"),AND(AI19="Alta",AK19="Menor")),"Moderado",IF(OR(AND(AI19="Muy Baja",AK19="Mayor"),AND(AI19="Baja",AK19="Mayor"),AND(AI19="Media",AK19="Mayor"),AND(AI19="Alta",AK19="Moderado"),AND(AI19="Alta",AK19="Mayor"),AND(AI19="Muy Alta",AK19="Leve"),AND(AI19="Muy Alta",AK19="Menor"),AND(AI19="Muy Alta",AK19="Moderado"),AND(AI19="Muy Alta",AK19="Mayor")),"Alto",IF(OR(AND(AI19="Muy Baja",AK19="Catastrófico"),AND(AI19="Baja",AK19="Catastrófico"),AND(AI19="Media",AK19="Catastrófico"),AND(AI19="Alta",AK19="Catastrófico"),AND(AI19="Muy Alta",AK19="Catastrófico")),"Extremo","")))),"")</f>
        <v/>
      </c>
      <c r="AN19" s="132"/>
      <c r="AO19" s="125"/>
      <c r="AP19" s="133"/>
      <c r="AQ19" s="133"/>
      <c r="AR19" s="134"/>
      <c r="AS19" s="372"/>
      <c r="AT19" s="372"/>
      <c r="AU19" s="372"/>
    </row>
    <row r="20" spans="1:47" s="302" customFormat="1" ht="15" customHeight="1" x14ac:dyDescent="0.2">
      <c r="A20" s="708"/>
      <c r="B20" s="400"/>
      <c r="C20" s="495"/>
      <c r="D20" s="495"/>
      <c r="E20" s="495"/>
      <c r="F20" s="495"/>
      <c r="G20" s="710"/>
      <c r="H20" s="403"/>
      <c r="I20" s="403"/>
      <c r="J20" s="403"/>
      <c r="K20" s="403"/>
      <c r="L20" s="403"/>
      <c r="M20" s="403"/>
      <c r="N20" s="416"/>
      <c r="O20" s="417"/>
      <c r="P20" s="405"/>
      <c r="Q20" s="406"/>
      <c r="R20" s="405">
        <f>IF(NOT(ISERROR(MATCH(Q20,_xlfn.ANCHORARRAY(G31),0))),P33&amp;"Por favor no seleccionar los criterios de impacto",Q20)</f>
        <v>0</v>
      </c>
      <c r="S20" s="417"/>
      <c r="T20" s="405"/>
      <c r="U20" s="418"/>
      <c r="V20" s="149">
        <v>5</v>
      </c>
      <c r="W20" s="182"/>
      <c r="X20" s="149"/>
      <c r="Y20" s="149"/>
      <c r="Z20" s="174" t="str">
        <f t="shared" si="9"/>
        <v xml:space="preserve">  </v>
      </c>
      <c r="AA20" s="126" t="str">
        <f t="shared" si="0"/>
        <v/>
      </c>
      <c r="AB20" s="127"/>
      <c r="AC20" s="127"/>
      <c r="AD20" s="128" t="str">
        <f t="shared" si="10"/>
        <v/>
      </c>
      <c r="AE20" s="127"/>
      <c r="AF20" s="127"/>
      <c r="AG20" s="127"/>
      <c r="AH20" s="129" t="str">
        <f t="shared" si="15"/>
        <v/>
      </c>
      <c r="AI20" s="130" t="str">
        <f t="shared" si="11"/>
        <v/>
      </c>
      <c r="AJ20" s="128" t="str">
        <f t="shared" si="12"/>
        <v/>
      </c>
      <c r="AK20" s="130" t="str">
        <f t="shared" si="13"/>
        <v/>
      </c>
      <c r="AL20" s="128" t="str">
        <f t="shared" si="16"/>
        <v/>
      </c>
      <c r="AM20" s="131" t="str">
        <f t="shared" si="14"/>
        <v/>
      </c>
      <c r="AN20" s="132"/>
      <c r="AO20" s="125"/>
      <c r="AP20" s="133"/>
      <c r="AQ20" s="133"/>
      <c r="AR20" s="134"/>
      <c r="AS20" s="372"/>
      <c r="AT20" s="372"/>
      <c r="AU20" s="372"/>
    </row>
    <row r="21" spans="1:47" s="302" customFormat="1" ht="15" customHeight="1" x14ac:dyDescent="0.2">
      <c r="A21" s="708"/>
      <c r="B21" s="400"/>
      <c r="C21" s="495"/>
      <c r="D21" s="495"/>
      <c r="E21" s="495"/>
      <c r="F21" s="495"/>
      <c r="G21" s="710"/>
      <c r="H21" s="404"/>
      <c r="I21" s="404"/>
      <c r="J21" s="404"/>
      <c r="K21" s="404"/>
      <c r="L21" s="404"/>
      <c r="M21" s="404"/>
      <c r="N21" s="416"/>
      <c r="O21" s="417"/>
      <c r="P21" s="405"/>
      <c r="Q21" s="406"/>
      <c r="R21" s="405">
        <f>IF(NOT(ISERROR(MATCH(Q21,_xlfn.ANCHORARRAY(G32),0))),P34&amp;"Por favor no seleccionar los criterios de impacto",Q21)</f>
        <v>0</v>
      </c>
      <c r="S21" s="417"/>
      <c r="T21" s="405"/>
      <c r="U21" s="418"/>
      <c r="V21" s="149">
        <v>6</v>
      </c>
      <c r="W21" s="182"/>
      <c r="X21" s="149"/>
      <c r="Y21" s="149"/>
      <c r="Z21" s="174" t="str">
        <f t="shared" si="9"/>
        <v xml:space="preserve">  </v>
      </c>
      <c r="AA21" s="126" t="str">
        <f t="shared" si="0"/>
        <v/>
      </c>
      <c r="AB21" s="127"/>
      <c r="AC21" s="127"/>
      <c r="AD21" s="128" t="str">
        <f t="shared" si="10"/>
        <v/>
      </c>
      <c r="AE21" s="127"/>
      <c r="AF21" s="127"/>
      <c r="AG21" s="127"/>
      <c r="AH21" s="129" t="str">
        <f t="shared" si="15"/>
        <v/>
      </c>
      <c r="AI21" s="130" t="str">
        <f t="shared" si="11"/>
        <v/>
      </c>
      <c r="AJ21" s="128" t="str">
        <f t="shared" si="12"/>
        <v/>
      </c>
      <c r="AK21" s="130" t="str">
        <f t="shared" si="13"/>
        <v/>
      </c>
      <c r="AL21" s="128" t="str">
        <f t="shared" si="16"/>
        <v/>
      </c>
      <c r="AM21" s="131" t="str">
        <f t="shared" si="14"/>
        <v/>
      </c>
      <c r="AN21" s="132"/>
      <c r="AO21" s="125"/>
      <c r="AP21" s="133"/>
      <c r="AQ21" s="133"/>
      <c r="AR21" s="134"/>
      <c r="AS21" s="372"/>
      <c r="AT21" s="372"/>
      <c r="AU21" s="372"/>
    </row>
    <row r="22" spans="1:47" s="302" customFormat="1" x14ac:dyDescent="0.2">
      <c r="A22" s="708">
        <v>3</v>
      </c>
      <c r="B22" s="697"/>
      <c r="C22" s="709"/>
      <c r="D22" s="709"/>
      <c r="E22" s="709"/>
      <c r="F22" s="709"/>
      <c r="G22" s="707" t="str">
        <f t="shared" ref="G22" si="17">+CONCATENATE(C22," ",D22," ",E22)</f>
        <v xml:space="preserve">  </v>
      </c>
      <c r="H22" s="703"/>
      <c r="I22" s="703"/>
      <c r="J22" s="703"/>
      <c r="K22" s="703"/>
      <c r="L22" s="703"/>
      <c r="M22" s="703"/>
      <c r="N22" s="702"/>
      <c r="O22" s="699" t="str">
        <f>IF(N22&lt;=0,"",IF(N22&lt;=2,"Muy Baja",IF(N22&lt;=24,"Baja",IF(N22&lt;=500,"Media",IF(N22&lt;=5000,"Alta","Muy Alta")))))</f>
        <v/>
      </c>
      <c r="P22" s="700" t="str">
        <f>IF(O22="","",IF(O22="Muy Baja",0.2,IF(O22="Baja",0.4,IF(O22="Media",0.6,IF(O22="Alta",0.8,IF(O22="Muy Alta",1,))))))</f>
        <v/>
      </c>
      <c r="Q22" s="706"/>
      <c r="R22" s="700">
        <f>IF(NOT(ISERROR(MATCH(Q22,'[3]Tabla Impacto'!$B$245:$B$247,0))),'[3]Tabla Impacto'!$F$224&amp;"Por favor no seleccionar los criterios de impacto(Afectación Económica o presupuestal y Pérdida Reputacional)",Q22)</f>
        <v>0</v>
      </c>
      <c r="S22" s="699" t="str">
        <f>IF(OR(R22='[3]Tabla Impacto'!$C$12,R22='[3]Tabla Impacto'!$D$12),"Leve",IF(OR(R22='[3]Tabla Impacto'!$C$13,R22='[3]Tabla Impacto'!$D$13),"Menor",IF(OR(R22='[3]Tabla Impacto'!$C$14,R22='[3]Tabla Impacto'!$D$14),"Moderado",IF(OR(R22='[3]Tabla Impacto'!$C$15,R22='[3]Tabla Impacto'!$D$15),"Mayor",IF(OR(R22='[3]Tabla Impacto'!$C$16,R22='[3]Tabla Impacto'!$D$16),"Catastrófico","")))))</f>
        <v/>
      </c>
      <c r="T22" s="700" t="str">
        <f>IF(S22="","",IF(S22="Leve",0.2,IF(S22="Menor",0.4,IF(S22="Moderado",0.6,IF(S22="Mayor",0.8,IF(S22="Catastrófico",1,))))))</f>
        <v/>
      </c>
      <c r="U22" s="701" t="str">
        <f>IF(OR(AND(O22="Muy Baja",S22="Leve"),AND(O22="Muy Baja",S22="Menor"),AND(O22="Baja",S22="Leve")),"Bajo",IF(OR(AND(O22="Muy baja",S22="Moderado"),AND(O22="Baja",S22="Menor"),AND(O22="Baja",S22="Moderado"),AND(O22="Media",S22="Leve"),AND(O22="Media",S22="Menor"),AND(O22="Media",S22="Moderado"),AND(O22="Alta",S22="Leve"),AND(O22="Alta",S22="Menor")),"Moderado",IF(OR(AND(O22="Muy Baja",S22="Mayor"),AND(O22="Baja",S22="Mayor"),AND(O22="Media",S22="Mayor"),AND(O22="Alta",S22="Moderado"),AND(O22="Alta",S22="Mayor"),AND(O22="Muy Alta",S22="Leve"),AND(O22="Muy Alta",S22="Menor"),AND(O22="Muy Alta",S22="Moderado"),AND(O22="Muy Alta",S22="Mayor")),"Alto",IF(OR(AND(O22="Muy Baja",S22="Catastrófico"),AND(O22="Baja",S22="Catastrófico"),AND(O22="Media",S22="Catastrófico"),AND(O22="Alta",S22="Catastrófico"),AND(O22="Muy Alta",S22="Catastrófico")),"Extremo",""))))</f>
        <v/>
      </c>
      <c r="V22" s="293">
        <v>1</v>
      </c>
      <c r="W22" s="293"/>
      <c r="X22" s="293"/>
      <c r="Y22" s="293"/>
      <c r="Z22" s="291" t="str">
        <f t="shared" si="1"/>
        <v xml:space="preserve">  </v>
      </c>
      <c r="AA22" s="294" t="str">
        <f>IF(OR(AB22="Preventivo",AB22="Detectivo"),"Probabilidad",IF(AB22="Correctivo","Impacto",""))</f>
        <v/>
      </c>
      <c r="AB22" s="295"/>
      <c r="AC22" s="295"/>
      <c r="AD22" s="296" t="str">
        <f>IF(AND(AB22="Preventivo",AC22="Automático"),"50%",IF(AND(AB22="Preventivo",AC22="Manual"),"40%",IF(AND(AB22="Detectivo",AC22="Automático"),"40%",IF(AND(AB22="Detectivo",AC22="Manual"),"30%",IF(AND(AB22="Correctivo",AC22="Automático"),"35%",IF(AND(AB22="Correctivo",AC22="Manual"),"25%",""))))))</f>
        <v/>
      </c>
      <c r="AE22" s="295"/>
      <c r="AF22" s="295"/>
      <c r="AG22" s="295"/>
      <c r="AH22" s="297" t="str">
        <f>IFERROR(IF(AA22="Probabilidad",(P22-(+P22*AD22)),IF(AA22="Impacto",P22,"")),"")</f>
        <v/>
      </c>
      <c r="AI22" s="298" t="str">
        <f>IFERROR(IF(AH22="","",IF(AH22&lt;=0.2,"Muy Baja",IF(AH22&lt;=0.4,"Baja",IF(AH22&lt;=0.6,"Media",IF(AH22&lt;=0.8,"Alta","Muy Alta"))))),"")</f>
        <v/>
      </c>
      <c r="AJ22" s="296" t="str">
        <f>+AH22</f>
        <v/>
      </c>
      <c r="AK22" s="298" t="str">
        <f>IFERROR(IF(AL22="","",IF(AL22&lt;=0.2,"Leve",IF(AL22&lt;=0.4,"Menor",IF(AL22&lt;=0.6,"Moderado",IF(AL22&lt;=0.8,"Mayor","Catastrófico"))))),"")</f>
        <v/>
      </c>
      <c r="AL22" s="296" t="str">
        <f t="shared" ref="AL22" si="18">IFERROR(IF(AA22="Impacto",(T22-(+T22*AD22)),IF(AA22="Probabilidad",T22,"")),"")</f>
        <v/>
      </c>
      <c r="AM22" s="299" t="str">
        <f>IFERROR(IF(OR(AND(AI22="Muy Baja",AK22="Leve"),AND(AI22="Muy Baja",AK22="Menor"),AND(AI22="Baja",AK22="Leve")),"Bajo",IF(OR(AND(AI22="Muy baja",AK22="Moderado"),AND(AI22="Baja",AK22="Menor"),AND(AI22="Baja",AK22="Moderado"),AND(AI22="Media",AK22="Leve"),AND(AI22="Media",AK22="Menor"),AND(AI22="Media",AK22="Moderado"),AND(AI22="Alta",AK22="Leve"),AND(AI22="Alta",AK22="Menor")),"Moderado",IF(OR(AND(AI22="Muy Baja",AK22="Mayor"),AND(AI22="Baja",AK22="Mayor"),AND(AI22="Media",AK22="Mayor"),AND(AI22="Alta",AK22="Moderado"),AND(AI22="Alta",AK22="Mayor"),AND(AI22="Muy Alta",AK22="Leve"),AND(AI22="Muy Alta",AK22="Menor"),AND(AI22="Muy Alta",AK22="Moderado"),AND(AI22="Muy Alta",AK22="Mayor")),"Alto",IF(OR(AND(AI22="Muy Baja",AK22="Catastrófico"),AND(AI22="Baja",AK22="Catastrófico"),AND(AI22="Media",AK22="Catastrófico"),AND(AI22="Alta",AK22="Catastrófico"),AND(AI22="Muy Alta",AK22="Catastrófico")),"Extremo","")))),"")</f>
        <v/>
      </c>
      <c r="AN22" s="300"/>
      <c r="AO22" s="291"/>
      <c r="AP22" s="292"/>
      <c r="AQ22" s="292"/>
      <c r="AR22" s="301"/>
      <c r="AS22" s="702"/>
      <c r="AT22" s="702"/>
      <c r="AU22" s="702"/>
    </row>
    <row r="23" spans="1:47" s="302" customFormat="1" x14ac:dyDescent="0.2">
      <c r="A23" s="708"/>
      <c r="B23" s="697"/>
      <c r="C23" s="709"/>
      <c r="D23" s="709"/>
      <c r="E23" s="709"/>
      <c r="F23" s="709"/>
      <c r="G23" s="707"/>
      <c r="H23" s="704"/>
      <c r="I23" s="704"/>
      <c r="J23" s="704"/>
      <c r="K23" s="704"/>
      <c r="L23" s="704"/>
      <c r="M23" s="704"/>
      <c r="N23" s="702"/>
      <c r="O23" s="699"/>
      <c r="P23" s="700"/>
      <c r="Q23" s="706"/>
      <c r="R23" s="700">
        <f>IF(NOT(ISERROR(MATCH(Q23,_xlfn.ANCHORARRAY(G34),0))),P36&amp;"Por favor no seleccionar los criterios de impacto",Q23)</f>
        <v>0</v>
      </c>
      <c r="S23" s="699"/>
      <c r="T23" s="700"/>
      <c r="U23" s="701"/>
      <c r="V23" s="293">
        <v>2</v>
      </c>
      <c r="W23" s="293"/>
      <c r="X23" s="293"/>
      <c r="Y23" s="293"/>
      <c r="Z23" s="291" t="str">
        <f t="shared" si="1"/>
        <v xml:space="preserve">  </v>
      </c>
      <c r="AA23" s="294" t="str">
        <f>IF(OR(AB23="Preventivo",AB23="Detectivo"),"Probabilidad",IF(AB23="Correctivo","Impacto",""))</f>
        <v/>
      </c>
      <c r="AB23" s="295"/>
      <c r="AC23" s="295"/>
      <c r="AD23" s="296" t="str">
        <f t="shared" ref="AD23:AD27" si="19">IF(AND(AB23="Preventivo",AC23="Automático"),"50%",IF(AND(AB23="Preventivo",AC23="Manual"),"40%",IF(AND(AB23="Detectivo",AC23="Automático"),"40%",IF(AND(AB23="Detectivo",AC23="Manual"),"30%",IF(AND(AB23="Correctivo",AC23="Automático"),"35%",IF(AND(AB23="Correctivo",AC23="Manual"),"25%",""))))))</f>
        <v/>
      </c>
      <c r="AE23" s="295"/>
      <c r="AF23" s="295"/>
      <c r="AG23" s="295"/>
      <c r="AH23" s="297" t="str">
        <f>IFERROR(IF(AND(AA22="Probabilidad",AA23="Probabilidad"),(AJ22-(+AJ22*AD23)),IF(AA23="Probabilidad",(P22-(+P22*AD23)),IF(AA23="Impacto",AJ22,""))),"")</f>
        <v/>
      </c>
      <c r="AI23" s="298" t="str">
        <f t="shared" si="3"/>
        <v/>
      </c>
      <c r="AJ23" s="296" t="str">
        <f t="shared" ref="AJ23:AJ27" si="20">+AH23</f>
        <v/>
      </c>
      <c r="AK23" s="298" t="str">
        <f t="shared" si="5"/>
        <v/>
      </c>
      <c r="AL23" s="296" t="str">
        <f t="shared" ref="AL23" si="21">IFERROR(IF(AND(AA22="Impacto",AA23="Impacto"),(AL22-(+AL22*AD23)),IF(AA23="Impacto",($T$10-(+$T$10*AD23)),IF(AA23="Probabilidad",AL22,""))),"")</f>
        <v/>
      </c>
      <c r="AM23" s="299" t="str">
        <f t="shared" ref="AM23:AM24" si="22">IFERROR(IF(OR(AND(AI23="Muy Baja",AK23="Leve"),AND(AI23="Muy Baja",AK23="Menor"),AND(AI23="Baja",AK23="Leve")),"Bajo",IF(OR(AND(AI23="Muy baja",AK23="Moderado"),AND(AI23="Baja",AK23="Menor"),AND(AI23="Baja",AK23="Moderado"),AND(AI23="Media",AK23="Leve"),AND(AI23="Media",AK23="Menor"),AND(AI23="Media",AK23="Moderado"),AND(AI23="Alta",AK23="Leve"),AND(AI23="Alta",AK23="Menor")),"Moderado",IF(OR(AND(AI23="Muy Baja",AK23="Mayor"),AND(AI23="Baja",AK23="Mayor"),AND(AI23="Media",AK23="Mayor"),AND(AI23="Alta",AK23="Moderado"),AND(AI23="Alta",AK23="Mayor"),AND(AI23="Muy Alta",AK23="Leve"),AND(AI23="Muy Alta",AK23="Menor"),AND(AI23="Muy Alta",AK23="Moderado"),AND(AI23="Muy Alta",AK23="Mayor")),"Alto",IF(OR(AND(AI23="Muy Baja",AK23="Catastrófico"),AND(AI23="Baja",AK23="Catastrófico"),AND(AI23="Media",AK23="Catastrófico"),AND(AI23="Alta",AK23="Catastrófico"),AND(AI23="Muy Alta",AK23="Catastrófico")),"Extremo","")))),"")</f>
        <v/>
      </c>
      <c r="AN23" s="300"/>
      <c r="AO23" s="291"/>
      <c r="AP23" s="292"/>
      <c r="AQ23" s="292"/>
      <c r="AR23" s="301"/>
      <c r="AS23" s="702"/>
      <c r="AT23" s="702"/>
      <c r="AU23" s="702"/>
    </row>
    <row r="24" spans="1:47" s="302" customFormat="1" x14ac:dyDescent="0.2">
      <c r="A24" s="708"/>
      <c r="B24" s="697"/>
      <c r="C24" s="709"/>
      <c r="D24" s="709"/>
      <c r="E24" s="709"/>
      <c r="F24" s="709"/>
      <c r="G24" s="707"/>
      <c r="H24" s="704"/>
      <c r="I24" s="704"/>
      <c r="J24" s="704"/>
      <c r="K24" s="704"/>
      <c r="L24" s="704"/>
      <c r="M24" s="704"/>
      <c r="N24" s="702"/>
      <c r="O24" s="699"/>
      <c r="P24" s="700"/>
      <c r="Q24" s="706"/>
      <c r="R24" s="700">
        <f>IF(NOT(ISERROR(MATCH(Q24,_xlfn.ANCHORARRAY(G35),0))),P37&amp;"Por favor no seleccionar los criterios de impacto",Q24)</f>
        <v>0</v>
      </c>
      <c r="S24" s="699"/>
      <c r="T24" s="700"/>
      <c r="U24" s="701"/>
      <c r="V24" s="293">
        <v>3</v>
      </c>
      <c r="W24" s="293"/>
      <c r="X24" s="293"/>
      <c r="Y24" s="293"/>
      <c r="Z24" s="291" t="str">
        <f t="shared" si="1"/>
        <v xml:space="preserve">  </v>
      </c>
      <c r="AA24" s="294" t="str">
        <f>IF(OR(AB24="Preventivo",AB24="Detectivo"),"Probabilidad",IF(AB24="Correctivo","Impacto",""))</f>
        <v/>
      </c>
      <c r="AB24" s="295"/>
      <c r="AC24" s="295"/>
      <c r="AD24" s="296" t="str">
        <f t="shared" si="19"/>
        <v/>
      </c>
      <c r="AE24" s="295"/>
      <c r="AF24" s="295"/>
      <c r="AG24" s="295"/>
      <c r="AH24" s="297" t="str">
        <f>IFERROR(IF(AND(AA23="Probabilidad",AA24="Probabilidad"),(AJ23-(+AJ23*AD24)),IF(AND(AA23="Impacto",AA24="Probabilidad"),(AJ22-(+AJ22*AD24)),IF(AA24="Impacto",AJ23,""))),"")</f>
        <v/>
      </c>
      <c r="AI24" s="298" t="str">
        <f t="shared" si="3"/>
        <v/>
      </c>
      <c r="AJ24" s="296" t="str">
        <f t="shared" si="20"/>
        <v/>
      </c>
      <c r="AK24" s="298" t="str">
        <f t="shared" si="5"/>
        <v/>
      </c>
      <c r="AL24" s="296" t="str">
        <f t="shared" ref="AL24" si="23">IFERROR(IF(AND(AA23="Impacto",AA24="Impacto"),(AL23-(+AL23*AD24)),IF(AND(AA23="Probabilidad",AA24="Impacto"),(AL22-(+AL22*AD24)),IF(AA24="Probabilidad",AL23,""))),"")</f>
        <v/>
      </c>
      <c r="AM24" s="299" t="str">
        <f t="shared" si="22"/>
        <v/>
      </c>
      <c r="AN24" s="300"/>
      <c r="AO24" s="291"/>
      <c r="AP24" s="292"/>
      <c r="AQ24" s="292"/>
      <c r="AR24" s="301"/>
      <c r="AS24" s="702"/>
      <c r="AT24" s="702"/>
      <c r="AU24" s="702"/>
    </row>
    <row r="25" spans="1:47" s="302" customFormat="1" x14ac:dyDescent="0.2">
      <c r="A25" s="708"/>
      <c r="B25" s="697"/>
      <c r="C25" s="709"/>
      <c r="D25" s="709"/>
      <c r="E25" s="709"/>
      <c r="F25" s="709"/>
      <c r="G25" s="707"/>
      <c r="H25" s="704"/>
      <c r="I25" s="704"/>
      <c r="J25" s="704"/>
      <c r="K25" s="704"/>
      <c r="L25" s="704"/>
      <c r="M25" s="704"/>
      <c r="N25" s="702"/>
      <c r="O25" s="699"/>
      <c r="P25" s="700"/>
      <c r="Q25" s="706"/>
      <c r="R25" s="700">
        <f>IF(NOT(ISERROR(MATCH(Q25,_xlfn.ANCHORARRAY(G36),0))),P38&amp;"Por favor no seleccionar los criterios de impacto",Q25)</f>
        <v>0</v>
      </c>
      <c r="S25" s="699"/>
      <c r="T25" s="700"/>
      <c r="U25" s="701"/>
      <c r="V25" s="293">
        <v>4</v>
      </c>
      <c r="W25" s="293"/>
      <c r="X25" s="293"/>
      <c r="Y25" s="293"/>
      <c r="Z25" s="291" t="str">
        <f t="shared" si="1"/>
        <v xml:space="preserve">  </v>
      </c>
      <c r="AA25" s="294" t="str">
        <f t="shared" ref="AA25:AA27" si="24">IF(OR(AB25="Preventivo",AB25="Detectivo"),"Probabilidad",IF(AB25="Correctivo","Impacto",""))</f>
        <v/>
      </c>
      <c r="AB25" s="295"/>
      <c r="AC25" s="295"/>
      <c r="AD25" s="296" t="str">
        <f t="shared" si="19"/>
        <v/>
      </c>
      <c r="AE25" s="295"/>
      <c r="AF25" s="295"/>
      <c r="AG25" s="295"/>
      <c r="AH25" s="297" t="str">
        <f t="shared" ref="AH25:AH27" si="25">IFERROR(IF(AND(AA24="Probabilidad",AA25="Probabilidad"),(AJ24-(+AJ24*AD25)),IF(AND(AA24="Impacto",AA25="Probabilidad"),(AJ23-(+AJ23*AD25)),IF(AA25="Impacto",AJ24,""))),"")</f>
        <v/>
      </c>
      <c r="AI25" s="298" t="str">
        <f t="shared" si="3"/>
        <v/>
      </c>
      <c r="AJ25" s="296" t="str">
        <f t="shared" si="20"/>
        <v/>
      </c>
      <c r="AK25" s="298" t="str">
        <f t="shared" si="5"/>
        <v/>
      </c>
      <c r="AL25" s="296" t="str">
        <f t="shared" ref="AL25:AL69" si="26">IFERROR(IF(AND(AA24="Impacto",AA25="Impacto"),(AL24-(+AL24*AD25)),IF(AND(AA24="Probabilidad",AA25="Impacto"),(AL23-(+AL23*AD25)),IF(AA25="Probabilidad",AL24,""))),"")</f>
        <v/>
      </c>
      <c r="AM25" s="299" t="str">
        <f>IFERROR(IF(OR(AND(AI25="Muy Baja",AK25="Leve"),AND(AI25="Muy Baja",AK25="Menor"),AND(AI25="Baja",AK25="Leve")),"Bajo",IF(OR(AND(AI25="Muy baja",AK25="Moderado"),AND(AI25="Baja",AK25="Menor"),AND(AI25="Baja",AK25="Moderado"),AND(AI25="Media",AK25="Leve"),AND(AI25="Media",AK25="Menor"),AND(AI25="Media",AK25="Moderado"),AND(AI25="Alta",AK25="Leve"),AND(AI25="Alta",AK25="Menor")),"Moderado",IF(OR(AND(AI25="Muy Baja",AK25="Mayor"),AND(AI25="Baja",AK25="Mayor"),AND(AI25="Media",AK25="Mayor"),AND(AI25="Alta",AK25="Moderado"),AND(AI25="Alta",AK25="Mayor"),AND(AI25="Muy Alta",AK25="Leve"),AND(AI25="Muy Alta",AK25="Menor"),AND(AI25="Muy Alta",AK25="Moderado"),AND(AI25="Muy Alta",AK25="Mayor")),"Alto",IF(OR(AND(AI25="Muy Baja",AK25="Catastrófico"),AND(AI25="Baja",AK25="Catastrófico"),AND(AI25="Media",AK25="Catastrófico"),AND(AI25="Alta",AK25="Catastrófico"),AND(AI25="Muy Alta",AK25="Catastrófico")),"Extremo","")))),"")</f>
        <v/>
      </c>
      <c r="AN25" s="300"/>
      <c r="AO25" s="291"/>
      <c r="AP25" s="292"/>
      <c r="AQ25" s="292"/>
      <c r="AR25" s="301"/>
      <c r="AS25" s="702"/>
      <c r="AT25" s="702"/>
      <c r="AU25" s="702"/>
    </row>
    <row r="26" spans="1:47" s="302" customFormat="1" x14ac:dyDescent="0.2">
      <c r="A26" s="708"/>
      <c r="B26" s="697"/>
      <c r="C26" s="709"/>
      <c r="D26" s="709"/>
      <c r="E26" s="709"/>
      <c r="F26" s="709"/>
      <c r="G26" s="707"/>
      <c r="H26" s="704"/>
      <c r="I26" s="704"/>
      <c r="J26" s="704"/>
      <c r="K26" s="704"/>
      <c r="L26" s="704"/>
      <c r="M26" s="704"/>
      <c r="N26" s="702"/>
      <c r="O26" s="699"/>
      <c r="P26" s="700"/>
      <c r="Q26" s="706"/>
      <c r="R26" s="700">
        <f>IF(NOT(ISERROR(MATCH(Q26,_xlfn.ANCHORARRAY(G37),0))),P39&amp;"Por favor no seleccionar los criterios de impacto",Q26)</f>
        <v>0</v>
      </c>
      <c r="S26" s="699"/>
      <c r="T26" s="700"/>
      <c r="U26" s="701"/>
      <c r="V26" s="293">
        <v>5</v>
      </c>
      <c r="W26" s="293"/>
      <c r="X26" s="293"/>
      <c r="Y26" s="293"/>
      <c r="Z26" s="291" t="str">
        <f t="shared" si="1"/>
        <v xml:space="preserve">  </v>
      </c>
      <c r="AA26" s="294" t="str">
        <f t="shared" si="24"/>
        <v/>
      </c>
      <c r="AB26" s="295"/>
      <c r="AC26" s="295"/>
      <c r="AD26" s="296" t="str">
        <f t="shared" si="19"/>
        <v/>
      </c>
      <c r="AE26" s="295"/>
      <c r="AF26" s="295"/>
      <c r="AG26" s="295"/>
      <c r="AH26" s="297" t="str">
        <f t="shared" si="25"/>
        <v/>
      </c>
      <c r="AI26" s="298" t="str">
        <f t="shared" si="3"/>
        <v/>
      </c>
      <c r="AJ26" s="296" t="str">
        <f t="shared" si="20"/>
        <v/>
      </c>
      <c r="AK26" s="298" t="str">
        <f t="shared" si="5"/>
        <v/>
      </c>
      <c r="AL26" s="296" t="str">
        <f t="shared" si="26"/>
        <v/>
      </c>
      <c r="AM26" s="299" t="str">
        <f t="shared" ref="AM26:AM27" si="27">IFERROR(IF(OR(AND(AI26="Muy Baja",AK26="Leve"),AND(AI26="Muy Baja",AK26="Menor"),AND(AI26="Baja",AK26="Leve")),"Bajo",IF(OR(AND(AI26="Muy baja",AK26="Moderado"),AND(AI26="Baja",AK26="Menor"),AND(AI26="Baja",AK26="Moderado"),AND(AI26="Media",AK26="Leve"),AND(AI26="Media",AK26="Menor"),AND(AI26="Media",AK26="Moderado"),AND(AI26="Alta",AK26="Leve"),AND(AI26="Alta",AK26="Menor")),"Moderado",IF(OR(AND(AI26="Muy Baja",AK26="Mayor"),AND(AI26="Baja",AK26="Mayor"),AND(AI26="Media",AK26="Mayor"),AND(AI26="Alta",AK26="Moderado"),AND(AI26="Alta",AK26="Mayor"),AND(AI26="Muy Alta",AK26="Leve"),AND(AI26="Muy Alta",AK26="Menor"),AND(AI26="Muy Alta",AK26="Moderado"),AND(AI26="Muy Alta",AK26="Mayor")),"Alto",IF(OR(AND(AI26="Muy Baja",AK26="Catastrófico"),AND(AI26="Baja",AK26="Catastrófico"),AND(AI26="Media",AK26="Catastrófico"),AND(AI26="Alta",AK26="Catastrófico"),AND(AI26="Muy Alta",AK26="Catastrófico")),"Extremo","")))),"")</f>
        <v/>
      </c>
      <c r="AN26" s="300"/>
      <c r="AO26" s="291"/>
      <c r="AP26" s="292"/>
      <c r="AQ26" s="292"/>
      <c r="AR26" s="301"/>
      <c r="AS26" s="702"/>
      <c r="AT26" s="702"/>
      <c r="AU26" s="702"/>
    </row>
    <row r="27" spans="1:47" s="302" customFormat="1" x14ac:dyDescent="0.2">
      <c r="A27" s="708"/>
      <c r="B27" s="697"/>
      <c r="C27" s="709"/>
      <c r="D27" s="709"/>
      <c r="E27" s="709"/>
      <c r="F27" s="709"/>
      <c r="G27" s="707"/>
      <c r="H27" s="705"/>
      <c r="I27" s="705"/>
      <c r="J27" s="705"/>
      <c r="K27" s="705"/>
      <c r="L27" s="705"/>
      <c r="M27" s="705"/>
      <c r="N27" s="702"/>
      <c r="O27" s="699"/>
      <c r="P27" s="700"/>
      <c r="Q27" s="706"/>
      <c r="R27" s="700">
        <f>IF(NOT(ISERROR(MATCH(Q27,_xlfn.ANCHORARRAY(G38),0))),P40&amp;"Por favor no seleccionar los criterios de impacto",Q27)</f>
        <v>0</v>
      </c>
      <c r="S27" s="699"/>
      <c r="T27" s="700"/>
      <c r="U27" s="701"/>
      <c r="V27" s="293">
        <v>6</v>
      </c>
      <c r="W27" s="293"/>
      <c r="X27" s="293"/>
      <c r="Y27" s="293"/>
      <c r="Z27" s="291" t="str">
        <f t="shared" si="1"/>
        <v xml:space="preserve">  </v>
      </c>
      <c r="AA27" s="294" t="str">
        <f t="shared" si="24"/>
        <v/>
      </c>
      <c r="AB27" s="295"/>
      <c r="AC27" s="295"/>
      <c r="AD27" s="296" t="str">
        <f t="shared" si="19"/>
        <v/>
      </c>
      <c r="AE27" s="295"/>
      <c r="AF27" s="295"/>
      <c r="AG27" s="295"/>
      <c r="AH27" s="297" t="str">
        <f t="shared" si="25"/>
        <v/>
      </c>
      <c r="AI27" s="298" t="str">
        <f t="shared" si="3"/>
        <v/>
      </c>
      <c r="AJ27" s="296" t="str">
        <f t="shared" si="20"/>
        <v/>
      </c>
      <c r="AK27" s="298" t="str">
        <f t="shared" si="5"/>
        <v/>
      </c>
      <c r="AL27" s="296" t="str">
        <f t="shared" si="26"/>
        <v/>
      </c>
      <c r="AM27" s="299" t="str">
        <f t="shared" si="27"/>
        <v/>
      </c>
      <c r="AN27" s="300"/>
      <c r="AO27" s="291"/>
      <c r="AP27" s="292"/>
      <c r="AQ27" s="292"/>
      <c r="AR27" s="301"/>
      <c r="AS27" s="702"/>
      <c r="AT27" s="702"/>
      <c r="AU27" s="702"/>
    </row>
    <row r="28" spans="1:47" hidden="1" x14ac:dyDescent="0.2">
      <c r="A28" s="398">
        <v>4</v>
      </c>
      <c r="B28" s="697"/>
      <c r="C28" s="400"/>
      <c r="D28" s="400"/>
      <c r="E28" s="400"/>
      <c r="F28" s="400"/>
      <c r="G28" s="401" t="str">
        <f t="shared" ref="G28" si="28">+CONCATENATE(C28," ",D28," ",E28)</f>
        <v xml:space="preserve">  </v>
      </c>
      <c r="H28" s="402"/>
      <c r="I28" s="402"/>
      <c r="J28" s="402"/>
      <c r="K28" s="402"/>
      <c r="L28" s="402"/>
      <c r="M28" s="402"/>
      <c r="N28" s="416"/>
      <c r="O28" s="417" t="str">
        <f>IF(N28&lt;=0,"",IF(N28&lt;=2,"Muy Baja",IF(N28&lt;=24,"Baja",IF(N28&lt;=500,"Media",IF(N28&lt;=5000,"Alta","Muy Alta")))))</f>
        <v/>
      </c>
      <c r="P28" s="405" t="str">
        <f>IF(O28="","",IF(O28="Muy Baja",0.2,IF(O28="Baja",0.4,IF(O28="Media",0.6,IF(O28="Alta",0.8,IF(O28="Muy Alta",1,))))))</f>
        <v/>
      </c>
      <c r="Q28" s="406"/>
      <c r="R28" s="405">
        <f>IF(NOT(ISERROR(MATCH(Q28,'[3]Tabla Impacto'!$B$245:$B$247,0))),'[3]Tabla Impacto'!$F$224&amp;"Por favor no seleccionar los criterios de impacto(Afectación Económica o presupuestal y Pérdida Reputacional)",Q28)</f>
        <v>0</v>
      </c>
      <c r="S28" s="417" t="str">
        <f>IF(OR(R28='[3]Tabla Impacto'!$C$12,R28='[3]Tabla Impacto'!$D$12),"Leve",IF(OR(R28='[3]Tabla Impacto'!$C$13,R28='[3]Tabla Impacto'!$D$13),"Menor",IF(OR(R28='[3]Tabla Impacto'!$C$14,R28='[3]Tabla Impacto'!$D$14),"Moderado",IF(OR(R28='[3]Tabla Impacto'!$C$15,R28='[3]Tabla Impacto'!$D$15),"Mayor",IF(OR(R28='[3]Tabla Impacto'!$C$16,R28='[3]Tabla Impacto'!$D$16),"Catastrófico","")))))</f>
        <v/>
      </c>
      <c r="T28" s="405" t="str">
        <f>IF(S28="","",IF(S28="Leve",0.2,IF(S28="Menor",0.4,IF(S28="Moderado",0.6,IF(S28="Mayor",0.8,IF(S28="Catastrófico",1,))))))</f>
        <v/>
      </c>
      <c r="U28" s="418" t="str">
        <f>IF(OR(AND(O28="Muy Baja",S28="Leve"),AND(O28="Muy Baja",S28="Menor"),AND(O28="Baja",S28="Leve")),"Bajo",IF(OR(AND(O28="Muy baja",S28="Moderado"),AND(O28="Baja",S28="Menor"),AND(O28="Baja",S28="Moderado"),AND(O28="Media",S28="Leve"),AND(O28="Media",S28="Menor"),AND(O28="Media",S28="Moderado"),AND(O28="Alta",S28="Leve"),AND(O28="Alta",S28="Menor")),"Moderado",IF(OR(AND(O28="Muy Baja",S28="Mayor"),AND(O28="Baja",S28="Mayor"),AND(O28="Media",S28="Mayor"),AND(O28="Alta",S28="Moderado"),AND(O28="Alta",S28="Mayor"),AND(O28="Muy Alta",S28="Leve"),AND(O28="Muy Alta",S28="Menor"),AND(O28="Muy Alta",S28="Moderado"),AND(O28="Muy Alta",S28="Mayor")),"Alto",IF(OR(AND(O28="Muy Baja",S28="Catastrófico"),AND(O28="Baja",S28="Catastrófico"),AND(O28="Media",S28="Catastrófico"),AND(O28="Alta",S28="Catastrófico"),AND(O28="Muy Alta",S28="Catastrófico")),"Extremo",""))))</f>
        <v/>
      </c>
      <c r="V28" s="149">
        <v>1</v>
      </c>
      <c r="W28" s="149"/>
      <c r="X28" s="149"/>
      <c r="Y28" s="149"/>
      <c r="Z28" s="174" t="str">
        <f t="shared" si="1"/>
        <v xml:space="preserve">  </v>
      </c>
      <c r="AA28" s="126" t="str">
        <f>IF(OR(AB28="Preventivo",AB28="Detectivo"),"Probabilidad",IF(AB28="Correctivo","Impacto",""))</f>
        <v/>
      </c>
      <c r="AB28" s="127"/>
      <c r="AC28" s="127"/>
      <c r="AD28" s="128" t="str">
        <f>IF(AND(AB28="Preventivo",AC28="Automático"),"50%",IF(AND(AB28="Preventivo",AC28="Manual"),"40%",IF(AND(AB28="Detectivo",AC28="Automático"),"40%",IF(AND(AB28="Detectivo",AC28="Manual"),"30%",IF(AND(AB28="Correctivo",AC28="Automático"),"35%",IF(AND(AB28="Correctivo",AC28="Manual"),"25%",""))))))</f>
        <v/>
      </c>
      <c r="AE28" s="127"/>
      <c r="AF28" s="127"/>
      <c r="AG28" s="127"/>
      <c r="AH28" s="129" t="str">
        <f>IFERROR(IF(AA28="Probabilidad",(P28-(+P28*AD28)),IF(AA28="Impacto",P28,"")),"")</f>
        <v/>
      </c>
      <c r="AI28" s="130" t="str">
        <f>IFERROR(IF(AH28="","",IF(AH28&lt;=0.2,"Muy Baja",IF(AH28&lt;=0.4,"Baja",IF(AH28&lt;=0.6,"Media",IF(AH28&lt;=0.8,"Alta","Muy Alta"))))),"")</f>
        <v/>
      </c>
      <c r="AJ28" s="128" t="str">
        <f>+AH28</f>
        <v/>
      </c>
      <c r="AK28" s="130" t="str">
        <f>IFERROR(IF(AL28="","",IF(AL28&lt;=0.2,"Leve",IF(AL28&lt;=0.4,"Menor",IF(AL28&lt;=0.6,"Moderado",IF(AL28&lt;=0.8,"Mayor","Catastrófico"))))),"")</f>
        <v/>
      </c>
      <c r="AL28" s="128" t="str">
        <f t="shared" ref="AL28" si="29">IFERROR(IF(AA28="Impacto",(T28-(+T28*AD28)),IF(AA28="Probabilidad",T28,"")),"")</f>
        <v/>
      </c>
      <c r="AM28" s="131" t="str">
        <f>IFERROR(IF(OR(AND(AI28="Muy Baja",AK28="Leve"),AND(AI28="Muy Baja",AK28="Menor"),AND(AI28="Baja",AK28="Leve")),"Bajo",IF(OR(AND(AI28="Muy baja",AK28="Moderado"),AND(AI28="Baja",AK28="Menor"),AND(AI28="Baja",AK28="Moderado"),AND(AI28="Media",AK28="Leve"),AND(AI28="Media",AK28="Menor"),AND(AI28="Media",AK28="Moderado"),AND(AI28="Alta",AK28="Leve"),AND(AI28="Alta",AK28="Menor")),"Moderado",IF(OR(AND(AI28="Muy Baja",AK28="Mayor"),AND(AI28="Baja",AK28="Mayor"),AND(AI28="Media",AK28="Mayor"),AND(AI28="Alta",AK28="Moderado"),AND(AI28="Alta",AK28="Mayor"),AND(AI28="Muy Alta",AK28="Leve"),AND(AI28="Muy Alta",AK28="Menor"),AND(AI28="Muy Alta",AK28="Moderado"),AND(AI28="Muy Alta",AK28="Mayor")),"Alto",IF(OR(AND(AI28="Muy Baja",AK28="Catastrófico"),AND(AI28="Baja",AK28="Catastrófico"),AND(AI28="Media",AK28="Catastrófico"),AND(AI28="Alta",AK28="Catastrófico"),AND(AI28="Muy Alta",AK28="Catastrófico")),"Extremo","")))),"")</f>
        <v/>
      </c>
      <c r="AN28" s="132"/>
      <c r="AO28" s="304"/>
      <c r="AP28" s="133"/>
      <c r="AQ28" s="133"/>
      <c r="AR28" s="134"/>
      <c r="AS28" s="416"/>
      <c r="AT28" s="416"/>
      <c r="AU28" s="416"/>
    </row>
    <row r="29" spans="1:47" hidden="1" x14ac:dyDescent="0.2">
      <c r="A29" s="398"/>
      <c r="B29" s="697"/>
      <c r="C29" s="400"/>
      <c r="D29" s="400"/>
      <c r="E29" s="400"/>
      <c r="F29" s="400"/>
      <c r="G29" s="401"/>
      <c r="H29" s="403"/>
      <c r="I29" s="403"/>
      <c r="J29" s="403"/>
      <c r="K29" s="403"/>
      <c r="L29" s="403"/>
      <c r="M29" s="403"/>
      <c r="N29" s="416"/>
      <c r="O29" s="417"/>
      <c r="P29" s="405"/>
      <c r="Q29" s="406"/>
      <c r="R29" s="405">
        <f>IF(NOT(ISERROR(MATCH(Q29,_xlfn.ANCHORARRAY(G40),0))),P42&amp;"Por favor no seleccionar los criterios de impacto",Q29)</f>
        <v>0</v>
      </c>
      <c r="S29" s="417"/>
      <c r="T29" s="405"/>
      <c r="U29" s="418"/>
      <c r="V29" s="149">
        <v>2</v>
      </c>
      <c r="W29" s="149"/>
      <c r="X29" s="149"/>
      <c r="Y29" s="149"/>
      <c r="Z29" s="174" t="str">
        <f t="shared" si="1"/>
        <v xml:space="preserve">  </v>
      </c>
      <c r="AA29" s="126" t="str">
        <f>IF(OR(AB29="Preventivo",AB29="Detectivo"),"Probabilidad",IF(AB29="Correctivo","Impacto",""))</f>
        <v/>
      </c>
      <c r="AB29" s="127"/>
      <c r="AC29" s="127"/>
      <c r="AD29" s="128" t="str">
        <f t="shared" ref="AD29:AD33" si="30">IF(AND(AB29="Preventivo",AC29="Automático"),"50%",IF(AND(AB29="Preventivo",AC29="Manual"),"40%",IF(AND(AB29="Detectivo",AC29="Automático"),"40%",IF(AND(AB29="Detectivo",AC29="Manual"),"30%",IF(AND(AB29="Correctivo",AC29="Automático"),"35%",IF(AND(AB29="Correctivo",AC29="Manual"),"25%",""))))))</f>
        <v/>
      </c>
      <c r="AE29" s="127"/>
      <c r="AF29" s="127"/>
      <c r="AG29" s="127"/>
      <c r="AH29" s="129" t="str">
        <f>IFERROR(IF(AND(AA28="Probabilidad",AA29="Probabilidad"),(AJ28-(+AJ28*AD29)),IF(AA29="Probabilidad",(P28-(+P28*AD29)),IF(AA29="Impacto",AJ28,""))),"")</f>
        <v/>
      </c>
      <c r="AI29" s="130" t="str">
        <f t="shared" si="3"/>
        <v/>
      </c>
      <c r="AJ29" s="128" t="str">
        <f t="shared" ref="AJ29:AJ33" si="31">+AH29</f>
        <v/>
      </c>
      <c r="AK29" s="130" t="str">
        <f t="shared" si="5"/>
        <v/>
      </c>
      <c r="AL29" s="128" t="str">
        <f t="shared" ref="AL29" si="32">IFERROR(IF(AND(AA28="Impacto",AA29="Impacto"),(AL28-(+AL28*AD29)),IF(AA29="Impacto",($T$10-(+$T$10*AD29)),IF(AA29="Probabilidad",AL28,""))),"")</f>
        <v/>
      </c>
      <c r="AM29" s="131" t="str">
        <f t="shared" ref="AM29:AM30" si="33">IFERROR(IF(OR(AND(AI29="Muy Baja",AK29="Leve"),AND(AI29="Muy Baja",AK29="Menor"),AND(AI29="Baja",AK29="Leve")),"Bajo",IF(OR(AND(AI29="Muy baja",AK29="Moderado"),AND(AI29="Baja",AK29="Menor"),AND(AI29="Baja",AK29="Moderado"),AND(AI29="Media",AK29="Leve"),AND(AI29="Media",AK29="Menor"),AND(AI29="Media",AK29="Moderado"),AND(AI29="Alta",AK29="Leve"),AND(AI29="Alta",AK29="Menor")),"Moderado",IF(OR(AND(AI29="Muy Baja",AK29="Mayor"),AND(AI29="Baja",AK29="Mayor"),AND(AI29="Media",AK29="Mayor"),AND(AI29="Alta",AK29="Moderado"),AND(AI29="Alta",AK29="Mayor"),AND(AI29="Muy Alta",AK29="Leve"),AND(AI29="Muy Alta",AK29="Menor"),AND(AI29="Muy Alta",AK29="Moderado"),AND(AI29="Muy Alta",AK29="Mayor")),"Alto",IF(OR(AND(AI29="Muy Baja",AK29="Catastrófico"),AND(AI29="Baja",AK29="Catastrófico"),AND(AI29="Media",AK29="Catastrófico"),AND(AI29="Alta",AK29="Catastrófico"),AND(AI29="Muy Alta",AK29="Catastrófico")),"Extremo","")))),"")</f>
        <v/>
      </c>
      <c r="AN29" s="132"/>
      <c r="AO29" s="304"/>
      <c r="AP29" s="133"/>
      <c r="AQ29" s="133"/>
      <c r="AR29" s="134"/>
      <c r="AS29" s="416"/>
      <c r="AT29" s="416"/>
      <c r="AU29" s="416"/>
    </row>
    <row r="30" spans="1:47" hidden="1" x14ac:dyDescent="0.2">
      <c r="A30" s="398"/>
      <c r="B30" s="697"/>
      <c r="C30" s="400"/>
      <c r="D30" s="400"/>
      <c r="E30" s="400"/>
      <c r="F30" s="400"/>
      <c r="G30" s="401"/>
      <c r="H30" s="403"/>
      <c r="I30" s="403"/>
      <c r="J30" s="403"/>
      <c r="K30" s="403"/>
      <c r="L30" s="403"/>
      <c r="M30" s="403"/>
      <c r="N30" s="416"/>
      <c r="O30" s="417"/>
      <c r="P30" s="405"/>
      <c r="Q30" s="406"/>
      <c r="R30" s="405">
        <f>IF(NOT(ISERROR(MATCH(Q30,_xlfn.ANCHORARRAY(G41),0))),P43&amp;"Por favor no seleccionar los criterios de impacto",Q30)</f>
        <v>0</v>
      </c>
      <c r="S30" s="417"/>
      <c r="T30" s="405"/>
      <c r="U30" s="418"/>
      <c r="V30" s="149">
        <v>3</v>
      </c>
      <c r="W30" s="149"/>
      <c r="X30" s="149"/>
      <c r="Y30" s="149"/>
      <c r="Z30" s="174" t="str">
        <f t="shared" si="1"/>
        <v xml:space="preserve">  </v>
      </c>
      <c r="AA30" s="126" t="str">
        <f>IF(OR(AB30="Preventivo",AB30="Detectivo"),"Probabilidad",IF(AB30="Correctivo","Impacto",""))</f>
        <v/>
      </c>
      <c r="AB30" s="127"/>
      <c r="AC30" s="127"/>
      <c r="AD30" s="128" t="str">
        <f t="shared" si="30"/>
        <v/>
      </c>
      <c r="AE30" s="127"/>
      <c r="AF30" s="127"/>
      <c r="AG30" s="127"/>
      <c r="AH30" s="129" t="str">
        <f>IFERROR(IF(AND(AA29="Probabilidad",AA30="Probabilidad"),(AJ29-(+AJ29*AD30)),IF(AND(AA29="Impacto",AA30="Probabilidad"),(AJ28-(+AJ28*AD30)),IF(AA30="Impacto",AJ29,""))),"")</f>
        <v/>
      </c>
      <c r="AI30" s="130" t="str">
        <f t="shared" si="3"/>
        <v/>
      </c>
      <c r="AJ30" s="128" t="str">
        <f t="shared" si="31"/>
        <v/>
      </c>
      <c r="AK30" s="130" t="str">
        <f t="shared" si="5"/>
        <v/>
      </c>
      <c r="AL30" s="128" t="str">
        <f t="shared" ref="AL30" si="34">IFERROR(IF(AND(AA29="Impacto",AA30="Impacto"),(AL29-(+AL29*AD30)),IF(AND(AA29="Probabilidad",AA30="Impacto"),(AL28-(+AL28*AD30)),IF(AA30="Probabilidad",AL29,""))),"")</f>
        <v/>
      </c>
      <c r="AM30" s="131" t="str">
        <f t="shared" si="33"/>
        <v/>
      </c>
      <c r="AN30" s="132"/>
      <c r="AO30" s="304"/>
      <c r="AP30" s="133"/>
      <c r="AQ30" s="133"/>
      <c r="AR30" s="134"/>
      <c r="AS30" s="416"/>
      <c r="AT30" s="416"/>
      <c r="AU30" s="416"/>
    </row>
    <row r="31" spans="1:47" hidden="1" x14ac:dyDescent="0.2">
      <c r="A31" s="398"/>
      <c r="B31" s="697"/>
      <c r="C31" s="400"/>
      <c r="D31" s="400"/>
      <c r="E31" s="400"/>
      <c r="F31" s="400"/>
      <c r="G31" s="401"/>
      <c r="H31" s="403"/>
      <c r="I31" s="403"/>
      <c r="J31" s="403"/>
      <c r="K31" s="403"/>
      <c r="L31" s="403"/>
      <c r="M31" s="403"/>
      <c r="N31" s="416"/>
      <c r="O31" s="417"/>
      <c r="P31" s="405"/>
      <c r="Q31" s="406"/>
      <c r="R31" s="405">
        <f>IF(NOT(ISERROR(MATCH(Q31,_xlfn.ANCHORARRAY(G42),0))),P44&amp;"Por favor no seleccionar los criterios de impacto",Q31)</f>
        <v>0</v>
      </c>
      <c r="S31" s="417"/>
      <c r="T31" s="405"/>
      <c r="U31" s="418"/>
      <c r="V31" s="149">
        <v>4</v>
      </c>
      <c r="W31" s="149"/>
      <c r="X31" s="149"/>
      <c r="Y31" s="149"/>
      <c r="Z31" s="174" t="str">
        <f t="shared" si="1"/>
        <v xml:space="preserve">  </v>
      </c>
      <c r="AA31" s="126" t="str">
        <f t="shared" ref="AA31:AA33" si="35">IF(OR(AB31="Preventivo",AB31="Detectivo"),"Probabilidad",IF(AB31="Correctivo","Impacto",""))</f>
        <v/>
      </c>
      <c r="AB31" s="127"/>
      <c r="AC31" s="127"/>
      <c r="AD31" s="128" t="str">
        <f t="shared" si="30"/>
        <v/>
      </c>
      <c r="AE31" s="127"/>
      <c r="AF31" s="127"/>
      <c r="AG31" s="127"/>
      <c r="AH31" s="129" t="str">
        <f t="shared" ref="AH31:AH33" si="36">IFERROR(IF(AND(AA30="Probabilidad",AA31="Probabilidad"),(AJ30-(+AJ30*AD31)),IF(AND(AA30="Impacto",AA31="Probabilidad"),(AJ29-(+AJ29*AD31)),IF(AA31="Impacto",AJ30,""))),"")</f>
        <v/>
      </c>
      <c r="AI31" s="130" t="str">
        <f t="shared" si="3"/>
        <v/>
      </c>
      <c r="AJ31" s="128" t="str">
        <f t="shared" si="31"/>
        <v/>
      </c>
      <c r="AK31" s="130" t="str">
        <f t="shared" si="5"/>
        <v/>
      </c>
      <c r="AL31" s="128" t="str">
        <f t="shared" si="26"/>
        <v/>
      </c>
      <c r="AM31" s="131" t="str">
        <f>IFERROR(IF(OR(AND(AI31="Muy Baja",AK31="Leve"),AND(AI31="Muy Baja",AK31="Menor"),AND(AI31="Baja",AK31="Leve")),"Bajo",IF(OR(AND(AI31="Muy baja",AK31="Moderado"),AND(AI31="Baja",AK31="Menor"),AND(AI31="Baja",AK31="Moderado"),AND(AI31="Media",AK31="Leve"),AND(AI31="Media",AK31="Menor"),AND(AI31="Media",AK31="Moderado"),AND(AI31="Alta",AK31="Leve"),AND(AI31="Alta",AK31="Menor")),"Moderado",IF(OR(AND(AI31="Muy Baja",AK31="Mayor"),AND(AI31="Baja",AK31="Mayor"),AND(AI31="Media",AK31="Mayor"),AND(AI31="Alta",AK31="Moderado"),AND(AI31="Alta",AK31="Mayor"),AND(AI31="Muy Alta",AK31="Leve"),AND(AI31="Muy Alta",AK31="Menor"),AND(AI31="Muy Alta",AK31="Moderado"),AND(AI31="Muy Alta",AK31="Mayor")),"Alto",IF(OR(AND(AI31="Muy Baja",AK31="Catastrófico"),AND(AI31="Baja",AK31="Catastrófico"),AND(AI31="Media",AK31="Catastrófico"),AND(AI31="Alta",AK31="Catastrófico"),AND(AI31="Muy Alta",AK31="Catastrófico")),"Extremo","")))),"")</f>
        <v/>
      </c>
      <c r="AN31" s="132"/>
      <c r="AO31" s="304"/>
      <c r="AP31" s="133"/>
      <c r="AQ31" s="133"/>
      <c r="AR31" s="134"/>
      <c r="AS31" s="416"/>
      <c r="AT31" s="416"/>
      <c r="AU31" s="416"/>
    </row>
    <row r="32" spans="1:47" hidden="1" x14ac:dyDescent="0.2">
      <c r="A32" s="398"/>
      <c r="B32" s="697"/>
      <c r="C32" s="400"/>
      <c r="D32" s="400"/>
      <c r="E32" s="400"/>
      <c r="F32" s="400"/>
      <c r="G32" s="401"/>
      <c r="H32" s="403"/>
      <c r="I32" s="403"/>
      <c r="J32" s="403"/>
      <c r="K32" s="403"/>
      <c r="L32" s="403"/>
      <c r="M32" s="403"/>
      <c r="N32" s="416"/>
      <c r="O32" s="417"/>
      <c r="P32" s="405"/>
      <c r="Q32" s="406"/>
      <c r="R32" s="405">
        <f>IF(NOT(ISERROR(MATCH(Q32,_xlfn.ANCHORARRAY(G43),0))),P45&amp;"Por favor no seleccionar los criterios de impacto",Q32)</f>
        <v>0</v>
      </c>
      <c r="S32" s="417"/>
      <c r="T32" s="405"/>
      <c r="U32" s="418"/>
      <c r="V32" s="149">
        <v>5</v>
      </c>
      <c r="W32" s="149"/>
      <c r="X32" s="149"/>
      <c r="Y32" s="149"/>
      <c r="Z32" s="174" t="str">
        <f t="shared" si="1"/>
        <v xml:space="preserve">  </v>
      </c>
      <c r="AA32" s="126" t="str">
        <f t="shared" si="35"/>
        <v/>
      </c>
      <c r="AB32" s="127"/>
      <c r="AC32" s="127"/>
      <c r="AD32" s="128" t="str">
        <f t="shared" si="30"/>
        <v/>
      </c>
      <c r="AE32" s="127"/>
      <c r="AF32" s="127"/>
      <c r="AG32" s="127"/>
      <c r="AH32" s="129" t="str">
        <f t="shared" si="36"/>
        <v/>
      </c>
      <c r="AI32" s="130" t="str">
        <f>IFERROR(IF(AH32="","",IF(AH32&lt;=0.2,"Muy Baja",IF(AH32&lt;=0.4,"Baja",IF(AH32&lt;=0.6,"Media",IF(AH32&lt;=0.8,"Alta","Muy Alta"))))),"")</f>
        <v/>
      </c>
      <c r="AJ32" s="128" t="str">
        <f t="shared" si="31"/>
        <v/>
      </c>
      <c r="AK32" s="130" t="str">
        <f t="shared" si="5"/>
        <v/>
      </c>
      <c r="AL32" s="128" t="str">
        <f t="shared" si="26"/>
        <v/>
      </c>
      <c r="AM32" s="131" t="str">
        <f t="shared" ref="AM32:AM33" si="37">IFERROR(IF(OR(AND(AI32="Muy Baja",AK32="Leve"),AND(AI32="Muy Baja",AK32="Menor"),AND(AI32="Baja",AK32="Leve")),"Bajo",IF(OR(AND(AI32="Muy baja",AK32="Moderado"),AND(AI32="Baja",AK32="Menor"),AND(AI32="Baja",AK32="Moderado"),AND(AI32="Media",AK32="Leve"),AND(AI32="Media",AK32="Menor"),AND(AI32="Media",AK32="Moderado"),AND(AI32="Alta",AK32="Leve"),AND(AI32="Alta",AK32="Menor")),"Moderado",IF(OR(AND(AI32="Muy Baja",AK32="Mayor"),AND(AI32="Baja",AK32="Mayor"),AND(AI32="Media",AK32="Mayor"),AND(AI32="Alta",AK32="Moderado"),AND(AI32="Alta",AK32="Mayor"),AND(AI32="Muy Alta",AK32="Leve"),AND(AI32="Muy Alta",AK32="Menor"),AND(AI32="Muy Alta",AK32="Moderado"),AND(AI32="Muy Alta",AK32="Mayor")),"Alto",IF(OR(AND(AI32="Muy Baja",AK32="Catastrófico"),AND(AI32="Baja",AK32="Catastrófico"),AND(AI32="Media",AK32="Catastrófico"),AND(AI32="Alta",AK32="Catastrófico"),AND(AI32="Muy Alta",AK32="Catastrófico")),"Extremo","")))),"")</f>
        <v/>
      </c>
      <c r="AN32" s="132"/>
      <c r="AO32" s="304"/>
      <c r="AP32" s="133"/>
      <c r="AQ32" s="133"/>
      <c r="AR32" s="134"/>
      <c r="AS32" s="416"/>
      <c r="AT32" s="416"/>
      <c r="AU32" s="416"/>
    </row>
    <row r="33" spans="1:47" hidden="1" x14ac:dyDescent="0.2">
      <c r="A33" s="398"/>
      <c r="B33" s="697"/>
      <c r="C33" s="400"/>
      <c r="D33" s="400"/>
      <c r="E33" s="400"/>
      <c r="F33" s="400"/>
      <c r="G33" s="401"/>
      <c r="H33" s="404"/>
      <c r="I33" s="404"/>
      <c r="J33" s="404"/>
      <c r="K33" s="404"/>
      <c r="L33" s="404"/>
      <c r="M33" s="404"/>
      <c r="N33" s="416"/>
      <c r="O33" s="417"/>
      <c r="P33" s="405"/>
      <c r="Q33" s="406"/>
      <c r="R33" s="405">
        <f>IF(NOT(ISERROR(MATCH(Q33,_xlfn.ANCHORARRAY(G44),0))),P46&amp;"Por favor no seleccionar los criterios de impacto",Q33)</f>
        <v>0</v>
      </c>
      <c r="S33" s="417"/>
      <c r="T33" s="405"/>
      <c r="U33" s="418"/>
      <c r="V33" s="149">
        <v>6</v>
      </c>
      <c r="W33" s="149"/>
      <c r="X33" s="149"/>
      <c r="Y33" s="149"/>
      <c r="Z33" s="174" t="str">
        <f t="shared" si="1"/>
        <v xml:space="preserve">  </v>
      </c>
      <c r="AA33" s="126" t="str">
        <f t="shared" si="35"/>
        <v/>
      </c>
      <c r="AB33" s="127"/>
      <c r="AC33" s="127"/>
      <c r="AD33" s="128" t="str">
        <f t="shared" si="30"/>
        <v/>
      </c>
      <c r="AE33" s="127"/>
      <c r="AF33" s="127"/>
      <c r="AG33" s="127"/>
      <c r="AH33" s="129" t="str">
        <f t="shared" si="36"/>
        <v/>
      </c>
      <c r="AI33" s="130" t="str">
        <f t="shared" si="3"/>
        <v/>
      </c>
      <c r="AJ33" s="128" t="str">
        <f t="shared" si="31"/>
        <v/>
      </c>
      <c r="AK33" s="130" t="str">
        <f t="shared" si="5"/>
        <v/>
      </c>
      <c r="AL33" s="128" t="str">
        <f t="shared" si="26"/>
        <v/>
      </c>
      <c r="AM33" s="131" t="str">
        <f t="shared" si="37"/>
        <v/>
      </c>
      <c r="AN33" s="132"/>
      <c r="AO33" s="304"/>
      <c r="AP33" s="133"/>
      <c r="AQ33" s="133"/>
      <c r="AR33" s="134"/>
      <c r="AS33" s="416"/>
      <c r="AT33" s="416"/>
      <c r="AU33" s="416"/>
    </row>
    <row r="34" spans="1:47" hidden="1" x14ac:dyDescent="0.2">
      <c r="A34" s="398">
        <v>5</v>
      </c>
      <c r="B34" s="697"/>
      <c r="C34" s="400"/>
      <c r="D34" s="400"/>
      <c r="E34" s="400"/>
      <c r="F34" s="400"/>
      <c r="G34" s="401" t="str">
        <f t="shared" ref="G34" si="38">+CONCATENATE(C34," ",D34," ",E34)</f>
        <v xml:space="preserve">  </v>
      </c>
      <c r="H34" s="402"/>
      <c r="I34" s="402"/>
      <c r="J34" s="402"/>
      <c r="K34" s="402"/>
      <c r="L34" s="402"/>
      <c r="M34" s="402"/>
      <c r="N34" s="416"/>
      <c r="O34" s="417" t="str">
        <f>IF(N34&lt;=0,"",IF(N34&lt;=2,"Muy Baja",IF(N34&lt;=24,"Baja",IF(N34&lt;=500,"Media",IF(N34&lt;=5000,"Alta","Muy Alta")))))</f>
        <v/>
      </c>
      <c r="P34" s="405" t="str">
        <f>IF(O34="","",IF(O34="Muy Baja",0.2,IF(O34="Baja",0.4,IF(O34="Media",0.6,IF(O34="Alta",0.8,IF(O34="Muy Alta",1,))))))</f>
        <v/>
      </c>
      <c r="Q34" s="406"/>
      <c r="R34" s="405">
        <f>IF(NOT(ISERROR(MATCH(Q34,'[3]Tabla Impacto'!$B$245:$B$247,0))),'[3]Tabla Impacto'!$F$224&amp;"Por favor no seleccionar los criterios de impacto(Afectación Económica o presupuestal y Pérdida Reputacional)",Q34)</f>
        <v>0</v>
      </c>
      <c r="S34" s="417" t="str">
        <f>IF(OR(R34='[3]Tabla Impacto'!$C$12,R34='[3]Tabla Impacto'!$D$12),"Leve",IF(OR(R34='[3]Tabla Impacto'!$C$13,R34='[3]Tabla Impacto'!$D$13),"Menor",IF(OR(R34='[3]Tabla Impacto'!$C$14,R34='[3]Tabla Impacto'!$D$14),"Moderado",IF(OR(R34='[3]Tabla Impacto'!$C$15,R34='[3]Tabla Impacto'!$D$15),"Mayor",IF(OR(R34='[3]Tabla Impacto'!$C$16,R34='[3]Tabla Impacto'!$D$16),"Catastrófico","")))))</f>
        <v/>
      </c>
      <c r="T34" s="405" t="str">
        <f>IF(S34="","",IF(S34="Leve",0.2,IF(S34="Menor",0.4,IF(S34="Moderado",0.6,IF(S34="Mayor",0.8,IF(S34="Catastrófico",1,))))))</f>
        <v/>
      </c>
      <c r="U34" s="418" t="str">
        <f>IF(OR(AND(O34="Muy Baja",S34="Leve"),AND(O34="Muy Baja",S34="Menor"),AND(O34="Baja",S34="Leve")),"Bajo",IF(OR(AND(O34="Muy baja",S34="Moderado"),AND(O34="Baja",S34="Menor"),AND(O34="Baja",S34="Moderado"),AND(O34="Media",S34="Leve"),AND(O34="Media",S34="Menor"),AND(O34="Media",S34="Moderado"),AND(O34="Alta",S34="Leve"),AND(O34="Alta",S34="Menor")),"Moderado",IF(OR(AND(O34="Muy Baja",S34="Mayor"),AND(O34="Baja",S34="Mayor"),AND(O34="Media",S34="Mayor"),AND(O34="Alta",S34="Moderado"),AND(O34="Alta",S34="Mayor"),AND(O34="Muy Alta",S34="Leve"),AND(O34="Muy Alta",S34="Menor"),AND(O34="Muy Alta",S34="Moderado"),AND(O34="Muy Alta",S34="Mayor")),"Alto",IF(OR(AND(O34="Muy Baja",S34="Catastrófico"),AND(O34="Baja",S34="Catastrófico"),AND(O34="Media",S34="Catastrófico"),AND(O34="Alta",S34="Catastrófico"),AND(O34="Muy Alta",S34="Catastrófico")),"Extremo",""))))</f>
        <v/>
      </c>
      <c r="V34" s="149">
        <v>1</v>
      </c>
      <c r="W34" s="149"/>
      <c r="X34" s="149"/>
      <c r="Y34" s="149"/>
      <c r="Z34" s="174" t="str">
        <f t="shared" si="1"/>
        <v xml:space="preserve">  </v>
      </c>
      <c r="AA34" s="126" t="str">
        <f>IF(OR(AB34="Preventivo",AB34="Detectivo"),"Probabilidad",IF(AB34="Correctivo","Impacto",""))</f>
        <v/>
      </c>
      <c r="AB34" s="127"/>
      <c r="AC34" s="127"/>
      <c r="AD34" s="128" t="str">
        <f>IF(AND(AB34="Preventivo",AC34="Automático"),"50%",IF(AND(AB34="Preventivo",AC34="Manual"),"40%",IF(AND(AB34="Detectivo",AC34="Automático"),"40%",IF(AND(AB34="Detectivo",AC34="Manual"),"30%",IF(AND(AB34="Correctivo",AC34="Automático"),"35%",IF(AND(AB34="Correctivo",AC34="Manual"),"25%",""))))))</f>
        <v/>
      </c>
      <c r="AE34" s="127"/>
      <c r="AF34" s="127"/>
      <c r="AG34" s="127"/>
      <c r="AH34" s="129" t="str">
        <f>IFERROR(IF(AA34="Probabilidad",(P34-(+P34*AD34)),IF(AA34="Impacto",P34,"")),"")</f>
        <v/>
      </c>
      <c r="AI34" s="130" t="str">
        <f>IFERROR(IF(AH34="","",IF(AH34&lt;=0.2,"Muy Baja",IF(AH34&lt;=0.4,"Baja",IF(AH34&lt;=0.6,"Media",IF(AH34&lt;=0.8,"Alta","Muy Alta"))))),"")</f>
        <v/>
      </c>
      <c r="AJ34" s="128" t="str">
        <f>+AH34</f>
        <v/>
      </c>
      <c r="AK34" s="130" t="str">
        <f>IFERROR(IF(AL34="","",IF(AL34&lt;=0.2,"Leve",IF(AL34&lt;=0.4,"Menor",IF(AL34&lt;=0.6,"Moderado",IF(AL34&lt;=0.8,"Mayor","Catastrófico"))))),"")</f>
        <v/>
      </c>
      <c r="AL34" s="128" t="str">
        <f t="shared" ref="AL34" si="39">IFERROR(IF(AA34="Impacto",(T34-(+T34*AD34)),IF(AA34="Probabilidad",T34,"")),"")</f>
        <v/>
      </c>
      <c r="AM34" s="131" t="str">
        <f>IFERROR(IF(OR(AND(AI34="Muy Baja",AK34="Leve"),AND(AI34="Muy Baja",AK34="Menor"),AND(AI34="Baja",AK34="Leve")),"Bajo",IF(OR(AND(AI34="Muy baja",AK34="Moderado"),AND(AI34="Baja",AK34="Menor"),AND(AI34="Baja",AK34="Moderado"),AND(AI34="Media",AK34="Leve"),AND(AI34="Media",AK34="Menor"),AND(AI34="Media",AK34="Moderado"),AND(AI34="Alta",AK34="Leve"),AND(AI34="Alta",AK34="Menor")),"Moderado",IF(OR(AND(AI34="Muy Baja",AK34="Mayor"),AND(AI34="Baja",AK34="Mayor"),AND(AI34="Media",AK34="Mayor"),AND(AI34="Alta",AK34="Moderado"),AND(AI34="Alta",AK34="Mayor"),AND(AI34="Muy Alta",AK34="Leve"),AND(AI34="Muy Alta",AK34="Menor"),AND(AI34="Muy Alta",AK34="Moderado"),AND(AI34="Muy Alta",AK34="Mayor")),"Alto",IF(OR(AND(AI34="Muy Baja",AK34="Catastrófico"),AND(AI34="Baja",AK34="Catastrófico"),AND(AI34="Media",AK34="Catastrófico"),AND(AI34="Alta",AK34="Catastrófico"),AND(AI34="Muy Alta",AK34="Catastrófico")),"Extremo","")))),"")</f>
        <v/>
      </c>
      <c r="AN34" s="132"/>
      <c r="AO34" s="304"/>
      <c r="AP34" s="133"/>
      <c r="AQ34" s="133"/>
      <c r="AR34" s="134"/>
      <c r="AS34" s="416"/>
      <c r="AT34" s="416"/>
      <c r="AU34" s="416"/>
    </row>
    <row r="35" spans="1:47" hidden="1" x14ac:dyDescent="0.2">
      <c r="A35" s="398"/>
      <c r="B35" s="697"/>
      <c r="C35" s="400"/>
      <c r="D35" s="400"/>
      <c r="E35" s="400"/>
      <c r="F35" s="400"/>
      <c r="G35" s="401"/>
      <c r="H35" s="403"/>
      <c r="I35" s="403"/>
      <c r="J35" s="403"/>
      <c r="K35" s="403"/>
      <c r="L35" s="403"/>
      <c r="M35" s="403"/>
      <c r="N35" s="416"/>
      <c r="O35" s="417"/>
      <c r="P35" s="405"/>
      <c r="Q35" s="406"/>
      <c r="R35" s="405">
        <f>IF(NOT(ISERROR(MATCH(Q35,_xlfn.ANCHORARRAY(G46),0))),P48&amp;"Por favor no seleccionar los criterios de impacto",Q35)</f>
        <v>0</v>
      </c>
      <c r="S35" s="417"/>
      <c r="T35" s="405"/>
      <c r="U35" s="418"/>
      <c r="V35" s="149">
        <v>2</v>
      </c>
      <c r="W35" s="149"/>
      <c r="X35" s="149"/>
      <c r="Y35" s="149"/>
      <c r="Z35" s="174" t="str">
        <f t="shared" si="1"/>
        <v xml:space="preserve">  </v>
      </c>
      <c r="AA35" s="126" t="str">
        <f>IF(OR(AB35="Preventivo",AB35="Detectivo"),"Probabilidad",IF(AB35="Correctivo","Impacto",""))</f>
        <v/>
      </c>
      <c r="AB35" s="127"/>
      <c r="AC35" s="127"/>
      <c r="AD35" s="128" t="str">
        <f t="shared" ref="AD35:AD39" si="40">IF(AND(AB35="Preventivo",AC35="Automático"),"50%",IF(AND(AB35="Preventivo",AC35="Manual"),"40%",IF(AND(AB35="Detectivo",AC35="Automático"),"40%",IF(AND(AB35="Detectivo",AC35="Manual"),"30%",IF(AND(AB35="Correctivo",AC35="Automático"),"35%",IF(AND(AB35="Correctivo",AC35="Manual"),"25%",""))))))</f>
        <v/>
      </c>
      <c r="AE35" s="127"/>
      <c r="AF35" s="127"/>
      <c r="AG35" s="127"/>
      <c r="AH35" s="129" t="str">
        <f>IFERROR(IF(AND(AA34="Probabilidad",AA35="Probabilidad"),(AJ34-(+AJ34*AD35)),IF(AA35="Probabilidad",(P34-(+P34*AD35)),IF(AA35="Impacto",AJ34,""))),"")</f>
        <v/>
      </c>
      <c r="AI35" s="130" t="str">
        <f t="shared" si="3"/>
        <v/>
      </c>
      <c r="AJ35" s="128" t="str">
        <f t="shared" ref="AJ35:AJ39" si="41">+AH35</f>
        <v/>
      </c>
      <c r="AK35" s="130" t="str">
        <f t="shared" si="5"/>
        <v/>
      </c>
      <c r="AL35" s="128" t="str">
        <f t="shared" ref="AL35" si="42">IFERROR(IF(AND(AA34="Impacto",AA35="Impacto"),(AL34-(+AL34*AD35)),IF(AA35="Impacto",($T$10-(+$T$10*AD35)),IF(AA35="Probabilidad",AL34,""))),"")</f>
        <v/>
      </c>
      <c r="AM35" s="131" t="str">
        <f t="shared" ref="AM35:AM36" si="43">IFERROR(IF(OR(AND(AI35="Muy Baja",AK35="Leve"),AND(AI35="Muy Baja",AK35="Menor"),AND(AI35="Baja",AK35="Leve")),"Bajo",IF(OR(AND(AI35="Muy baja",AK35="Moderado"),AND(AI35="Baja",AK35="Menor"),AND(AI35="Baja",AK35="Moderado"),AND(AI35="Media",AK35="Leve"),AND(AI35="Media",AK35="Menor"),AND(AI35="Media",AK35="Moderado"),AND(AI35="Alta",AK35="Leve"),AND(AI35="Alta",AK35="Menor")),"Moderado",IF(OR(AND(AI35="Muy Baja",AK35="Mayor"),AND(AI35="Baja",AK35="Mayor"),AND(AI35="Media",AK35="Mayor"),AND(AI35="Alta",AK35="Moderado"),AND(AI35="Alta",AK35="Mayor"),AND(AI35="Muy Alta",AK35="Leve"),AND(AI35="Muy Alta",AK35="Menor"),AND(AI35="Muy Alta",AK35="Moderado"),AND(AI35="Muy Alta",AK35="Mayor")),"Alto",IF(OR(AND(AI35="Muy Baja",AK35="Catastrófico"),AND(AI35="Baja",AK35="Catastrófico"),AND(AI35="Media",AK35="Catastrófico"),AND(AI35="Alta",AK35="Catastrófico"),AND(AI35="Muy Alta",AK35="Catastrófico")),"Extremo","")))),"")</f>
        <v/>
      </c>
      <c r="AN35" s="132"/>
      <c r="AO35" s="304"/>
      <c r="AP35" s="133"/>
      <c r="AQ35" s="133"/>
      <c r="AR35" s="134"/>
      <c r="AS35" s="416"/>
      <c r="AT35" s="416"/>
      <c r="AU35" s="416"/>
    </row>
    <row r="36" spans="1:47" hidden="1" x14ac:dyDescent="0.2">
      <c r="A36" s="398"/>
      <c r="B36" s="697"/>
      <c r="C36" s="400"/>
      <c r="D36" s="400"/>
      <c r="E36" s="400"/>
      <c r="F36" s="400"/>
      <c r="G36" s="401"/>
      <c r="H36" s="403"/>
      <c r="I36" s="403"/>
      <c r="J36" s="403"/>
      <c r="K36" s="403"/>
      <c r="L36" s="403"/>
      <c r="M36" s="403"/>
      <c r="N36" s="416"/>
      <c r="O36" s="417"/>
      <c r="P36" s="405"/>
      <c r="Q36" s="406"/>
      <c r="R36" s="405">
        <f>IF(NOT(ISERROR(MATCH(Q36,_xlfn.ANCHORARRAY(G47),0))),P49&amp;"Por favor no seleccionar los criterios de impacto",Q36)</f>
        <v>0</v>
      </c>
      <c r="S36" s="417"/>
      <c r="T36" s="405"/>
      <c r="U36" s="418"/>
      <c r="V36" s="149">
        <v>3</v>
      </c>
      <c r="W36" s="149"/>
      <c r="X36" s="149"/>
      <c r="Y36" s="149"/>
      <c r="Z36" s="174" t="str">
        <f t="shared" si="1"/>
        <v xml:space="preserve">  </v>
      </c>
      <c r="AA36" s="126" t="str">
        <f>IF(OR(AB36="Preventivo",AB36="Detectivo"),"Probabilidad",IF(AB36="Correctivo","Impacto",""))</f>
        <v/>
      </c>
      <c r="AB36" s="127"/>
      <c r="AC36" s="127"/>
      <c r="AD36" s="128" t="str">
        <f t="shared" si="40"/>
        <v/>
      </c>
      <c r="AE36" s="127"/>
      <c r="AF36" s="127"/>
      <c r="AG36" s="127"/>
      <c r="AH36" s="129" t="str">
        <f>IFERROR(IF(AND(AA35="Probabilidad",AA36="Probabilidad"),(AJ35-(+AJ35*AD36)),IF(AND(AA35="Impacto",AA36="Probabilidad"),(AJ34-(+AJ34*AD36)),IF(AA36="Impacto",AJ35,""))),"")</f>
        <v/>
      </c>
      <c r="AI36" s="130" t="str">
        <f t="shared" si="3"/>
        <v/>
      </c>
      <c r="AJ36" s="128" t="str">
        <f t="shared" si="41"/>
        <v/>
      </c>
      <c r="AK36" s="130" t="str">
        <f t="shared" si="5"/>
        <v/>
      </c>
      <c r="AL36" s="128" t="str">
        <f t="shared" ref="AL36" si="44">IFERROR(IF(AND(AA35="Impacto",AA36="Impacto"),(AL35-(+AL35*AD36)),IF(AND(AA35="Probabilidad",AA36="Impacto"),(AL34-(+AL34*AD36)),IF(AA36="Probabilidad",AL35,""))),"")</f>
        <v/>
      </c>
      <c r="AM36" s="131" t="str">
        <f t="shared" si="43"/>
        <v/>
      </c>
      <c r="AN36" s="132"/>
      <c r="AO36" s="304"/>
      <c r="AP36" s="133"/>
      <c r="AQ36" s="133"/>
      <c r="AR36" s="134"/>
      <c r="AS36" s="416"/>
      <c r="AT36" s="416"/>
      <c r="AU36" s="416"/>
    </row>
    <row r="37" spans="1:47" hidden="1" x14ac:dyDescent="0.2">
      <c r="A37" s="398"/>
      <c r="B37" s="697"/>
      <c r="C37" s="400"/>
      <c r="D37" s="400"/>
      <c r="E37" s="400"/>
      <c r="F37" s="400"/>
      <c r="G37" s="401"/>
      <c r="H37" s="403"/>
      <c r="I37" s="403"/>
      <c r="J37" s="403"/>
      <c r="K37" s="403"/>
      <c r="L37" s="403"/>
      <c r="M37" s="403"/>
      <c r="N37" s="416"/>
      <c r="O37" s="417"/>
      <c r="P37" s="405"/>
      <c r="Q37" s="406"/>
      <c r="R37" s="405">
        <f>IF(NOT(ISERROR(MATCH(Q37,_xlfn.ANCHORARRAY(G48),0))),P50&amp;"Por favor no seleccionar los criterios de impacto",Q37)</f>
        <v>0</v>
      </c>
      <c r="S37" s="417"/>
      <c r="T37" s="405"/>
      <c r="U37" s="418"/>
      <c r="V37" s="149">
        <v>4</v>
      </c>
      <c r="W37" s="149"/>
      <c r="X37" s="149"/>
      <c r="Y37" s="149"/>
      <c r="Z37" s="174" t="str">
        <f t="shared" si="1"/>
        <v xml:space="preserve">  </v>
      </c>
      <c r="AA37" s="126" t="str">
        <f t="shared" ref="AA37:AA39" si="45">IF(OR(AB37="Preventivo",AB37="Detectivo"),"Probabilidad",IF(AB37="Correctivo","Impacto",""))</f>
        <v/>
      </c>
      <c r="AB37" s="127"/>
      <c r="AC37" s="127"/>
      <c r="AD37" s="128" t="str">
        <f t="shared" si="40"/>
        <v/>
      </c>
      <c r="AE37" s="127"/>
      <c r="AF37" s="127"/>
      <c r="AG37" s="127"/>
      <c r="AH37" s="129" t="str">
        <f t="shared" ref="AH37:AH39" si="46">IFERROR(IF(AND(AA36="Probabilidad",AA37="Probabilidad"),(AJ36-(+AJ36*AD37)),IF(AND(AA36="Impacto",AA37="Probabilidad"),(AJ35-(+AJ35*AD37)),IF(AA37="Impacto",AJ36,""))),"")</f>
        <v/>
      </c>
      <c r="AI37" s="130" t="str">
        <f t="shared" si="3"/>
        <v/>
      </c>
      <c r="AJ37" s="128" t="str">
        <f t="shared" si="41"/>
        <v/>
      </c>
      <c r="AK37" s="130" t="str">
        <f t="shared" si="5"/>
        <v/>
      </c>
      <c r="AL37" s="128" t="str">
        <f t="shared" si="26"/>
        <v/>
      </c>
      <c r="AM37" s="131" t="str">
        <f>IFERROR(IF(OR(AND(AI37="Muy Baja",AK37="Leve"),AND(AI37="Muy Baja",AK37="Menor"),AND(AI37="Baja",AK37="Leve")),"Bajo",IF(OR(AND(AI37="Muy baja",AK37="Moderado"),AND(AI37="Baja",AK37="Menor"),AND(AI37="Baja",AK37="Moderado"),AND(AI37="Media",AK37="Leve"),AND(AI37="Media",AK37="Menor"),AND(AI37="Media",AK37="Moderado"),AND(AI37="Alta",AK37="Leve"),AND(AI37="Alta",AK37="Menor")),"Moderado",IF(OR(AND(AI37="Muy Baja",AK37="Mayor"),AND(AI37="Baja",AK37="Mayor"),AND(AI37="Media",AK37="Mayor"),AND(AI37="Alta",AK37="Moderado"),AND(AI37="Alta",AK37="Mayor"),AND(AI37="Muy Alta",AK37="Leve"),AND(AI37="Muy Alta",AK37="Menor"),AND(AI37="Muy Alta",AK37="Moderado"),AND(AI37="Muy Alta",AK37="Mayor")),"Alto",IF(OR(AND(AI37="Muy Baja",AK37="Catastrófico"),AND(AI37="Baja",AK37="Catastrófico"),AND(AI37="Media",AK37="Catastrófico"),AND(AI37="Alta",AK37="Catastrófico"),AND(AI37="Muy Alta",AK37="Catastrófico")),"Extremo","")))),"")</f>
        <v/>
      </c>
      <c r="AN37" s="132"/>
      <c r="AO37" s="304"/>
      <c r="AP37" s="133"/>
      <c r="AQ37" s="133"/>
      <c r="AR37" s="134"/>
      <c r="AS37" s="416"/>
      <c r="AT37" s="416"/>
      <c r="AU37" s="416"/>
    </row>
    <row r="38" spans="1:47" hidden="1" x14ac:dyDescent="0.2">
      <c r="A38" s="398"/>
      <c r="B38" s="697"/>
      <c r="C38" s="400"/>
      <c r="D38" s="400"/>
      <c r="E38" s="400"/>
      <c r="F38" s="400"/>
      <c r="G38" s="401"/>
      <c r="H38" s="403"/>
      <c r="I38" s="403"/>
      <c r="J38" s="403"/>
      <c r="K38" s="403"/>
      <c r="L38" s="403"/>
      <c r="M38" s="403"/>
      <c r="N38" s="416"/>
      <c r="O38" s="417"/>
      <c r="P38" s="405"/>
      <c r="Q38" s="406"/>
      <c r="R38" s="405">
        <f>IF(NOT(ISERROR(MATCH(Q38,_xlfn.ANCHORARRAY(G49),0))),P51&amp;"Por favor no seleccionar los criterios de impacto",Q38)</f>
        <v>0</v>
      </c>
      <c r="S38" s="417"/>
      <c r="T38" s="405"/>
      <c r="U38" s="418"/>
      <c r="V38" s="149">
        <v>5</v>
      </c>
      <c r="W38" s="149"/>
      <c r="X38" s="149"/>
      <c r="Y38" s="149"/>
      <c r="Z38" s="174" t="str">
        <f t="shared" si="1"/>
        <v xml:space="preserve">  </v>
      </c>
      <c r="AA38" s="126" t="str">
        <f t="shared" si="45"/>
        <v/>
      </c>
      <c r="AB38" s="127"/>
      <c r="AC38" s="127"/>
      <c r="AD38" s="128" t="str">
        <f t="shared" si="40"/>
        <v/>
      </c>
      <c r="AE38" s="127"/>
      <c r="AF38" s="127"/>
      <c r="AG38" s="127"/>
      <c r="AH38" s="129" t="str">
        <f t="shared" si="46"/>
        <v/>
      </c>
      <c r="AI38" s="130" t="str">
        <f t="shared" si="3"/>
        <v/>
      </c>
      <c r="AJ38" s="128" t="str">
        <f t="shared" si="41"/>
        <v/>
      </c>
      <c r="AK38" s="130" t="str">
        <f t="shared" si="5"/>
        <v/>
      </c>
      <c r="AL38" s="128" t="str">
        <f t="shared" si="26"/>
        <v/>
      </c>
      <c r="AM38" s="131" t="str">
        <f t="shared" ref="AM38:AM39" si="47">IFERROR(IF(OR(AND(AI38="Muy Baja",AK38="Leve"),AND(AI38="Muy Baja",AK38="Menor"),AND(AI38="Baja",AK38="Leve")),"Bajo",IF(OR(AND(AI38="Muy baja",AK38="Moderado"),AND(AI38="Baja",AK38="Menor"),AND(AI38="Baja",AK38="Moderado"),AND(AI38="Media",AK38="Leve"),AND(AI38="Media",AK38="Menor"),AND(AI38="Media",AK38="Moderado"),AND(AI38="Alta",AK38="Leve"),AND(AI38="Alta",AK38="Menor")),"Moderado",IF(OR(AND(AI38="Muy Baja",AK38="Mayor"),AND(AI38="Baja",AK38="Mayor"),AND(AI38="Media",AK38="Mayor"),AND(AI38="Alta",AK38="Moderado"),AND(AI38="Alta",AK38="Mayor"),AND(AI38="Muy Alta",AK38="Leve"),AND(AI38="Muy Alta",AK38="Menor"),AND(AI38="Muy Alta",AK38="Moderado"),AND(AI38="Muy Alta",AK38="Mayor")),"Alto",IF(OR(AND(AI38="Muy Baja",AK38="Catastrófico"),AND(AI38="Baja",AK38="Catastrófico"),AND(AI38="Media",AK38="Catastrófico"),AND(AI38="Alta",AK38="Catastrófico"),AND(AI38="Muy Alta",AK38="Catastrófico")),"Extremo","")))),"")</f>
        <v/>
      </c>
      <c r="AN38" s="132"/>
      <c r="AO38" s="304"/>
      <c r="AP38" s="133"/>
      <c r="AQ38" s="133"/>
      <c r="AR38" s="134"/>
      <c r="AS38" s="416"/>
      <c r="AT38" s="416"/>
      <c r="AU38" s="416"/>
    </row>
    <row r="39" spans="1:47" hidden="1" x14ac:dyDescent="0.2">
      <c r="A39" s="398"/>
      <c r="B39" s="697"/>
      <c r="C39" s="400"/>
      <c r="D39" s="400"/>
      <c r="E39" s="400"/>
      <c r="F39" s="400"/>
      <c r="G39" s="401"/>
      <c r="H39" s="404"/>
      <c r="I39" s="404"/>
      <c r="J39" s="404"/>
      <c r="K39" s="404"/>
      <c r="L39" s="404"/>
      <c r="M39" s="404"/>
      <c r="N39" s="416"/>
      <c r="O39" s="417"/>
      <c r="P39" s="405"/>
      <c r="Q39" s="406"/>
      <c r="R39" s="405">
        <f>IF(NOT(ISERROR(MATCH(Q39,_xlfn.ANCHORARRAY(G50),0))),P52&amp;"Por favor no seleccionar los criterios de impacto",Q39)</f>
        <v>0</v>
      </c>
      <c r="S39" s="417"/>
      <c r="T39" s="405"/>
      <c r="U39" s="418"/>
      <c r="V39" s="149">
        <v>6</v>
      </c>
      <c r="W39" s="149"/>
      <c r="X39" s="149"/>
      <c r="Y39" s="149"/>
      <c r="Z39" s="174" t="str">
        <f t="shared" si="1"/>
        <v xml:space="preserve">  </v>
      </c>
      <c r="AA39" s="126" t="str">
        <f t="shared" si="45"/>
        <v/>
      </c>
      <c r="AB39" s="127"/>
      <c r="AC39" s="127"/>
      <c r="AD39" s="128" t="str">
        <f t="shared" si="40"/>
        <v/>
      </c>
      <c r="AE39" s="127"/>
      <c r="AF39" s="127"/>
      <c r="AG39" s="127"/>
      <c r="AH39" s="129" t="str">
        <f t="shared" si="46"/>
        <v/>
      </c>
      <c r="AI39" s="130" t="str">
        <f t="shared" si="3"/>
        <v/>
      </c>
      <c r="AJ39" s="128" t="str">
        <f t="shared" si="41"/>
        <v/>
      </c>
      <c r="AK39" s="130" t="str">
        <f t="shared" si="5"/>
        <v/>
      </c>
      <c r="AL39" s="128" t="str">
        <f t="shared" si="26"/>
        <v/>
      </c>
      <c r="AM39" s="131" t="str">
        <f t="shared" si="47"/>
        <v/>
      </c>
      <c r="AN39" s="132"/>
      <c r="AO39" s="304"/>
      <c r="AP39" s="133"/>
      <c r="AQ39" s="133"/>
      <c r="AR39" s="134"/>
      <c r="AS39" s="416"/>
      <c r="AT39" s="416"/>
      <c r="AU39" s="416"/>
    </row>
    <row r="40" spans="1:47" hidden="1" x14ac:dyDescent="0.2">
      <c r="A40" s="398">
        <v>6</v>
      </c>
      <c r="B40" s="697"/>
      <c r="C40" s="400"/>
      <c r="D40" s="400"/>
      <c r="E40" s="400"/>
      <c r="F40" s="400"/>
      <c r="G40" s="401" t="str">
        <f t="shared" ref="G40" si="48">+CONCATENATE(C40," ",D40," ",E40)</f>
        <v xml:space="preserve">  </v>
      </c>
      <c r="H40" s="402"/>
      <c r="I40" s="402"/>
      <c r="J40" s="402"/>
      <c r="K40" s="402"/>
      <c r="L40" s="402"/>
      <c r="M40" s="402"/>
      <c r="N40" s="416"/>
      <c r="O40" s="417" t="str">
        <f>IF(N40&lt;=0,"",IF(N40&lt;=2,"Muy Baja",IF(N40&lt;=24,"Baja",IF(N40&lt;=500,"Media",IF(N40&lt;=5000,"Alta","Muy Alta")))))</f>
        <v/>
      </c>
      <c r="P40" s="405" t="str">
        <f>IF(O40="","",IF(O40="Muy Baja",0.2,IF(O40="Baja",0.4,IF(O40="Media",0.6,IF(O40="Alta",0.8,IF(O40="Muy Alta",1,))))))</f>
        <v/>
      </c>
      <c r="Q40" s="406"/>
      <c r="R40" s="405">
        <f>IF(NOT(ISERROR(MATCH(Q40,'[3]Tabla Impacto'!$B$245:$B$247,0))),'[3]Tabla Impacto'!$F$224&amp;"Por favor no seleccionar los criterios de impacto(Afectación Económica o presupuestal y Pérdida Reputacional)",Q40)</f>
        <v>0</v>
      </c>
      <c r="S40" s="417" t="str">
        <f>IF(OR(R40='[3]Tabla Impacto'!$C$12,R40='[3]Tabla Impacto'!$D$12),"Leve",IF(OR(R40='[3]Tabla Impacto'!$C$13,R40='[3]Tabla Impacto'!$D$13),"Menor",IF(OR(R40='[3]Tabla Impacto'!$C$14,R40='[3]Tabla Impacto'!$D$14),"Moderado",IF(OR(R40='[3]Tabla Impacto'!$C$15,R40='[3]Tabla Impacto'!$D$15),"Mayor",IF(OR(R40='[3]Tabla Impacto'!$C$16,R40='[3]Tabla Impacto'!$D$16),"Catastrófico","")))))</f>
        <v/>
      </c>
      <c r="T40" s="405" t="str">
        <f>IF(S40="","",IF(S40="Leve",0.2,IF(S40="Menor",0.4,IF(S40="Moderado",0.6,IF(S40="Mayor",0.8,IF(S40="Catastrófico",1,))))))</f>
        <v/>
      </c>
      <c r="U40" s="418" t="str">
        <f>IF(OR(AND(O40="Muy Baja",S40="Leve"),AND(O40="Muy Baja",S40="Menor"),AND(O40="Baja",S40="Leve")),"Bajo",IF(OR(AND(O40="Muy baja",S40="Moderado"),AND(O40="Baja",S40="Menor"),AND(O40="Baja",S40="Moderado"),AND(O40="Media",S40="Leve"),AND(O40="Media",S40="Menor"),AND(O40="Media",S40="Moderado"),AND(O40="Alta",S40="Leve"),AND(O40="Alta",S40="Menor")),"Moderado",IF(OR(AND(O40="Muy Baja",S40="Mayor"),AND(O40="Baja",S40="Mayor"),AND(O40="Media",S40="Mayor"),AND(O40="Alta",S40="Moderado"),AND(O40="Alta",S40="Mayor"),AND(O40="Muy Alta",S40="Leve"),AND(O40="Muy Alta",S40="Menor"),AND(O40="Muy Alta",S40="Moderado"),AND(O40="Muy Alta",S40="Mayor")),"Alto",IF(OR(AND(O40="Muy Baja",S40="Catastrófico"),AND(O40="Baja",S40="Catastrófico"),AND(O40="Media",S40="Catastrófico"),AND(O40="Alta",S40="Catastrófico"),AND(O40="Muy Alta",S40="Catastrófico")),"Extremo",""))))</f>
        <v/>
      </c>
      <c r="V40" s="149">
        <v>1</v>
      </c>
      <c r="W40" s="149"/>
      <c r="X40" s="149"/>
      <c r="Y40" s="149"/>
      <c r="Z40" s="174" t="str">
        <f t="shared" si="1"/>
        <v xml:space="preserve">  </v>
      </c>
      <c r="AA40" s="126" t="str">
        <f>IF(OR(AB40="Preventivo",AB40="Detectivo"),"Probabilidad",IF(AB40="Correctivo","Impacto",""))</f>
        <v/>
      </c>
      <c r="AB40" s="127"/>
      <c r="AC40" s="127"/>
      <c r="AD40" s="128" t="str">
        <f>IF(AND(AB40="Preventivo",AC40="Automático"),"50%",IF(AND(AB40="Preventivo",AC40="Manual"),"40%",IF(AND(AB40="Detectivo",AC40="Automático"),"40%",IF(AND(AB40="Detectivo",AC40="Manual"),"30%",IF(AND(AB40="Correctivo",AC40="Automático"),"35%",IF(AND(AB40="Correctivo",AC40="Manual"),"25%",""))))))</f>
        <v/>
      </c>
      <c r="AE40" s="127"/>
      <c r="AF40" s="127"/>
      <c r="AG40" s="127"/>
      <c r="AH40" s="129" t="str">
        <f>IFERROR(IF(AA40="Probabilidad",(P40-(+P40*AD40)),IF(AA40="Impacto",P40,"")),"")</f>
        <v/>
      </c>
      <c r="AI40" s="130" t="str">
        <f>IFERROR(IF(AH40="","",IF(AH40&lt;=0.2,"Muy Baja",IF(AH40&lt;=0.4,"Baja",IF(AH40&lt;=0.6,"Media",IF(AH40&lt;=0.8,"Alta","Muy Alta"))))),"")</f>
        <v/>
      </c>
      <c r="AJ40" s="128" t="str">
        <f>+AH40</f>
        <v/>
      </c>
      <c r="AK40" s="130" t="str">
        <f>IFERROR(IF(AL40="","",IF(AL40&lt;=0.2,"Leve",IF(AL40&lt;=0.4,"Menor",IF(AL40&lt;=0.6,"Moderado",IF(AL40&lt;=0.8,"Mayor","Catastrófico"))))),"")</f>
        <v/>
      </c>
      <c r="AL40" s="128" t="str">
        <f t="shared" ref="AL40" si="49">IFERROR(IF(AA40="Impacto",(T40-(+T40*AD40)),IF(AA40="Probabilidad",T40,"")),"")</f>
        <v/>
      </c>
      <c r="AM40" s="131" t="str">
        <f>IFERROR(IF(OR(AND(AI40="Muy Baja",AK40="Leve"),AND(AI40="Muy Baja",AK40="Menor"),AND(AI40="Baja",AK40="Leve")),"Bajo",IF(OR(AND(AI40="Muy baja",AK40="Moderado"),AND(AI40="Baja",AK40="Menor"),AND(AI40="Baja",AK40="Moderado"),AND(AI40="Media",AK40="Leve"),AND(AI40="Media",AK40="Menor"),AND(AI40="Media",AK40="Moderado"),AND(AI40="Alta",AK40="Leve"),AND(AI40="Alta",AK40="Menor")),"Moderado",IF(OR(AND(AI40="Muy Baja",AK40="Mayor"),AND(AI40="Baja",AK40="Mayor"),AND(AI40="Media",AK40="Mayor"),AND(AI40="Alta",AK40="Moderado"),AND(AI40="Alta",AK40="Mayor"),AND(AI40="Muy Alta",AK40="Leve"),AND(AI40="Muy Alta",AK40="Menor"),AND(AI40="Muy Alta",AK40="Moderado"),AND(AI40="Muy Alta",AK40="Mayor")),"Alto",IF(OR(AND(AI40="Muy Baja",AK40="Catastrófico"),AND(AI40="Baja",AK40="Catastrófico"),AND(AI40="Media",AK40="Catastrófico"),AND(AI40="Alta",AK40="Catastrófico"),AND(AI40="Muy Alta",AK40="Catastrófico")),"Extremo","")))),"")</f>
        <v/>
      </c>
      <c r="AN40" s="127"/>
      <c r="AO40" s="304"/>
      <c r="AP40" s="133"/>
      <c r="AQ40" s="133"/>
      <c r="AR40" s="134"/>
      <c r="AS40" s="416"/>
      <c r="AT40" s="416"/>
      <c r="AU40" s="416"/>
    </row>
    <row r="41" spans="1:47" hidden="1" x14ac:dyDescent="0.2">
      <c r="A41" s="398"/>
      <c r="B41" s="697"/>
      <c r="C41" s="400"/>
      <c r="D41" s="400"/>
      <c r="E41" s="400"/>
      <c r="F41" s="400"/>
      <c r="G41" s="401"/>
      <c r="H41" s="403"/>
      <c r="I41" s="403"/>
      <c r="J41" s="403"/>
      <c r="K41" s="403"/>
      <c r="L41" s="403"/>
      <c r="M41" s="403"/>
      <c r="N41" s="416"/>
      <c r="O41" s="417"/>
      <c r="P41" s="405"/>
      <c r="Q41" s="406"/>
      <c r="R41" s="405">
        <f>IF(NOT(ISERROR(MATCH(Q41,_xlfn.ANCHORARRAY(G52),0))),P54&amp;"Por favor no seleccionar los criterios de impacto",Q41)</f>
        <v>0</v>
      </c>
      <c r="S41" s="417"/>
      <c r="T41" s="405"/>
      <c r="U41" s="418"/>
      <c r="V41" s="149">
        <v>2</v>
      </c>
      <c r="W41" s="149"/>
      <c r="X41" s="149"/>
      <c r="Y41" s="149"/>
      <c r="Z41" s="174" t="str">
        <f t="shared" si="1"/>
        <v xml:space="preserve">  </v>
      </c>
      <c r="AA41" s="126" t="str">
        <f>IF(OR(AB41="Preventivo",AB41="Detectivo"),"Probabilidad",IF(AB41="Correctivo","Impacto",""))</f>
        <v/>
      </c>
      <c r="AB41" s="127"/>
      <c r="AC41" s="127"/>
      <c r="AD41" s="128" t="str">
        <f t="shared" ref="AD41:AD45" si="50">IF(AND(AB41="Preventivo",AC41="Automático"),"50%",IF(AND(AB41="Preventivo",AC41="Manual"),"40%",IF(AND(AB41="Detectivo",AC41="Automático"),"40%",IF(AND(AB41="Detectivo",AC41="Manual"),"30%",IF(AND(AB41="Correctivo",AC41="Automático"),"35%",IF(AND(AB41="Correctivo",AC41="Manual"),"25%",""))))))</f>
        <v/>
      </c>
      <c r="AE41" s="127"/>
      <c r="AF41" s="127"/>
      <c r="AG41" s="127"/>
      <c r="AH41" s="129" t="str">
        <f>IFERROR(IF(AND(AA40="Probabilidad",AA41="Probabilidad"),(AJ40-(+AJ40*AD41)),IF(AA41="Probabilidad",(P40-(+P40*AD41)),IF(AA41="Impacto",AJ40,""))),"")</f>
        <v/>
      </c>
      <c r="AI41" s="130" t="str">
        <f t="shared" si="3"/>
        <v/>
      </c>
      <c r="AJ41" s="128" t="str">
        <f t="shared" ref="AJ41:AJ45" si="51">+AH41</f>
        <v/>
      </c>
      <c r="AK41" s="130" t="str">
        <f t="shared" si="5"/>
        <v/>
      </c>
      <c r="AL41" s="128" t="str">
        <f t="shared" ref="AL41" si="52">IFERROR(IF(AND(AA40="Impacto",AA41="Impacto"),(AL40-(+AL40*AD41)),IF(AA41="Impacto",($T$10-(+$T$10*AD41)),IF(AA41="Probabilidad",AL40,""))),"")</f>
        <v/>
      </c>
      <c r="AM41" s="131" t="str">
        <f t="shared" ref="AM41:AM42" si="53">IFERROR(IF(OR(AND(AI41="Muy Baja",AK41="Leve"),AND(AI41="Muy Baja",AK41="Menor"),AND(AI41="Baja",AK41="Leve")),"Bajo",IF(OR(AND(AI41="Muy baja",AK41="Moderado"),AND(AI41="Baja",AK41="Menor"),AND(AI41="Baja",AK41="Moderado"),AND(AI41="Media",AK41="Leve"),AND(AI41="Media",AK41="Menor"),AND(AI41="Media",AK41="Moderado"),AND(AI41="Alta",AK41="Leve"),AND(AI41="Alta",AK41="Menor")),"Moderado",IF(OR(AND(AI41="Muy Baja",AK41="Mayor"),AND(AI41="Baja",AK41="Mayor"),AND(AI41="Media",AK41="Mayor"),AND(AI41="Alta",AK41="Moderado"),AND(AI41="Alta",AK41="Mayor"),AND(AI41="Muy Alta",AK41="Leve"),AND(AI41="Muy Alta",AK41="Menor"),AND(AI41="Muy Alta",AK41="Moderado"),AND(AI41="Muy Alta",AK41="Mayor")),"Alto",IF(OR(AND(AI41="Muy Baja",AK41="Catastrófico"),AND(AI41="Baja",AK41="Catastrófico"),AND(AI41="Media",AK41="Catastrófico"),AND(AI41="Alta",AK41="Catastrófico"),AND(AI41="Muy Alta",AK41="Catastrófico")),"Extremo","")))),"")</f>
        <v/>
      </c>
      <c r="AN41" s="132"/>
      <c r="AO41" s="304"/>
      <c r="AP41" s="133"/>
      <c r="AQ41" s="133"/>
      <c r="AR41" s="134"/>
      <c r="AS41" s="416"/>
      <c r="AT41" s="416"/>
      <c r="AU41" s="416"/>
    </row>
    <row r="42" spans="1:47" hidden="1" x14ac:dyDescent="0.2">
      <c r="A42" s="398"/>
      <c r="B42" s="697"/>
      <c r="C42" s="400"/>
      <c r="D42" s="400"/>
      <c r="E42" s="400"/>
      <c r="F42" s="400"/>
      <c r="G42" s="401"/>
      <c r="H42" s="403"/>
      <c r="I42" s="403"/>
      <c r="J42" s="403"/>
      <c r="K42" s="403"/>
      <c r="L42" s="403"/>
      <c r="M42" s="403"/>
      <c r="N42" s="416"/>
      <c r="O42" s="417"/>
      <c r="P42" s="405"/>
      <c r="Q42" s="406"/>
      <c r="R42" s="405">
        <f>IF(NOT(ISERROR(MATCH(Q42,_xlfn.ANCHORARRAY(G53),0))),P55&amp;"Por favor no seleccionar los criterios de impacto",Q42)</f>
        <v>0</v>
      </c>
      <c r="S42" s="417"/>
      <c r="T42" s="405"/>
      <c r="U42" s="418"/>
      <c r="V42" s="149">
        <v>3</v>
      </c>
      <c r="W42" s="149"/>
      <c r="X42" s="149"/>
      <c r="Y42" s="149"/>
      <c r="Z42" s="174" t="str">
        <f t="shared" si="1"/>
        <v xml:space="preserve">  </v>
      </c>
      <c r="AA42" s="126" t="str">
        <f>IF(OR(AB42="Preventivo",AB42="Detectivo"),"Probabilidad",IF(AB42="Correctivo","Impacto",""))</f>
        <v/>
      </c>
      <c r="AB42" s="127"/>
      <c r="AC42" s="127"/>
      <c r="AD42" s="128" t="str">
        <f t="shared" si="50"/>
        <v/>
      </c>
      <c r="AE42" s="127"/>
      <c r="AF42" s="127"/>
      <c r="AG42" s="127"/>
      <c r="AH42" s="129" t="str">
        <f>IFERROR(IF(AND(AA41="Probabilidad",AA42="Probabilidad"),(AJ41-(+AJ41*AD42)),IF(AND(AA41="Impacto",AA42="Probabilidad"),(AJ40-(+AJ40*AD42)),IF(AA42="Impacto",AJ41,""))),"")</f>
        <v/>
      </c>
      <c r="AI42" s="130" t="str">
        <f t="shared" si="3"/>
        <v/>
      </c>
      <c r="AJ42" s="128" t="str">
        <f t="shared" si="51"/>
        <v/>
      </c>
      <c r="AK42" s="130" t="str">
        <f t="shared" si="5"/>
        <v/>
      </c>
      <c r="AL42" s="128" t="str">
        <f t="shared" ref="AL42" si="54">IFERROR(IF(AND(AA41="Impacto",AA42="Impacto"),(AL41-(+AL41*AD42)),IF(AND(AA41="Probabilidad",AA42="Impacto"),(AL40-(+AL40*AD42)),IF(AA42="Probabilidad",AL41,""))),"")</f>
        <v/>
      </c>
      <c r="AM42" s="131" t="str">
        <f t="shared" si="53"/>
        <v/>
      </c>
      <c r="AN42" s="132"/>
      <c r="AO42" s="125"/>
      <c r="AP42" s="133"/>
      <c r="AQ42" s="133"/>
      <c r="AR42" s="134"/>
      <c r="AS42" s="416"/>
      <c r="AT42" s="416"/>
      <c r="AU42" s="416"/>
    </row>
    <row r="43" spans="1:47" hidden="1" x14ac:dyDescent="0.2">
      <c r="A43" s="398"/>
      <c r="B43" s="697"/>
      <c r="C43" s="400"/>
      <c r="D43" s="400"/>
      <c r="E43" s="400"/>
      <c r="F43" s="400"/>
      <c r="G43" s="401"/>
      <c r="H43" s="403"/>
      <c r="I43" s="403"/>
      <c r="J43" s="403"/>
      <c r="K43" s="403"/>
      <c r="L43" s="403"/>
      <c r="M43" s="403"/>
      <c r="N43" s="416"/>
      <c r="O43" s="417"/>
      <c r="P43" s="405"/>
      <c r="Q43" s="406"/>
      <c r="R43" s="405">
        <f>IF(NOT(ISERROR(MATCH(Q43,_xlfn.ANCHORARRAY(G54),0))),P56&amp;"Por favor no seleccionar los criterios de impacto",Q43)</f>
        <v>0</v>
      </c>
      <c r="S43" s="417"/>
      <c r="T43" s="405"/>
      <c r="U43" s="418"/>
      <c r="V43" s="149">
        <v>4</v>
      </c>
      <c r="W43" s="149"/>
      <c r="X43" s="149"/>
      <c r="Y43" s="149"/>
      <c r="Z43" s="174" t="str">
        <f t="shared" si="1"/>
        <v xml:space="preserve">  </v>
      </c>
      <c r="AA43" s="126" t="str">
        <f t="shared" ref="AA43:AA45" si="55">IF(OR(AB43="Preventivo",AB43="Detectivo"),"Probabilidad",IF(AB43="Correctivo","Impacto",""))</f>
        <v/>
      </c>
      <c r="AB43" s="127"/>
      <c r="AC43" s="127"/>
      <c r="AD43" s="128" t="str">
        <f t="shared" si="50"/>
        <v/>
      </c>
      <c r="AE43" s="127"/>
      <c r="AF43" s="127"/>
      <c r="AG43" s="127"/>
      <c r="AH43" s="129" t="str">
        <f t="shared" ref="AH43:AH45" si="56">IFERROR(IF(AND(AA42="Probabilidad",AA43="Probabilidad"),(AJ42-(+AJ42*AD43)),IF(AND(AA42="Impacto",AA43="Probabilidad"),(AJ41-(+AJ41*AD43)),IF(AA43="Impacto",AJ42,""))),"")</f>
        <v/>
      </c>
      <c r="AI43" s="130" t="str">
        <f t="shared" si="3"/>
        <v/>
      </c>
      <c r="AJ43" s="128" t="str">
        <f t="shared" si="51"/>
        <v/>
      </c>
      <c r="AK43" s="130" t="str">
        <f t="shared" si="5"/>
        <v/>
      </c>
      <c r="AL43" s="128" t="str">
        <f t="shared" si="26"/>
        <v/>
      </c>
      <c r="AM43" s="131" t="str">
        <f>IFERROR(IF(OR(AND(AI43="Muy Baja",AK43="Leve"),AND(AI43="Muy Baja",AK43="Menor"),AND(AI43="Baja",AK43="Leve")),"Bajo",IF(OR(AND(AI43="Muy baja",AK43="Moderado"),AND(AI43="Baja",AK43="Menor"),AND(AI43="Baja",AK43="Moderado"),AND(AI43="Media",AK43="Leve"),AND(AI43="Media",AK43="Menor"),AND(AI43="Media",AK43="Moderado"),AND(AI43="Alta",AK43="Leve"),AND(AI43="Alta",AK43="Menor")),"Moderado",IF(OR(AND(AI43="Muy Baja",AK43="Mayor"),AND(AI43="Baja",AK43="Mayor"),AND(AI43="Media",AK43="Mayor"),AND(AI43="Alta",AK43="Moderado"),AND(AI43="Alta",AK43="Mayor"),AND(AI43="Muy Alta",AK43="Leve"),AND(AI43="Muy Alta",AK43="Menor"),AND(AI43="Muy Alta",AK43="Moderado"),AND(AI43="Muy Alta",AK43="Mayor")),"Alto",IF(OR(AND(AI43="Muy Baja",AK43="Catastrófico"),AND(AI43="Baja",AK43="Catastrófico"),AND(AI43="Media",AK43="Catastrófico"),AND(AI43="Alta",AK43="Catastrófico"),AND(AI43="Muy Alta",AK43="Catastrófico")),"Extremo","")))),"")</f>
        <v/>
      </c>
      <c r="AN43" s="132"/>
      <c r="AO43" s="125"/>
      <c r="AP43" s="133"/>
      <c r="AQ43" s="133"/>
      <c r="AR43" s="134"/>
      <c r="AS43" s="416"/>
      <c r="AT43" s="416"/>
      <c r="AU43" s="416"/>
    </row>
    <row r="44" spans="1:47" hidden="1" x14ac:dyDescent="0.2">
      <c r="A44" s="398"/>
      <c r="B44" s="697"/>
      <c r="C44" s="400"/>
      <c r="D44" s="400"/>
      <c r="E44" s="400"/>
      <c r="F44" s="400"/>
      <c r="G44" s="401"/>
      <c r="H44" s="403"/>
      <c r="I44" s="403"/>
      <c r="J44" s="403"/>
      <c r="K44" s="403"/>
      <c r="L44" s="403"/>
      <c r="M44" s="403"/>
      <c r="N44" s="416"/>
      <c r="O44" s="417"/>
      <c r="P44" s="405"/>
      <c r="Q44" s="406"/>
      <c r="R44" s="405">
        <f>IF(NOT(ISERROR(MATCH(Q44,_xlfn.ANCHORARRAY(G55),0))),P57&amp;"Por favor no seleccionar los criterios de impacto",Q44)</f>
        <v>0</v>
      </c>
      <c r="S44" s="417"/>
      <c r="T44" s="405"/>
      <c r="U44" s="418"/>
      <c r="V44" s="149">
        <v>5</v>
      </c>
      <c r="W44" s="149"/>
      <c r="X44" s="149"/>
      <c r="Y44" s="149"/>
      <c r="Z44" s="174" t="str">
        <f t="shared" si="1"/>
        <v xml:space="preserve">  </v>
      </c>
      <c r="AA44" s="126" t="str">
        <f t="shared" si="55"/>
        <v/>
      </c>
      <c r="AB44" s="127"/>
      <c r="AC44" s="127"/>
      <c r="AD44" s="128" t="str">
        <f t="shared" si="50"/>
        <v/>
      </c>
      <c r="AE44" s="127"/>
      <c r="AF44" s="127"/>
      <c r="AG44" s="127"/>
      <c r="AH44" s="129" t="str">
        <f t="shared" si="56"/>
        <v/>
      </c>
      <c r="AI44" s="130" t="str">
        <f t="shared" si="3"/>
        <v/>
      </c>
      <c r="AJ44" s="128" t="str">
        <f t="shared" si="51"/>
        <v/>
      </c>
      <c r="AK44" s="130" t="str">
        <f t="shared" si="5"/>
        <v/>
      </c>
      <c r="AL44" s="128" t="str">
        <f t="shared" si="26"/>
        <v/>
      </c>
      <c r="AM44" s="131" t="str">
        <f t="shared" ref="AM44" si="57">IFERROR(IF(OR(AND(AI44="Muy Baja",AK44="Leve"),AND(AI44="Muy Baja",AK44="Menor"),AND(AI44="Baja",AK44="Leve")),"Bajo",IF(OR(AND(AI44="Muy baja",AK44="Moderado"),AND(AI44="Baja",AK44="Menor"),AND(AI44="Baja",AK44="Moderado"),AND(AI44="Media",AK44="Leve"),AND(AI44="Media",AK44="Menor"),AND(AI44="Media",AK44="Moderado"),AND(AI44="Alta",AK44="Leve"),AND(AI44="Alta",AK44="Menor")),"Moderado",IF(OR(AND(AI44="Muy Baja",AK44="Mayor"),AND(AI44="Baja",AK44="Mayor"),AND(AI44="Media",AK44="Mayor"),AND(AI44="Alta",AK44="Moderado"),AND(AI44="Alta",AK44="Mayor"),AND(AI44="Muy Alta",AK44="Leve"),AND(AI44="Muy Alta",AK44="Menor"),AND(AI44="Muy Alta",AK44="Moderado"),AND(AI44="Muy Alta",AK44="Mayor")),"Alto",IF(OR(AND(AI44="Muy Baja",AK44="Catastrófico"),AND(AI44="Baja",AK44="Catastrófico"),AND(AI44="Media",AK44="Catastrófico"),AND(AI44="Alta",AK44="Catastrófico"),AND(AI44="Muy Alta",AK44="Catastrófico")),"Extremo","")))),"")</f>
        <v/>
      </c>
      <c r="AN44" s="132"/>
      <c r="AO44" s="125"/>
      <c r="AP44" s="133"/>
      <c r="AQ44" s="133"/>
      <c r="AR44" s="134"/>
      <c r="AS44" s="416"/>
      <c r="AT44" s="416"/>
      <c r="AU44" s="416"/>
    </row>
    <row r="45" spans="1:47" hidden="1" x14ac:dyDescent="0.2">
      <c r="A45" s="398"/>
      <c r="B45" s="697"/>
      <c r="C45" s="400"/>
      <c r="D45" s="400"/>
      <c r="E45" s="400"/>
      <c r="F45" s="400"/>
      <c r="G45" s="401"/>
      <c r="H45" s="404"/>
      <c r="I45" s="404"/>
      <c r="J45" s="404"/>
      <c r="K45" s="404"/>
      <c r="L45" s="404"/>
      <c r="M45" s="404"/>
      <c r="N45" s="416"/>
      <c r="O45" s="417"/>
      <c r="P45" s="405"/>
      <c r="Q45" s="406"/>
      <c r="R45" s="405">
        <f>IF(NOT(ISERROR(MATCH(Q45,_xlfn.ANCHORARRAY(G56),0))),P58&amp;"Por favor no seleccionar los criterios de impacto",Q45)</f>
        <v>0</v>
      </c>
      <c r="S45" s="417"/>
      <c r="T45" s="405"/>
      <c r="U45" s="418"/>
      <c r="V45" s="149">
        <v>6</v>
      </c>
      <c r="W45" s="149"/>
      <c r="X45" s="149"/>
      <c r="Y45" s="149"/>
      <c r="Z45" s="174" t="str">
        <f t="shared" si="1"/>
        <v xml:space="preserve">  </v>
      </c>
      <c r="AA45" s="126" t="str">
        <f t="shared" si="55"/>
        <v/>
      </c>
      <c r="AB45" s="127"/>
      <c r="AC45" s="127"/>
      <c r="AD45" s="128" t="str">
        <f t="shared" si="50"/>
        <v/>
      </c>
      <c r="AE45" s="127"/>
      <c r="AF45" s="127"/>
      <c r="AG45" s="127"/>
      <c r="AH45" s="129" t="str">
        <f t="shared" si="56"/>
        <v/>
      </c>
      <c r="AI45" s="130" t="str">
        <f t="shared" si="3"/>
        <v/>
      </c>
      <c r="AJ45" s="128" t="str">
        <f t="shared" si="51"/>
        <v/>
      </c>
      <c r="AK45" s="130" t="str">
        <f>IFERROR(IF(AL45="","",IF(AL45&lt;=0.2,"Leve",IF(AL45&lt;=0.4,"Menor",IF(AL45&lt;=0.6,"Moderado",IF(AL45&lt;=0.8,"Mayor","Catastrófico"))))),"")</f>
        <v/>
      </c>
      <c r="AL45" s="128" t="str">
        <f t="shared" si="26"/>
        <v/>
      </c>
      <c r="AM45" s="131" t="str">
        <f>IFERROR(IF(OR(AND(AI45="Muy Baja",AK45="Leve"),AND(AI45="Muy Baja",AK45="Menor"),AND(AI45="Baja",AK45="Leve")),"Bajo",IF(OR(AND(AI45="Muy baja",AK45="Moderado"),AND(AI45="Baja",AK45="Menor"),AND(AI45="Baja",AK45="Moderado"),AND(AI45="Media",AK45="Leve"),AND(AI45="Media",AK45="Menor"),AND(AI45="Media",AK45="Moderado"),AND(AI45="Alta",AK45="Leve"),AND(AI45="Alta",AK45="Menor")),"Moderado",IF(OR(AND(AI45="Muy Baja",AK45="Mayor"),AND(AI45="Baja",AK45="Mayor"),AND(AI45="Media",AK45="Mayor"),AND(AI45="Alta",AK45="Moderado"),AND(AI45="Alta",AK45="Mayor"),AND(AI45="Muy Alta",AK45="Leve"),AND(AI45="Muy Alta",AK45="Menor"),AND(AI45="Muy Alta",AK45="Moderado"),AND(AI45="Muy Alta",AK45="Mayor")),"Alto",IF(OR(AND(AI45="Muy Baja",AK45="Catastrófico"),AND(AI45="Baja",AK45="Catastrófico"),AND(AI45="Media",AK45="Catastrófico"),AND(AI45="Alta",AK45="Catastrófico"),AND(AI45="Muy Alta",AK45="Catastrófico")),"Extremo","")))),"")</f>
        <v/>
      </c>
      <c r="AN45" s="132"/>
      <c r="AO45" s="125"/>
      <c r="AP45" s="133"/>
      <c r="AQ45" s="133"/>
      <c r="AR45" s="134"/>
      <c r="AS45" s="416"/>
      <c r="AT45" s="416"/>
      <c r="AU45" s="416"/>
    </row>
    <row r="46" spans="1:47" hidden="1" x14ac:dyDescent="0.2">
      <c r="A46" s="398">
        <v>7</v>
      </c>
      <c r="B46" s="697"/>
      <c r="C46" s="400"/>
      <c r="D46" s="400"/>
      <c r="E46" s="698"/>
      <c r="F46" s="698"/>
      <c r="G46" s="401" t="str">
        <f t="shared" ref="G46" si="58">+CONCATENATE(C46," ",D46," ",E46)</f>
        <v xml:space="preserve">  </v>
      </c>
      <c r="H46" s="402"/>
      <c r="I46" s="402"/>
      <c r="J46" s="402"/>
      <c r="K46" s="402"/>
      <c r="L46" s="402"/>
      <c r="M46" s="402"/>
      <c r="N46" s="416"/>
      <c r="O46" s="417" t="str">
        <f>IF(N46&lt;=0,"",IF(N46&lt;=2,"Muy Baja",IF(N46&lt;=24,"Baja",IF(N46&lt;=500,"Media",IF(N46&lt;=5000,"Alta","Muy Alta")))))</f>
        <v/>
      </c>
      <c r="P46" s="405" t="str">
        <f>IF(O46="","",IF(O46="Muy Baja",0.2,IF(O46="Baja",0.4,IF(O46="Media",0.6,IF(O46="Alta",0.8,IF(O46="Muy Alta",1,))))))</f>
        <v/>
      </c>
      <c r="Q46" s="406"/>
      <c r="R46" s="405">
        <f>IF(NOT(ISERROR(MATCH(Q46,'[3]Tabla Impacto'!$B$245:$B$247,0))),'[3]Tabla Impacto'!$F$224&amp;"Por favor no seleccionar los criterios de impacto(Afectación Económica o presupuestal y Pérdida Reputacional)",Q46)</f>
        <v>0</v>
      </c>
      <c r="S46" s="417" t="str">
        <f>IF(OR(R46='[3]Tabla Impacto'!$C$12,R46='[3]Tabla Impacto'!$D$12),"Leve",IF(OR(R46='[3]Tabla Impacto'!$C$13,R46='[3]Tabla Impacto'!$D$13),"Menor",IF(OR(R46='[3]Tabla Impacto'!$C$14,R46='[3]Tabla Impacto'!$D$14),"Moderado",IF(OR(R46='[3]Tabla Impacto'!$C$15,R46='[3]Tabla Impacto'!$D$15),"Mayor",IF(OR(R46='[3]Tabla Impacto'!$C$16,R46='[3]Tabla Impacto'!$D$16),"Catastrófico","")))))</f>
        <v/>
      </c>
      <c r="T46" s="405" t="str">
        <f>IF(S46="","",IF(S46="Leve",0.2,IF(S46="Menor",0.4,IF(S46="Moderado",0.6,IF(S46="Mayor",0.8,IF(S46="Catastrófico",1,))))))</f>
        <v/>
      </c>
      <c r="U46" s="418" t="str">
        <f>IF(OR(AND(O46="Muy Baja",S46="Leve"),AND(O46="Muy Baja",S46="Menor"),AND(O46="Baja",S46="Leve")),"Bajo",IF(OR(AND(O46="Muy baja",S46="Moderado"),AND(O46="Baja",S46="Menor"),AND(O46="Baja",S46="Moderado"),AND(O46="Media",S46="Leve"),AND(O46="Media",S46="Menor"),AND(O46="Media",S46="Moderado"),AND(O46="Alta",S46="Leve"),AND(O46="Alta",S46="Menor")),"Moderado",IF(OR(AND(O46="Muy Baja",S46="Mayor"),AND(O46="Baja",S46="Mayor"),AND(O46="Media",S46="Mayor"),AND(O46="Alta",S46="Moderado"),AND(O46="Alta",S46="Mayor"),AND(O46="Muy Alta",S46="Leve"),AND(O46="Muy Alta",S46="Menor"),AND(O46="Muy Alta",S46="Moderado"),AND(O46="Muy Alta",S46="Mayor")),"Alto",IF(OR(AND(O46="Muy Baja",S46="Catastrófico"),AND(O46="Baja",S46="Catastrófico"),AND(O46="Media",S46="Catastrófico"),AND(O46="Alta",S46="Catastrófico"),AND(O46="Muy Alta",S46="Catastrófico")),"Extremo",""))))</f>
        <v/>
      </c>
      <c r="V46" s="149">
        <v>1</v>
      </c>
      <c r="W46" s="149"/>
      <c r="X46" s="149"/>
      <c r="Y46" s="149"/>
      <c r="Z46" s="174" t="str">
        <f t="shared" si="1"/>
        <v xml:space="preserve">  </v>
      </c>
      <c r="AA46" s="126" t="str">
        <f>IF(OR(AB46="Preventivo",AB46="Detectivo"),"Probabilidad",IF(AB46="Correctivo","Impacto",""))</f>
        <v/>
      </c>
      <c r="AB46" s="127"/>
      <c r="AC46" s="127"/>
      <c r="AD46" s="128" t="str">
        <f>IF(AND(AB46="Preventivo",AC46="Automático"),"50%",IF(AND(AB46="Preventivo",AC46="Manual"),"40%",IF(AND(AB46="Detectivo",AC46="Automático"),"40%",IF(AND(AB46="Detectivo",AC46="Manual"),"30%",IF(AND(AB46="Correctivo",AC46="Automático"),"35%",IF(AND(AB46="Correctivo",AC46="Manual"),"25%",""))))))</f>
        <v/>
      </c>
      <c r="AE46" s="127"/>
      <c r="AF46" s="127"/>
      <c r="AG46" s="127"/>
      <c r="AH46" s="129" t="str">
        <f>IFERROR(IF(AA46="Probabilidad",(P46-(+P46*AD46)),IF(AA46="Impacto",P46,"")),"")</f>
        <v/>
      </c>
      <c r="AI46" s="130" t="str">
        <f>IFERROR(IF(AH46="","",IF(AH46&lt;=0.2,"Muy Baja",IF(AH46&lt;=0.4,"Baja",IF(AH46&lt;=0.6,"Media",IF(AH46&lt;=0.8,"Alta","Muy Alta"))))),"")</f>
        <v/>
      </c>
      <c r="AJ46" s="128" t="str">
        <f>+AH46</f>
        <v/>
      </c>
      <c r="AK46" s="130" t="str">
        <f>IFERROR(IF(AL46="","",IF(AL46&lt;=0.2,"Leve",IF(AL46&lt;=0.4,"Menor",IF(AL46&lt;=0.6,"Moderado",IF(AL46&lt;=0.8,"Mayor","Catastrófico"))))),"")</f>
        <v/>
      </c>
      <c r="AL46" s="128" t="str">
        <f t="shared" ref="AL46" si="59">IFERROR(IF(AA46="Impacto",(T46-(+T46*AD46)),IF(AA46="Probabilidad",T46,"")),"")</f>
        <v/>
      </c>
      <c r="AM46" s="131" t="str">
        <f>IFERROR(IF(OR(AND(AI46="Muy Baja",AK46="Leve"),AND(AI46="Muy Baja",AK46="Menor"),AND(AI46="Baja",AK46="Leve")),"Bajo",IF(OR(AND(AI46="Muy baja",AK46="Moderado"),AND(AI46="Baja",AK46="Menor"),AND(AI46="Baja",AK46="Moderado"),AND(AI46="Media",AK46="Leve"),AND(AI46="Media",AK46="Menor"),AND(AI46="Media",AK46="Moderado"),AND(AI46="Alta",AK46="Leve"),AND(AI46="Alta",AK46="Menor")),"Moderado",IF(OR(AND(AI46="Muy Baja",AK46="Mayor"),AND(AI46="Baja",AK46="Mayor"),AND(AI46="Media",AK46="Mayor"),AND(AI46="Alta",AK46="Moderado"),AND(AI46="Alta",AK46="Mayor"),AND(AI46="Muy Alta",AK46="Leve"),AND(AI46="Muy Alta",AK46="Menor"),AND(AI46="Muy Alta",AK46="Moderado"),AND(AI46="Muy Alta",AK46="Mayor")),"Alto",IF(OR(AND(AI46="Muy Baja",AK46="Catastrófico"),AND(AI46="Baja",AK46="Catastrófico"),AND(AI46="Media",AK46="Catastrófico"),AND(AI46="Alta",AK46="Catastrófico"),AND(AI46="Muy Alta",AK46="Catastrófico")),"Extremo","")))),"")</f>
        <v/>
      </c>
      <c r="AN46" s="132"/>
      <c r="AO46" s="125"/>
      <c r="AP46" s="133"/>
      <c r="AQ46" s="133"/>
      <c r="AR46" s="134"/>
      <c r="AS46" s="416"/>
      <c r="AT46" s="416"/>
      <c r="AU46" s="416"/>
    </row>
    <row r="47" spans="1:47" hidden="1" x14ac:dyDescent="0.2">
      <c r="A47" s="398"/>
      <c r="B47" s="697"/>
      <c r="C47" s="400"/>
      <c r="D47" s="400"/>
      <c r="E47" s="698"/>
      <c r="F47" s="698"/>
      <c r="G47" s="401"/>
      <c r="H47" s="403"/>
      <c r="I47" s="403"/>
      <c r="J47" s="403"/>
      <c r="K47" s="403"/>
      <c r="L47" s="403"/>
      <c r="M47" s="403"/>
      <c r="N47" s="416"/>
      <c r="O47" s="417"/>
      <c r="P47" s="405"/>
      <c r="Q47" s="406"/>
      <c r="R47" s="405">
        <f>IF(NOT(ISERROR(MATCH(Q47,_xlfn.ANCHORARRAY(G58),0))),P60&amp;"Por favor no seleccionar los criterios de impacto",Q47)</f>
        <v>0</v>
      </c>
      <c r="S47" s="417"/>
      <c r="T47" s="405"/>
      <c r="U47" s="418"/>
      <c r="V47" s="149">
        <v>2</v>
      </c>
      <c r="W47" s="149"/>
      <c r="X47" s="149"/>
      <c r="Y47" s="149"/>
      <c r="Z47" s="174" t="str">
        <f t="shared" si="1"/>
        <v xml:space="preserve">  </v>
      </c>
      <c r="AA47" s="126" t="str">
        <f>IF(OR(AB47="Preventivo",AB47="Detectivo"),"Probabilidad",IF(AB47="Correctivo","Impacto",""))</f>
        <v/>
      </c>
      <c r="AB47" s="127"/>
      <c r="AC47" s="127"/>
      <c r="AD47" s="128" t="str">
        <f t="shared" ref="AD47:AD51" si="60">IF(AND(AB47="Preventivo",AC47="Automático"),"50%",IF(AND(AB47="Preventivo",AC47="Manual"),"40%",IF(AND(AB47="Detectivo",AC47="Automático"),"40%",IF(AND(AB47="Detectivo",AC47="Manual"),"30%",IF(AND(AB47="Correctivo",AC47="Automático"),"35%",IF(AND(AB47="Correctivo",AC47="Manual"),"25%",""))))))</f>
        <v/>
      </c>
      <c r="AE47" s="127"/>
      <c r="AF47" s="127"/>
      <c r="AG47" s="127"/>
      <c r="AH47" s="129" t="str">
        <f>IFERROR(IF(AND(AA46="Probabilidad",AA47="Probabilidad"),(AJ46-(+AJ46*AD47)),IF(AA47="Probabilidad",(P46-(+P46*AD47)),IF(AA47="Impacto",AJ46,""))),"")</f>
        <v/>
      </c>
      <c r="AI47" s="130" t="str">
        <f t="shared" si="3"/>
        <v/>
      </c>
      <c r="AJ47" s="128" t="str">
        <f t="shared" ref="AJ47:AJ51" si="61">+AH47</f>
        <v/>
      </c>
      <c r="AK47" s="130" t="str">
        <f t="shared" si="5"/>
        <v/>
      </c>
      <c r="AL47" s="128" t="str">
        <f t="shared" ref="AL47" si="62">IFERROR(IF(AND(AA46="Impacto",AA47="Impacto"),(AL46-(+AL46*AD47)),IF(AA47="Impacto",($T$10-(+$T$10*AD47)),IF(AA47="Probabilidad",AL46,""))),"")</f>
        <v/>
      </c>
      <c r="AM47" s="131" t="str">
        <f t="shared" ref="AM47:AM48" si="63">IFERROR(IF(OR(AND(AI47="Muy Baja",AK47="Leve"),AND(AI47="Muy Baja",AK47="Menor"),AND(AI47="Baja",AK47="Leve")),"Bajo",IF(OR(AND(AI47="Muy baja",AK47="Moderado"),AND(AI47="Baja",AK47="Menor"),AND(AI47="Baja",AK47="Moderado"),AND(AI47="Media",AK47="Leve"),AND(AI47="Media",AK47="Menor"),AND(AI47="Media",AK47="Moderado"),AND(AI47="Alta",AK47="Leve"),AND(AI47="Alta",AK47="Menor")),"Moderado",IF(OR(AND(AI47="Muy Baja",AK47="Mayor"),AND(AI47="Baja",AK47="Mayor"),AND(AI47="Media",AK47="Mayor"),AND(AI47="Alta",AK47="Moderado"),AND(AI47="Alta",AK47="Mayor"),AND(AI47="Muy Alta",AK47="Leve"),AND(AI47="Muy Alta",AK47="Menor"),AND(AI47="Muy Alta",AK47="Moderado"),AND(AI47="Muy Alta",AK47="Mayor")),"Alto",IF(OR(AND(AI47="Muy Baja",AK47="Catastrófico"),AND(AI47="Baja",AK47="Catastrófico"),AND(AI47="Media",AK47="Catastrófico"),AND(AI47="Alta",AK47="Catastrófico"),AND(AI47="Muy Alta",AK47="Catastrófico")),"Extremo","")))),"")</f>
        <v/>
      </c>
      <c r="AN47" s="132"/>
      <c r="AO47" s="125"/>
      <c r="AP47" s="133"/>
      <c r="AQ47" s="133"/>
      <c r="AR47" s="134"/>
      <c r="AS47" s="416"/>
      <c r="AT47" s="416"/>
      <c r="AU47" s="416"/>
    </row>
    <row r="48" spans="1:47" hidden="1" x14ac:dyDescent="0.2">
      <c r="A48" s="398"/>
      <c r="B48" s="697"/>
      <c r="C48" s="400"/>
      <c r="D48" s="400"/>
      <c r="E48" s="698"/>
      <c r="F48" s="698"/>
      <c r="G48" s="401"/>
      <c r="H48" s="403"/>
      <c r="I48" s="403"/>
      <c r="J48" s="403"/>
      <c r="K48" s="403"/>
      <c r="L48" s="403"/>
      <c r="M48" s="403"/>
      <c r="N48" s="416"/>
      <c r="O48" s="417"/>
      <c r="P48" s="405"/>
      <c r="Q48" s="406"/>
      <c r="R48" s="405">
        <f>IF(NOT(ISERROR(MATCH(Q48,_xlfn.ANCHORARRAY(G59),0))),P61&amp;"Por favor no seleccionar los criterios de impacto",Q48)</f>
        <v>0</v>
      </c>
      <c r="S48" s="417"/>
      <c r="T48" s="405"/>
      <c r="U48" s="418"/>
      <c r="V48" s="149">
        <v>3</v>
      </c>
      <c r="W48" s="149"/>
      <c r="X48" s="149"/>
      <c r="Y48" s="149"/>
      <c r="Z48" s="174" t="str">
        <f t="shared" si="1"/>
        <v xml:space="preserve">  </v>
      </c>
      <c r="AA48" s="126" t="str">
        <f>IF(OR(AB48="Preventivo",AB48="Detectivo"),"Probabilidad",IF(AB48="Correctivo","Impacto",""))</f>
        <v/>
      </c>
      <c r="AB48" s="127"/>
      <c r="AC48" s="127"/>
      <c r="AD48" s="128" t="str">
        <f t="shared" si="60"/>
        <v/>
      </c>
      <c r="AE48" s="127"/>
      <c r="AF48" s="127"/>
      <c r="AG48" s="127"/>
      <c r="AH48" s="129" t="str">
        <f>IFERROR(IF(AND(AA47="Probabilidad",AA48="Probabilidad"),(AJ47-(+AJ47*AD48)),IF(AND(AA47="Impacto",AA48="Probabilidad"),(AJ46-(+AJ46*AD48)),IF(AA48="Impacto",AJ47,""))),"")</f>
        <v/>
      </c>
      <c r="AI48" s="130" t="str">
        <f t="shared" si="3"/>
        <v/>
      </c>
      <c r="AJ48" s="128" t="str">
        <f t="shared" si="61"/>
        <v/>
      </c>
      <c r="AK48" s="130" t="str">
        <f t="shared" si="5"/>
        <v/>
      </c>
      <c r="AL48" s="128" t="str">
        <f t="shared" ref="AL48" si="64">IFERROR(IF(AND(AA47="Impacto",AA48="Impacto"),(AL47-(+AL47*AD48)),IF(AND(AA47="Probabilidad",AA48="Impacto"),(AL46-(+AL46*AD48)),IF(AA48="Probabilidad",AL47,""))),"")</f>
        <v/>
      </c>
      <c r="AM48" s="131" t="str">
        <f t="shared" si="63"/>
        <v/>
      </c>
      <c r="AN48" s="132"/>
      <c r="AO48" s="125"/>
      <c r="AP48" s="133"/>
      <c r="AQ48" s="133"/>
      <c r="AR48" s="134"/>
      <c r="AS48" s="416"/>
      <c r="AT48" s="416"/>
      <c r="AU48" s="416"/>
    </row>
    <row r="49" spans="1:47" hidden="1" x14ac:dyDescent="0.2">
      <c r="A49" s="398"/>
      <c r="B49" s="697"/>
      <c r="C49" s="400"/>
      <c r="D49" s="400"/>
      <c r="E49" s="698"/>
      <c r="F49" s="698"/>
      <c r="G49" s="401"/>
      <c r="H49" s="403"/>
      <c r="I49" s="403"/>
      <c r="J49" s="403"/>
      <c r="K49" s="403"/>
      <c r="L49" s="403"/>
      <c r="M49" s="403"/>
      <c r="N49" s="416"/>
      <c r="O49" s="417"/>
      <c r="P49" s="405"/>
      <c r="Q49" s="406"/>
      <c r="R49" s="405">
        <f>IF(NOT(ISERROR(MATCH(Q49,_xlfn.ANCHORARRAY(G60),0))),P62&amp;"Por favor no seleccionar los criterios de impacto",Q49)</f>
        <v>0</v>
      </c>
      <c r="S49" s="417"/>
      <c r="T49" s="405"/>
      <c r="U49" s="418"/>
      <c r="V49" s="149">
        <v>4</v>
      </c>
      <c r="W49" s="149"/>
      <c r="X49" s="149"/>
      <c r="Y49" s="149"/>
      <c r="Z49" s="174" t="str">
        <f t="shared" si="1"/>
        <v xml:space="preserve">  </v>
      </c>
      <c r="AA49" s="126" t="str">
        <f t="shared" ref="AA49:AA51" si="65">IF(OR(AB49="Preventivo",AB49="Detectivo"),"Probabilidad",IF(AB49="Correctivo","Impacto",""))</f>
        <v/>
      </c>
      <c r="AB49" s="127"/>
      <c r="AC49" s="127"/>
      <c r="AD49" s="128" t="str">
        <f t="shared" si="60"/>
        <v/>
      </c>
      <c r="AE49" s="127"/>
      <c r="AF49" s="127"/>
      <c r="AG49" s="127"/>
      <c r="AH49" s="129" t="str">
        <f t="shared" ref="AH49:AH51" si="66">IFERROR(IF(AND(AA48="Probabilidad",AA49="Probabilidad"),(AJ48-(+AJ48*AD49)),IF(AND(AA48="Impacto",AA49="Probabilidad"),(AJ47-(+AJ47*AD49)),IF(AA49="Impacto",AJ48,""))),"")</f>
        <v/>
      </c>
      <c r="AI49" s="130" t="str">
        <f t="shared" si="3"/>
        <v/>
      </c>
      <c r="AJ49" s="128" t="str">
        <f t="shared" si="61"/>
        <v/>
      </c>
      <c r="AK49" s="130" t="str">
        <f t="shared" si="5"/>
        <v/>
      </c>
      <c r="AL49" s="128" t="str">
        <f t="shared" si="26"/>
        <v/>
      </c>
      <c r="AM49" s="131" t="str">
        <f>IFERROR(IF(OR(AND(AI49="Muy Baja",AK49="Leve"),AND(AI49="Muy Baja",AK49="Menor"),AND(AI49="Baja",AK49="Leve")),"Bajo",IF(OR(AND(AI49="Muy baja",AK49="Moderado"),AND(AI49="Baja",AK49="Menor"),AND(AI49="Baja",AK49="Moderado"),AND(AI49="Media",AK49="Leve"),AND(AI49="Media",AK49="Menor"),AND(AI49="Media",AK49="Moderado"),AND(AI49="Alta",AK49="Leve"),AND(AI49="Alta",AK49="Menor")),"Moderado",IF(OR(AND(AI49="Muy Baja",AK49="Mayor"),AND(AI49="Baja",AK49="Mayor"),AND(AI49="Media",AK49="Mayor"),AND(AI49="Alta",AK49="Moderado"),AND(AI49="Alta",AK49="Mayor"),AND(AI49="Muy Alta",AK49="Leve"),AND(AI49="Muy Alta",AK49="Menor"),AND(AI49="Muy Alta",AK49="Moderado"),AND(AI49="Muy Alta",AK49="Mayor")),"Alto",IF(OR(AND(AI49="Muy Baja",AK49="Catastrófico"),AND(AI49="Baja",AK49="Catastrófico"),AND(AI49="Media",AK49="Catastrófico"),AND(AI49="Alta",AK49="Catastrófico"),AND(AI49="Muy Alta",AK49="Catastrófico")),"Extremo","")))),"")</f>
        <v/>
      </c>
      <c r="AN49" s="132"/>
      <c r="AO49" s="125"/>
      <c r="AP49" s="133"/>
      <c r="AQ49" s="133"/>
      <c r="AR49" s="134"/>
      <c r="AS49" s="416"/>
      <c r="AT49" s="416"/>
      <c r="AU49" s="416"/>
    </row>
    <row r="50" spans="1:47" hidden="1" x14ac:dyDescent="0.2">
      <c r="A50" s="398"/>
      <c r="B50" s="697"/>
      <c r="C50" s="400"/>
      <c r="D50" s="400"/>
      <c r="E50" s="698"/>
      <c r="F50" s="698"/>
      <c r="G50" s="401"/>
      <c r="H50" s="403"/>
      <c r="I50" s="403"/>
      <c r="J50" s="403"/>
      <c r="K50" s="403"/>
      <c r="L50" s="403"/>
      <c r="M50" s="403"/>
      <c r="N50" s="416"/>
      <c r="O50" s="417"/>
      <c r="P50" s="405"/>
      <c r="Q50" s="406"/>
      <c r="R50" s="405">
        <f>IF(NOT(ISERROR(MATCH(Q50,_xlfn.ANCHORARRAY(G61),0))),P63&amp;"Por favor no seleccionar los criterios de impacto",Q50)</f>
        <v>0</v>
      </c>
      <c r="S50" s="417"/>
      <c r="T50" s="405"/>
      <c r="U50" s="418"/>
      <c r="V50" s="149">
        <v>5</v>
      </c>
      <c r="W50" s="149"/>
      <c r="X50" s="149"/>
      <c r="Y50" s="149"/>
      <c r="Z50" s="174" t="str">
        <f t="shared" si="1"/>
        <v xml:space="preserve">  </v>
      </c>
      <c r="AA50" s="126" t="str">
        <f t="shared" si="65"/>
        <v/>
      </c>
      <c r="AB50" s="127"/>
      <c r="AC50" s="127"/>
      <c r="AD50" s="128" t="str">
        <f t="shared" si="60"/>
        <v/>
      </c>
      <c r="AE50" s="127"/>
      <c r="AF50" s="127"/>
      <c r="AG50" s="127"/>
      <c r="AH50" s="129" t="str">
        <f t="shared" si="66"/>
        <v/>
      </c>
      <c r="AI50" s="130" t="str">
        <f t="shared" si="3"/>
        <v/>
      </c>
      <c r="AJ50" s="128" t="str">
        <f t="shared" si="61"/>
        <v/>
      </c>
      <c r="AK50" s="130" t="str">
        <f t="shared" si="5"/>
        <v/>
      </c>
      <c r="AL50" s="128" t="str">
        <f t="shared" si="26"/>
        <v/>
      </c>
      <c r="AM50" s="131" t="str">
        <f t="shared" ref="AM50:AM51" si="67">IFERROR(IF(OR(AND(AI50="Muy Baja",AK50="Leve"),AND(AI50="Muy Baja",AK50="Menor"),AND(AI50="Baja",AK50="Leve")),"Bajo",IF(OR(AND(AI50="Muy baja",AK50="Moderado"),AND(AI50="Baja",AK50="Menor"),AND(AI50="Baja",AK50="Moderado"),AND(AI50="Media",AK50="Leve"),AND(AI50="Media",AK50="Menor"),AND(AI50="Media",AK50="Moderado"),AND(AI50="Alta",AK50="Leve"),AND(AI50="Alta",AK50="Menor")),"Moderado",IF(OR(AND(AI50="Muy Baja",AK50="Mayor"),AND(AI50="Baja",AK50="Mayor"),AND(AI50="Media",AK50="Mayor"),AND(AI50="Alta",AK50="Moderado"),AND(AI50="Alta",AK50="Mayor"),AND(AI50="Muy Alta",AK50="Leve"),AND(AI50="Muy Alta",AK50="Menor"),AND(AI50="Muy Alta",AK50="Moderado"),AND(AI50="Muy Alta",AK50="Mayor")),"Alto",IF(OR(AND(AI50="Muy Baja",AK50="Catastrófico"),AND(AI50="Baja",AK50="Catastrófico"),AND(AI50="Media",AK50="Catastrófico"),AND(AI50="Alta",AK50="Catastrófico"),AND(AI50="Muy Alta",AK50="Catastrófico")),"Extremo","")))),"")</f>
        <v/>
      </c>
      <c r="AN50" s="132"/>
      <c r="AO50" s="125"/>
      <c r="AP50" s="133"/>
      <c r="AQ50" s="133"/>
      <c r="AR50" s="134"/>
      <c r="AS50" s="416"/>
      <c r="AT50" s="416"/>
      <c r="AU50" s="416"/>
    </row>
    <row r="51" spans="1:47" hidden="1" x14ac:dyDescent="0.2">
      <c r="A51" s="398"/>
      <c r="B51" s="697"/>
      <c r="C51" s="400"/>
      <c r="D51" s="400"/>
      <c r="E51" s="698"/>
      <c r="F51" s="698"/>
      <c r="G51" s="401"/>
      <c r="H51" s="404"/>
      <c r="I51" s="404"/>
      <c r="J51" s="404"/>
      <c r="K51" s="404"/>
      <c r="L51" s="404"/>
      <c r="M51" s="404"/>
      <c r="N51" s="416"/>
      <c r="O51" s="417"/>
      <c r="P51" s="405"/>
      <c r="Q51" s="406"/>
      <c r="R51" s="405">
        <f>IF(NOT(ISERROR(MATCH(Q51,_xlfn.ANCHORARRAY(G62),0))),P64&amp;"Por favor no seleccionar los criterios de impacto",Q51)</f>
        <v>0</v>
      </c>
      <c r="S51" s="417"/>
      <c r="T51" s="405"/>
      <c r="U51" s="418"/>
      <c r="V51" s="149">
        <v>6</v>
      </c>
      <c r="W51" s="149"/>
      <c r="X51" s="149"/>
      <c r="Y51" s="149"/>
      <c r="Z51" s="174" t="str">
        <f t="shared" si="1"/>
        <v xml:space="preserve">  </v>
      </c>
      <c r="AA51" s="126" t="str">
        <f t="shared" si="65"/>
        <v/>
      </c>
      <c r="AB51" s="127"/>
      <c r="AC51" s="127"/>
      <c r="AD51" s="128" t="str">
        <f t="shared" si="60"/>
        <v/>
      </c>
      <c r="AE51" s="127"/>
      <c r="AF51" s="127"/>
      <c r="AG51" s="127"/>
      <c r="AH51" s="129" t="str">
        <f t="shared" si="66"/>
        <v/>
      </c>
      <c r="AI51" s="130" t="str">
        <f t="shared" si="3"/>
        <v/>
      </c>
      <c r="AJ51" s="128" t="str">
        <f t="shared" si="61"/>
        <v/>
      </c>
      <c r="AK51" s="130" t="str">
        <f t="shared" si="5"/>
        <v/>
      </c>
      <c r="AL51" s="128" t="str">
        <f t="shared" si="26"/>
        <v/>
      </c>
      <c r="AM51" s="131" t="str">
        <f t="shared" si="67"/>
        <v/>
      </c>
      <c r="AN51" s="132"/>
      <c r="AO51" s="125"/>
      <c r="AP51" s="133"/>
      <c r="AQ51" s="133"/>
      <c r="AR51" s="134"/>
      <c r="AS51" s="416"/>
      <c r="AT51" s="416"/>
      <c r="AU51" s="416"/>
    </row>
    <row r="52" spans="1:47" hidden="1" x14ac:dyDescent="0.2">
      <c r="A52" s="398">
        <v>8</v>
      </c>
      <c r="B52" s="697"/>
      <c r="C52" s="400"/>
      <c r="D52" s="400"/>
      <c r="E52" s="400"/>
      <c r="F52" s="400"/>
      <c r="G52" s="401" t="str">
        <f t="shared" ref="G52" si="68">+CONCATENATE(C52," ",D52," ",E52)</f>
        <v xml:space="preserve">  </v>
      </c>
      <c r="H52" s="402"/>
      <c r="I52" s="402"/>
      <c r="J52" s="402"/>
      <c r="K52" s="402"/>
      <c r="L52" s="402"/>
      <c r="M52" s="402"/>
      <c r="N52" s="416"/>
      <c r="O52" s="417" t="str">
        <f>IF(N52&lt;=0,"",IF(N52&lt;=2,"Muy Baja",IF(N52&lt;=24,"Baja",IF(N52&lt;=500,"Media",IF(N52&lt;=5000,"Alta","Muy Alta")))))</f>
        <v/>
      </c>
      <c r="P52" s="405" t="str">
        <f>IF(O52="","",IF(O52="Muy Baja",0.2,IF(O52="Baja",0.4,IF(O52="Media",0.6,IF(O52="Alta",0.8,IF(O52="Muy Alta",1,))))))</f>
        <v/>
      </c>
      <c r="Q52" s="406"/>
      <c r="R52" s="405">
        <f>IF(NOT(ISERROR(MATCH(Q52,'[3]Tabla Impacto'!$B$245:$B$247,0))),'[3]Tabla Impacto'!$F$224&amp;"Por favor no seleccionar los criterios de impacto(Afectación Económica o presupuestal y Pérdida Reputacional)",Q52)</f>
        <v>0</v>
      </c>
      <c r="S52" s="417" t="str">
        <f>IF(OR(R52='[3]Tabla Impacto'!$C$12,R52='[3]Tabla Impacto'!$D$12),"Leve",IF(OR(R52='[3]Tabla Impacto'!$C$13,R52='[3]Tabla Impacto'!$D$13),"Menor",IF(OR(R52='[3]Tabla Impacto'!$C$14,R52='[3]Tabla Impacto'!$D$14),"Moderado",IF(OR(R52='[3]Tabla Impacto'!$C$15,R52='[3]Tabla Impacto'!$D$15),"Mayor",IF(OR(R52='[3]Tabla Impacto'!$C$16,R52='[3]Tabla Impacto'!$D$16),"Catastrófico","")))))</f>
        <v/>
      </c>
      <c r="T52" s="405" t="str">
        <f>IF(S52="","",IF(S52="Leve",0.2,IF(S52="Menor",0.4,IF(S52="Moderado",0.6,IF(S52="Mayor",0.8,IF(S52="Catastrófico",1,))))))</f>
        <v/>
      </c>
      <c r="U52" s="418" t="str">
        <f>IF(OR(AND(O52="Muy Baja",S52="Leve"),AND(O52="Muy Baja",S52="Menor"),AND(O52="Baja",S52="Leve")),"Bajo",IF(OR(AND(O52="Muy baja",S52="Moderado"),AND(O52="Baja",S52="Menor"),AND(O52="Baja",S52="Moderado"),AND(O52="Media",S52="Leve"),AND(O52="Media",S52="Menor"),AND(O52="Media",S52="Moderado"),AND(O52="Alta",S52="Leve"),AND(O52="Alta",S52="Menor")),"Moderado",IF(OR(AND(O52="Muy Baja",S52="Mayor"),AND(O52="Baja",S52="Mayor"),AND(O52="Media",S52="Mayor"),AND(O52="Alta",S52="Moderado"),AND(O52="Alta",S52="Mayor"),AND(O52="Muy Alta",S52="Leve"),AND(O52="Muy Alta",S52="Menor"),AND(O52="Muy Alta",S52="Moderado"),AND(O52="Muy Alta",S52="Mayor")),"Alto",IF(OR(AND(O52="Muy Baja",S52="Catastrófico"),AND(O52="Baja",S52="Catastrófico"),AND(O52="Media",S52="Catastrófico"),AND(O52="Alta",S52="Catastrófico"),AND(O52="Muy Alta",S52="Catastrófico")),"Extremo",""))))</f>
        <v/>
      </c>
      <c r="V52" s="149">
        <v>1</v>
      </c>
      <c r="W52" s="149"/>
      <c r="X52" s="149"/>
      <c r="Y52" s="149"/>
      <c r="Z52" s="174" t="str">
        <f t="shared" si="1"/>
        <v xml:space="preserve">  </v>
      </c>
      <c r="AA52" s="126" t="str">
        <f>IF(OR(AB52="Preventivo",AB52="Detectivo"),"Probabilidad",IF(AB52="Correctivo","Impacto",""))</f>
        <v/>
      </c>
      <c r="AB52" s="127"/>
      <c r="AC52" s="127"/>
      <c r="AD52" s="128" t="str">
        <f>IF(AND(AB52="Preventivo",AC52="Automático"),"50%",IF(AND(AB52="Preventivo",AC52="Manual"),"40%",IF(AND(AB52="Detectivo",AC52="Automático"),"40%",IF(AND(AB52="Detectivo",AC52="Manual"),"30%",IF(AND(AB52="Correctivo",AC52="Automático"),"35%",IF(AND(AB52="Correctivo",AC52="Manual"),"25%",""))))))</f>
        <v/>
      </c>
      <c r="AE52" s="127"/>
      <c r="AF52" s="127"/>
      <c r="AG52" s="127"/>
      <c r="AH52" s="129" t="str">
        <f>IFERROR(IF(AA52="Probabilidad",(P52-(+P52*AD52)),IF(AA52="Impacto",P52,"")),"")</f>
        <v/>
      </c>
      <c r="AI52" s="130" t="str">
        <f>IFERROR(IF(AH52="","",IF(AH52&lt;=0.2,"Muy Baja",IF(AH52&lt;=0.4,"Baja",IF(AH52&lt;=0.6,"Media",IF(AH52&lt;=0.8,"Alta","Muy Alta"))))),"")</f>
        <v/>
      </c>
      <c r="AJ52" s="128" t="str">
        <f>+AH52</f>
        <v/>
      </c>
      <c r="AK52" s="130" t="str">
        <f>IFERROR(IF(AL52="","",IF(AL52&lt;=0.2,"Leve",IF(AL52&lt;=0.4,"Menor",IF(AL52&lt;=0.6,"Moderado",IF(AL52&lt;=0.8,"Mayor","Catastrófico"))))),"")</f>
        <v/>
      </c>
      <c r="AL52" s="128" t="str">
        <f t="shared" ref="AL52" si="69">IFERROR(IF(AA52="Impacto",(T52-(+T52*AD52)),IF(AA52="Probabilidad",T52,"")),"")</f>
        <v/>
      </c>
      <c r="AM52" s="131" t="str">
        <f>IFERROR(IF(OR(AND(AI52="Muy Baja",AK52="Leve"),AND(AI52="Muy Baja",AK52="Menor"),AND(AI52="Baja",AK52="Leve")),"Bajo",IF(OR(AND(AI52="Muy baja",AK52="Moderado"),AND(AI52="Baja",AK52="Menor"),AND(AI52="Baja",AK52="Moderado"),AND(AI52="Media",AK52="Leve"),AND(AI52="Media",AK52="Menor"),AND(AI52="Media",AK52="Moderado"),AND(AI52="Alta",AK52="Leve"),AND(AI52="Alta",AK52="Menor")),"Moderado",IF(OR(AND(AI52="Muy Baja",AK52="Mayor"),AND(AI52="Baja",AK52="Mayor"),AND(AI52="Media",AK52="Mayor"),AND(AI52="Alta",AK52="Moderado"),AND(AI52="Alta",AK52="Mayor"),AND(AI52="Muy Alta",AK52="Leve"),AND(AI52="Muy Alta",AK52="Menor"),AND(AI52="Muy Alta",AK52="Moderado"),AND(AI52="Muy Alta",AK52="Mayor")),"Alto",IF(OR(AND(AI52="Muy Baja",AK52="Catastrófico"),AND(AI52="Baja",AK52="Catastrófico"),AND(AI52="Media",AK52="Catastrófico"),AND(AI52="Alta",AK52="Catastrófico"),AND(AI52="Muy Alta",AK52="Catastrófico")),"Extremo","")))),"")</f>
        <v/>
      </c>
      <c r="AN52" s="132"/>
      <c r="AO52" s="125"/>
      <c r="AP52" s="133"/>
      <c r="AQ52" s="133"/>
      <c r="AR52" s="134"/>
      <c r="AS52" s="416"/>
      <c r="AT52" s="416"/>
      <c r="AU52" s="416"/>
    </row>
    <row r="53" spans="1:47" hidden="1" x14ac:dyDescent="0.2">
      <c r="A53" s="398"/>
      <c r="B53" s="697"/>
      <c r="C53" s="400"/>
      <c r="D53" s="400"/>
      <c r="E53" s="400"/>
      <c r="F53" s="400"/>
      <c r="G53" s="401"/>
      <c r="H53" s="403"/>
      <c r="I53" s="403"/>
      <c r="J53" s="403"/>
      <c r="K53" s="403"/>
      <c r="L53" s="403"/>
      <c r="M53" s="403"/>
      <c r="N53" s="416"/>
      <c r="O53" s="417"/>
      <c r="P53" s="405"/>
      <c r="Q53" s="406"/>
      <c r="R53" s="405">
        <f>IF(NOT(ISERROR(MATCH(Q53,_xlfn.ANCHORARRAY(G64),0))),P66&amp;"Por favor no seleccionar los criterios de impacto",Q53)</f>
        <v>0</v>
      </c>
      <c r="S53" s="417"/>
      <c r="T53" s="405"/>
      <c r="U53" s="418"/>
      <c r="V53" s="149">
        <v>2</v>
      </c>
      <c r="W53" s="149"/>
      <c r="X53" s="149"/>
      <c r="Y53" s="149"/>
      <c r="Z53" s="174" t="str">
        <f t="shared" si="1"/>
        <v xml:space="preserve">  </v>
      </c>
      <c r="AA53" s="126" t="str">
        <f>IF(OR(AB53="Preventivo",AB53="Detectivo"),"Probabilidad",IF(AB53="Correctivo","Impacto",""))</f>
        <v/>
      </c>
      <c r="AB53" s="127"/>
      <c r="AC53" s="127"/>
      <c r="AD53" s="128" t="str">
        <f t="shared" ref="AD53:AD57" si="70">IF(AND(AB53="Preventivo",AC53="Automático"),"50%",IF(AND(AB53="Preventivo",AC53="Manual"),"40%",IF(AND(AB53="Detectivo",AC53="Automático"),"40%",IF(AND(AB53="Detectivo",AC53="Manual"),"30%",IF(AND(AB53="Correctivo",AC53="Automático"),"35%",IF(AND(AB53="Correctivo",AC53="Manual"),"25%",""))))))</f>
        <v/>
      </c>
      <c r="AE53" s="127"/>
      <c r="AF53" s="127"/>
      <c r="AG53" s="127"/>
      <c r="AH53" s="129" t="str">
        <f>IFERROR(IF(AND(AA52="Probabilidad",AA53="Probabilidad"),(AJ52-(+AJ52*AD53)),IF(AA53="Probabilidad",(P52-(+P52*AD53)),IF(AA53="Impacto",AJ52,""))),"")</f>
        <v/>
      </c>
      <c r="AI53" s="130" t="str">
        <f t="shared" si="3"/>
        <v/>
      </c>
      <c r="AJ53" s="128" t="str">
        <f t="shared" ref="AJ53:AJ57" si="71">+AH53</f>
        <v/>
      </c>
      <c r="AK53" s="130" t="str">
        <f t="shared" si="5"/>
        <v/>
      </c>
      <c r="AL53" s="128" t="str">
        <f t="shared" ref="AL53" si="72">IFERROR(IF(AND(AA52="Impacto",AA53="Impacto"),(AL52-(+AL52*AD53)),IF(AA53="Impacto",($T$10-(+$T$10*AD53)),IF(AA53="Probabilidad",AL52,""))),"")</f>
        <v/>
      </c>
      <c r="AM53" s="131" t="str">
        <f t="shared" ref="AM53:AM54" si="73">IFERROR(IF(OR(AND(AI53="Muy Baja",AK53="Leve"),AND(AI53="Muy Baja",AK53="Menor"),AND(AI53="Baja",AK53="Leve")),"Bajo",IF(OR(AND(AI53="Muy baja",AK53="Moderado"),AND(AI53="Baja",AK53="Menor"),AND(AI53="Baja",AK53="Moderado"),AND(AI53="Media",AK53="Leve"),AND(AI53="Media",AK53="Menor"),AND(AI53="Media",AK53="Moderado"),AND(AI53="Alta",AK53="Leve"),AND(AI53="Alta",AK53="Menor")),"Moderado",IF(OR(AND(AI53="Muy Baja",AK53="Mayor"),AND(AI53="Baja",AK53="Mayor"),AND(AI53="Media",AK53="Mayor"),AND(AI53="Alta",AK53="Moderado"),AND(AI53="Alta",AK53="Mayor"),AND(AI53="Muy Alta",AK53="Leve"),AND(AI53="Muy Alta",AK53="Menor"),AND(AI53="Muy Alta",AK53="Moderado"),AND(AI53="Muy Alta",AK53="Mayor")),"Alto",IF(OR(AND(AI53="Muy Baja",AK53="Catastrófico"),AND(AI53="Baja",AK53="Catastrófico"),AND(AI53="Media",AK53="Catastrófico"),AND(AI53="Alta",AK53="Catastrófico"),AND(AI53="Muy Alta",AK53="Catastrófico")),"Extremo","")))),"")</f>
        <v/>
      </c>
      <c r="AN53" s="132"/>
      <c r="AO53" s="125"/>
      <c r="AP53" s="133"/>
      <c r="AQ53" s="133"/>
      <c r="AR53" s="134"/>
      <c r="AS53" s="416"/>
      <c r="AT53" s="416"/>
      <c r="AU53" s="416"/>
    </row>
    <row r="54" spans="1:47" hidden="1" x14ac:dyDescent="0.2">
      <c r="A54" s="398"/>
      <c r="B54" s="697"/>
      <c r="C54" s="400"/>
      <c r="D54" s="400"/>
      <c r="E54" s="400"/>
      <c r="F54" s="400"/>
      <c r="G54" s="401"/>
      <c r="H54" s="403"/>
      <c r="I54" s="403"/>
      <c r="J54" s="403"/>
      <c r="K54" s="403"/>
      <c r="L54" s="403"/>
      <c r="M54" s="403"/>
      <c r="N54" s="416"/>
      <c r="O54" s="417"/>
      <c r="P54" s="405"/>
      <c r="Q54" s="406"/>
      <c r="R54" s="405">
        <f>IF(NOT(ISERROR(MATCH(Q54,_xlfn.ANCHORARRAY(G65),0))),P67&amp;"Por favor no seleccionar los criterios de impacto",Q54)</f>
        <v>0</v>
      </c>
      <c r="S54" s="417"/>
      <c r="T54" s="405"/>
      <c r="U54" s="418"/>
      <c r="V54" s="149">
        <v>3</v>
      </c>
      <c r="W54" s="149"/>
      <c r="X54" s="149"/>
      <c r="Y54" s="149"/>
      <c r="Z54" s="174" t="str">
        <f t="shared" si="1"/>
        <v xml:space="preserve">  </v>
      </c>
      <c r="AA54" s="126" t="str">
        <f>IF(OR(AB54="Preventivo",AB54="Detectivo"),"Probabilidad",IF(AB54="Correctivo","Impacto",""))</f>
        <v/>
      </c>
      <c r="AB54" s="127"/>
      <c r="AC54" s="127"/>
      <c r="AD54" s="128" t="str">
        <f t="shared" si="70"/>
        <v/>
      </c>
      <c r="AE54" s="127"/>
      <c r="AF54" s="127"/>
      <c r="AG54" s="127"/>
      <c r="AH54" s="129" t="str">
        <f>IFERROR(IF(AND(AA53="Probabilidad",AA54="Probabilidad"),(AJ53-(+AJ53*AD54)),IF(AND(AA53="Impacto",AA54="Probabilidad"),(AJ52-(+AJ52*AD54)),IF(AA54="Impacto",AJ53,""))),"")</f>
        <v/>
      </c>
      <c r="AI54" s="130" t="str">
        <f t="shared" si="3"/>
        <v/>
      </c>
      <c r="AJ54" s="128" t="str">
        <f t="shared" si="71"/>
        <v/>
      </c>
      <c r="AK54" s="130" t="str">
        <f t="shared" si="5"/>
        <v/>
      </c>
      <c r="AL54" s="128" t="str">
        <f t="shared" ref="AL54" si="74">IFERROR(IF(AND(AA53="Impacto",AA54="Impacto"),(AL53-(+AL53*AD54)),IF(AND(AA53="Probabilidad",AA54="Impacto"),(AL52-(+AL52*AD54)),IF(AA54="Probabilidad",AL53,""))),"")</f>
        <v/>
      </c>
      <c r="AM54" s="131" t="str">
        <f t="shared" si="73"/>
        <v/>
      </c>
      <c r="AN54" s="132"/>
      <c r="AO54" s="125"/>
      <c r="AP54" s="133"/>
      <c r="AQ54" s="133"/>
      <c r="AR54" s="134"/>
      <c r="AS54" s="416"/>
      <c r="AT54" s="416"/>
      <c r="AU54" s="416"/>
    </row>
    <row r="55" spans="1:47" hidden="1" x14ac:dyDescent="0.2">
      <c r="A55" s="398"/>
      <c r="B55" s="697"/>
      <c r="C55" s="400"/>
      <c r="D55" s="400"/>
      <c r="E55" s="400"/>
      <c r="F55" s="400"/>
      <c r="G55" s="401"/>
      <c r="H55" s="403"/>
      <c r="I55" s="403"/>
      <c r="J55" s="403"/>
      <c r="K55" s="403"/>
      <c r="L55" s="403"/>
      <c r="M55" s="403"/>
      <c r="N55" s="416"/>
      <c r="O55" s="417"/>
      <c r="P55" s="405"/>
      <c r="Q55" s="406"/>
      <c r="R55" s="405">
        <f>IF(NOT(ISERROR(MATCH(Q55,_xlfn.ANCHORARRAY(G66),0))),P68&amp;"Por favor no seleccionar los criterios de impacto",Q55)</f>
        <v>0</v>
      </c>
      <c r="S55" s="417"/>
      <c r="T55" s="405"/>
      <c r="U55" s="418"/>
      <c r="V55" s="149">
        <v>4</v>
      </c>
      <c r="W55" s="149"/>
      <c r="X55" s="149"/>
      <c r="Y55" s="149"/>
      <c r="Z55" s="174" t="str">
        <f t="shared" si="1"/>
        <v xml:space="preserve">  </v>
      </c>
      <c r="AA55" s="126" t="str">
        <f t="shared" ref="AA55:AA57" si="75">IF(OR(AB55="Preventivo",AB55="Detectivo"),"Probabilidad",IF(AB55="Correctivo","Impacto",""))</f>
        <v/>
      </c>
      <c r="AB55" s="127"/>
      <c r="AC55" s="127"/>
      <c r="AD55" s="128" t="str">
        <f t="shared" si="70"/>
        <v/>
      </c>
      <c r="AE55" s="127"/>
      <c r="AF55" s="127"/>
      <c r="AG55" s="127"/>
      <c r="AH55" s="129" t="str">
        <f t="shared" ref="AH55:AH57" si="76">IFERROR(IF(AND(AA54="Probabilidad",AA55="Probabilidad"),(AJ54-(+AJ54*AD55)),IF(AND(AA54="Impacto",AA55="Probabilidad"),(AJ53-(+AJ53*AD55)),IF(AA55="Impacto",AJ54,""))),"")</f>
        <v/>
      </c>
      <c r="AI55" s="130" t="str">
        <f t="shared" si="3"/>
        <v/>
      </c>
      <c r="AJ55" s="128" t="str">
        <f t="shared" si="71"/>
        <v/>
      </c>
      <c r="AK55" s="130" t="str">
        <f t="shared" si="5"/>
        <v/>
      </c>
      <c r="AL55" s="128" t="str">
        <f t="shared" si="26"/>
        <v/>
      </c>
      <c r="AM55" s="131" t="str">
        <f>IFERROR(IF(OR(AND(AI55="Muy Baja",AK55="Leve"),AND(AI55="Muy Baja",AK55="Menor"),AND(AI55="Baja",AK55="Leve")),"Bajo",IF(OR(AND(AI55="Muy baja",AK55="Moderado"),AND(AI55="Baja",AK55="Menor"),AND(AI55="Baja",AK55="Moderado"),AND(AI55="Media",AK55="Leve"),AND(AI55="Media",AK55="Menor"),AND(AI55="Media",AK55="Moderado"),AND(AI55="Alta",AK55="Leve"),AND(AI55="Alta",AK55="Menor")),"Moderado",IF(OR(AND(AI55="Muy Baja",AK55="Mayor"),AND(AI55="Baja",AK55="Mayor"),AND(AI55="Media",AK55="Mayor"),AND(AI55="Alta",AK55="Moderado"),AND(AI55="Alta",AK55="Mayor"),AND(AI55="Muy Alta",AK55="Leve"),AND(AI55="Muy Alta",AK55="Menor"),AND(AI55="Muy Alta",AK55="Moderado"),AND(AI55="Muy Alta",AK55="Mayor")),"Alto",IF(OR(AND(AI55="Muy Baja",AK55="Catastrófico"),AND(AI55="Baja",AK55="Catastrófico"),AND(AI55="Media",AK55="Catastrófico"),AND(AI55="Alta",AK55="Catastrófico"),AND(AI55="Muy Alta",AK55="Catastrófico")),"Extremo","")))),"")</f>
        <v/>
      </c>
      <c r="AN55" s="132"/>
      <c r="AO55" s="125"/>
      <c r="AP55" s="133"/>
      <c r="AQ55" s="133"/>
      <c r="AR55" s="134"/>
      <c r="AS55" s="416"/>
      <c r="AT55" s="416"/>
      <c r="AU55" s="416"/>
    </row>
    <row r="56" spans="1:47" hidden="1" x14ac:dyDescent="0.2">
      <c r="A56" s="398"/>
      <c r="B56" s="697"/>
      <c r="C56" s="400"/>
      <c r="D56" s="400"/>
      <c r="E56" s="400"/>
      <c r="F56" s="400"/>
      <c r="G56" s="401"/>
      <c r="H56" s="403"/>
      <c r="I56" s="403"/>
      <c r="J56" s="403"/>
      <c r="K56" s="403"/>
      <c r="L56" s="403"/>
      <c r="M56" s="403"/>
      <c r="N56" s="416"/>
      <c r="O56" s="417"/>
      <c r="P56" s="405"/>
      <c r="Q56" s="406"/>
      <c r="R56" s="405">
        <f>IF(NOT(ISERROR(MATCH(Q56,_xlfn.ANCHORARRAY(G67),0))),P69&amp;"Por favor no seleccionar los criterios de impacto",Q56)</f>
        <v>0</v>
      </c>
      <c r="S56" s="417"/>
      <c r="T56" s="405"/>
      <c r="U56" s="418"/>
      <c r="V56" s="149">
        <v>5</v>
      </c>
      <c r="W56" s="149"/>
      <c r="X56" s="149"/>
      <c r="Y56" s="149"/>
      <c r="Z56" s="174" t="str">
        <f t="shared" si="1"/>
        <v xml:space="preserve">  </v>
      </c>
      <c r="AA56" s="126" t="str">
        <f t="shared" si="75"/>
        <v/>
      </c>
      <c r="AB56" s="127"/>
      <c r="AC56" s="127"/>
      <c r="AD56" s="128" t="str">
        <f t="shared" si="70"/>
        <v/>
      </c>
      <c r="AE56" s="127"/>
      <c r="AF56" s="127"/>
      <c r="AG56" s="127"/>
      <c r="AH56" s="129" t="str">
        <f t="shared" si="76"/>
        <v/>
      </c>
      <c r="AI56" s="130" t="str">
        <f t="shared" si="3"/>
        <v/>
      </c>
      <c r="AJ56" s="128" t="str">
        <f t="shared" si="71"/>
        <v/>
      </c>
      <c r="AK56" s="130" t="str">
        <f t="shared" si="5"/>
        <v/>
      </c>
      <c r="AL56" s="128" t="str">
        <f t="shared" si="26"/>
        <v/>
      </c>
      <c r="AM56" s="131" t="str">
        <f t="shared" ref="AM56:AM57" si="77">IFERROR(IF(OR(AND(AI56="Muy Baja",AK56="Leve"),AND(AI56="Muy Baja",AK56="Menor"),AND(AI56="Baja",AK56="Leve")),"Bajo",IF(OR(AND(AI56="Muy baja",AK56="Moderado"),AND(AI56="Baja",AK56="Menor"),AND(AI56="Baja",AK56="Moderado"),AND(AI56="Media",AK56="Leve"),AND(AI56="Media",AK56="Menor"),AND(AI56="Media",AK56="Moderado"),AND(AI56="Alta",AK56="Leve"),AND(AI56="Alta",AK56="Menor")),"Moderado",IF(OR(AND(AI56="Muy Baja",AK56="Mayor"),AND(AI56="Baja",AK56="Mayor"),AND(AI56="Media",AK56="Mayor"),AND(AI56="Alta",AK56="Moderado"),AND(AI56="Alta",AK56="Mayor"),AND(AI56="Muy Alta",AK56="Leve"),AND(AI56="Muy Alta",AK56="Menor"),AND(AI56="Muy Alta",AK56="Moderado"),AND(AI56="Muy Alta",AK56="Mayor")),"Alto",IF(OR(AND(AI56="Muy Baja",AK56="Catastrófico"),AND(AI56="Baja",AK56="Catastrófico"),AND(AI56="Media",AK56="Catastrófico"),AND(AI56="Alta",AK56="Catastrófico"),AND(AI56="Muy Alta",AK56="Catastrófico")),"Extremo","")))),"")</f>
        <v/>
      </c>
      <c r="AN56" s="132"/>
      <c r="AO56" s="125"/>
      <c r="AP56" s="133"/>
      <c r="AQ56" s="133"/>
      <c r="AR56" s="134"/>
      <c r="AS56" s="416"/>
      <c r="AT56" s="416"/>
      <c r="AU56" s="416"/>
    </row>
    <row r="57" spans="1:47" hidden="1" x14ac:dyDescent="0.2">
      <c r="A57" s="398"/>
      <c r="B57" s="697"/>
      <c r="C57" s="400"/>
      <c r="D57" s="400"/>
      <c r="E57" s="400"/>
      <c r="F57" s="400"/>
      <c r="G57" s="401"/>
      <c r="H57" s="404"/>
      <c r="I57" s="404"/>
      <c r="J57" s="404"/>
      <c r="K57" s="404"/>
      <c r="L57" s="404"/>
      <c r="M57" s="404"/>
      <c r="N57" s="416"/>
      <c r="O57" s="417"/>
      <c r="P57" s="405"/>
      <c r="Q57" s="406"/>
      <c r="R57" s="405">
        <f>IF(NOT(ISERROR(MATCH(Q57,_xlfn.ANCHORARRAY(G68),0))),Q70&amp;"Por favor no seleccionar los criterios de impacto",Q57)</f>
        <v>0</v>
      </c>
      <c r="S57" s="417"/>
      <c r="T57" s="405"/>
      <c r="U57" s="418"/>
      <c r="V57" s="149">
        <v>6</v>
      </c>
      <c r="W57" s="149"/>
      <c r="X57" s="149"/>
      <c r="Y57" s="149"/>
      <c r="Z57" s="174" t="str">
        <f t="shared" si="1"/>
        <v xml:space="preserve">  </v>
      </c>
      <c r="AA57" s="126" t="str">
        <f t="shared" si="75"/>
        <v/>
      </c>
      <c r="AB57" s="127"/>
      <c r="AC57" s="127"/>
      <c r="AD57" s="128" t="str">
        <f t="shared" si="70"/>
        <v/>
      </c>
      <c r="AE57" s="127"/>
      <c r="AF57" s="127"/>
      <c r="AG57" s="127"/>
      <c r="AH57" s="129" t="str">
        <f t="shared" si="76"/>
        <v/>
      </c>
      <c r="AI57" s="130" t="str">
        <f t="shared" si="3"/>
        <v/>
      </c>
      <c r="AJ57" s="128" t="str">
        <f t="shared" si="71"/>
        <v/>
      </c>
      <c r="AK57" s="130" t="str">
        <f t="shared" si="5"/>
        <v/>
      </c>
      <c r="AL57" s="128" t="str">
        <f t="shared" si="26"/>
        <v/>
      </c>
      <c r="AM57" s="131" t="str">
        <f t="shared" si="77"/>
        <v/>
      </c>
      <c r="AN57" s="132"/>
      <c r="AO57" s="125"/>
      <c r="AP57" s="133"/>
      <c r="AQ57" s="133"/>
      <c r="AR57" s="134"/>
      <c r="AS57" s="416"/>
      <c r="AT57" s="416"/>
      <c r="AU57" s="416"/>
    </row>
    <row r="58" spans="1:47" hidden="1" x14ac:dyDescent="0.2">
      <c r="A58" s="398">
        <v>9</v>
      </c>
      <c r="B58" s="697"/>
      <c r="C58" s="400"/>
      <c r="D58" s="400"/>
      <c r="E58" s="400"/>
      <c r="F58" s="400"/>
      <c r="G58" s="401" t="str">
        <f t="shared" ref="G58" si="78">+CONCATENATE(C58," ",D58," ",E58)</f>
        <v xml:space="preserve">  </v>
      </c>
      <c r="H58" s="402"/>
      <c r="I58" s="156"/>
      <c r="J58" s="156"/>
      <c r="K58" s="156"/>
      <c r="L58" s="402"/>
      <c r="M58" s="402"/>
      <c r="N58" s="416"/>
      <c r="O58" s="417" t="str">
        <f>IF(N58&lt;=0,"",IF(N58&lt;=2,"Muy Baja",IF(N58&lt;=24,"Baja",IF(N58&lt;=500,"Media",IF(N58&lt;=5000,"Alta","Muy Alta")))))</f>
        <v/>
      </c>
      <c r="P58" s="405" t="str">
        <f>IF(O58="","",IF(O58="Muy Baja",0.2,IF(O58="Baja",0.4,IF(O58="Media",0.6,IF(O58="Alta",0.8,IF(O58="Muy Alta",1,))))))</f>
        <v/>
      </c>
      <c r="Q58" s="406"/>
      <c r="R58" s="405">
        <f>IF(NOT(ISERROR(MATCH(Q58,'[3]Tabla Impacto'!$B$245:$B$247,0))),'[3]Tabla Impacto'!$F$224&amp;"Por favor no seleccionar los criterios de impacto(Afectación Económica o presupuestal y Pérdida Reputacional)",Q58)</f>
        <v>0</v>
      </c>
      <c r="S58" s="417" t="str">
        <f>IF(OR(R58='[3]Tabla Impacto'!$C$12,R58='[3]Tabla Impacto'!$D$12),"Leve",IF(OR(R58='[3]Tabla Impacto'!$C$13,R58='[3]Tabla Impacto'!$D$13),"Menor",IF(OR(R58='[3]Tabla Impacto'!$C$14,R58='[3]Tabla Impacto'!$D$14),"Moderado",IF(OR(R58='[3]Tabla Impacto'!$C$15,R58='[3]Tabla Impacto'!$D$15),"Mayor",IF(OR(R58='[3]Tabla Impacto'!$C$16,R58='[3]Tabla Impacto'!$D$16),"Catastrófico","")))))</f>
        <v/>
      </c>
      <c r="T58" s="405" t="str">
        <f>IF(S58="","",IF(S58="Leve",0.2,IF(S58="Menor",0.4,IF(S58="Moderado",0.6,IF(S58="Mayor",0.8,IF(S58="Catastrófico",1,))))))</f>
        <v/>
      </c>
      <c r="U58" s="418" t="str">
        <f>IF(OR(AND(O58="Muy Baja",S58="Leve"),AND(O58="Muy Baja",S58="Menor"),AND(O58="Baja",S58="Leve")),"Bajo",IF(OR(AND(O58="Muy baja",S58="Moderado"),AND(O58="Baja",S58="Menor"),AND(O58="Baja",S58="Moderado"),AND(O58="Media",S58="Leve"),AND(O58="Media",S58="Menor"),AND(O58="Media",S58="Moderado"),AND(O58="Alta",S58="Leve"),AND(O58="Alta",S58="Menor")),"Moderado",IF(OR(AND(O58="Muy Baja",S58="Mayor"),AND(O58="Baja",S58="Mayor"),AND(O58="Media",S58="Mayor"),AND(O58="Alta",S58="Moderado"),AND(O58="Alta",S58="Mayor"),AND(O58="Muy Alta",S58="Leve"),AND(O58="Muy Alta",S58="Menor"),AND(O58="Muy Alta",S58="Moderado"),AND(O58="Muy Alta",S58="Mayor")),"Alto",IF(OR(AND(O58="Muy Baja",S58="Catastrófico"),AND(O58="Baja",S58="Catastrófico"),AND(O58="Media",S58="Catastrófico"),AND(O58="Alta",S58="Catastrófico"),AND(O58="Muy Alta",S58="Catastrófico")),"Extremo",""))))</f>
        <v/>
      </c>
      <c r="V58" s="149">
        <v>1</v>
      </c>
      <c r="W58" s="149"/>
      <c r="X58" s="149"/>
      <c r="Y58" s="149"/>
      <c r="Z58" s="174" t="str">
        <f t="shared" si="1"/>
        <v xml:space="preserve">  </v>
      </c>
      <c r="AA58" s="126" t="str">
        <f>IF(OR(AB58="Preventivo",AB58="Detectivo"),"Probabilidad",IF(AB58="Correctivo","Impacto",""))</f>
        <v/>
      </c>
      <c r="AB58" s="127"/>
      <c r="AC58" s="127"/>
      <c r="AD58" s="128" t="str">
        <f>IF(AND(AB58="Preventivo",AC58="Automático"),"50%",IF(AND(AB58="Preventivo",AC58="Manual"),"40%",IF(AND(AB58="Detectivo",AC58="Automático"),"40%",IF(AND(AB58="Detectivo",AC58="Manual"),"30%",IF(AND(AB58="Correctivo",AC58="Automático"),"35%",IF(AND(AB58="Correctivo",AC58="Manual"),"25%",""))))))</f>
        <v/>
      </c>
      <c r="AE58" s="127"/>
      <c r="AF58" s="127"/>
      <c r="AG58" s="127"/>
      <c r="AH58" s="129" t="str">
        <f>IFERROR(IF(AA58="Probabilidad",(P58-(+P58*AD58)),IF(AA58="Impacto",P58,"")),"")</f>
        <v/>
      </c>
      <c r="AI58" s="130" t="str">
        <f>IFERROR(IF(AH58="","",IF(AH58&lt;=0.2,"Muy Baja",IF(AH58&lt;=0.4,"Baja",IF(AH58&lt;=0.6,"Media",IF(AH58&lt;=0.8,"Alta","Muy Alta"))))),"")</f>
        <v/>
      </c>
      <c r="AJ58" s="128" t="str">
        <f>+AH58</f>
        <v/>
      </c>
      <c r="AK58" s="130" t="str">
        <f>IFERROR(IF(AL58="","",IF(AL58&lt;=0.2,"Leve",IF(AL58&lt;=0.4,"Menor",IF(AL58&lt;=0.6,"Moderado",IF(AL58&lt;=0.8,"Mayor","Catastrófico"))))),"")</f>
        <v/>
      </c>
      <c r="AL58" s="128" t="str">
        <f t="shared" ref="AL58" si="79">IFERROR(IF(AA58="Impacto",(T58-(+T58*AD58)),IF(AA58="Probabilidad",T58,"")),"")</f>
        <v/>
      </c>
      <c r="AM58" s="131" t="str">
        <f>IFERROR(IF(OR(AND(AI58="Muy Baja",AK58="Leve"),AND(AI58="Muy Baja",AK58="Menor"),AND(AI58="Baja",AK58="Leve")),"Bajo",IF(OR(AND(AI58="Muy baja",AK58="Moderado"),AND(AI58="Baja",AK58="Menor"),AND(AI58="Baja",AK58="Moderado"),AND(AI58="Media",AK58="Leve"),AND(AI58="Media",AK58="Menor"),AND(AI58="Media",AK58="Moderado"),AND(AI58="Alta",AK58="Leve"),AND(AI58="Alta",AK58="Menor")),"Moderado",IF(OR(AND(AI58="Muy Baja",AK58="Mayor"),AND(AI58="Baja",AK58="Mayor"),AND(AI58="Media",AK58="Mayor"),AND(AI58="Alta",AK58="Moderado"),AND(AI58="Alta",AK58="Mayor"),AND(AI58="Muy Alta",AK58="Leve"),AND(AI58="Muy Alta",AK58="Menor"),AND(AI58="Muy Alta",AK58="Moderado"),AND(AI58="Muy Alta",AK58="Mayor")),"Alto",IF(OR(AND(AI58="Muy Baja",AK58="Catastrófico"),AND(AI58="Baja",AK58="Catastrófico"),AND(AI58="Media",AK58="Catastrófico"),AND(AI58="Alta",AK58="Catastrófico"),AND(AI58="Muy Alta",AK58="Catastrófico")),"Extremo","")))),"")</f>
        <v/>
      </c>
      <c r="AN58" s="132"/>
      <c r="AO58" s="125"/>
      <c r="AP58" s="133"/>
      <c r="AQ58" s="133"/>
      <c r="AR58" s="134"/>
      <c r="AS58" s="416"/>
      <c r="AT58" s="416"/>
      <c r="AU58" s="416"/>
    </row>
    <row r="59" spans="1:47" hidden="1" x14ac:dyDescent="0.2">
      <c r="A59" s="398"/>
      <c r="B59" s="697"/>
      <c r="C59" s="400"/>
      <c r="D59" s="400"/>
      <c r="E59" s="400"/>
      <c r="F59" s="400"/>
      <c r="G59" s="401"/>
      <c r="H59" s="403"/>
      <c r="I59" s="157"/>
      <c r="J59" s="157"/>
      <c r="K59" s="157"/>
      <c r="L59" s="403"/>
      <c r="M59" s="403"/>
      <c r="N59" s="416"/>
      <c r="O59" s="417"/>
      <c r="P59" s="405"/>
      <c r="Q59" s="406"/>
      <c r="R59" s="405">
        <f>IF(NOT(ISERROR(MATCH(Q59,_xlfn.ANCHORARRAY(#REF!),0))),Q72&amp;"Por favor no seleccionar los criterios de impacto",Q59)</f>
        <v>0</v>
      </c>
      <c r="S59" s="417"/>
      <c r="T59" s="405"/>
      <c r="U59" s="418"/>
      <c r="V59" s="149">
        <v>2</v>
      </c>
      <c r="W59" s="149"/>
      <c r="X59" s="149"/>
      <c r="Y59" s="149"/>
      <c r="Z59" s="174" t="str">
        <f t="shared" si="1"/>
        <v xml:space="preserve">  </v>
      </c>
      <c r="AA59" s="126" t="str">
        <f>IF(OR(AB59="Preventivo",AB59="Detectivo"),"Probabilidad",IF(AB59="Correctivo","Impacto",""))</f>
        <v/>
      </c>
      <c r="AB59" s="127"/>
      <c r="AC59" s="127"/>
      <c r="AD59" s="128" t="str">
        <f t="shared" ref="AD59:AD63" si="80">IF(AND(AB59="Preventivo",AC59="Automático"),"50%",IF(AND(AB59="Preventivo",AC59="Manual"),"40%",IF(AND(AB59="Detectivo",AC59="Automático"),"40%",IF(AND(AB59="Detectivo",AC59="Manual"),"30%",IF(AND(AB59="Correctivo",AC59="Automático"),"35%",IF(AND(AB59="Correctivo",AC59="Manual"),"25%",""))))))</f>
        <v/>
      </c>
      <c r="AE59" s="127"/>
      <c r="AF59" s="127"/>
      <c r="AG59" s="127"/>
      <c r="AH59" s="129" t="str">
        <f>IFERROR(IF(AND(AA58="Probabilidad",AA59="Probabilidad"),(AJ58-(+AJ58*AD59)),IF(AA59="Probabilidad",(P58-(+P58*AD59)),IF(AA59="Impacto",AJ58,""))),"")</f>
        <v/>
      </c>
      <c r="AI59" s="130" t="str">
        <f t="shared" si="3"/>
        <v/>
      </c>
      <c r="AJ59" s="128" t="str">
        <f t="shared" ref="AJ59:AJ63" si="81">+AH59</f>
        <v/>
      </c>
      <c r="AK59" s="130" t="str">
        <f t="shared" si="5"/>
        <v/>
      </c>
      <c r="AL59" s="128" t="str">
        <f t="shared" ref="AL59" si="82">IFERROR(IF(AND(AA58="Impacto",AA59="Impacto"),(AL58-(+AL58*AD59)),IF(AA59="Impacto",($T$10-(+$T$10*AD59)),IF(AA59="Probabilidad",AL58,""))),"")</f>
        <v/>
      </c>
      <c r="AM59" s="131" t="str">
        <f t="shared" ref="AM59:AM60" si="83">IFERROR(IF(OR(AND(AI59="Muy Baja",AK59="Leve"),AND(AI59="Muy Baja",AK59="Menor"),AND(AI59="Baja",AK59="Leve")),"Bajo",IF(OR(AND(AI59="Muy baja",AK59="Moderado"),AND(AI59="Baja",AK59="Menor"),AND(AI59="Baja",AK59="Moderado"),AND(AI59="Media",AK59="Leve"),AND(AI59="Media",AK59="Menor"),AND(AI59="Media",AK59="Moderado"),AND(AI59="Alta",AK59="Leve"),AND(AI59="Alta",AK59="Menor")),"Moderado",IF(OR(AND(AI59="Muy Baja",AK59="Mayor"),AND(AI59="Baja",AK59="Mayor"),AND(AI59="Media",AK59="Mayor"),AND(AI59="Alta",AK59="Moderado"),AND(AI59="Alta",AK59="Mayor"),AND(AI59="Muy Alta",AK59="Leve"),AND(AI59="Muy Alta",AK59="Menor"),AND(AI59="Muy Alta",AK59="Moderado"),AND(AI59="Muy Alta",AK59="Mayor")),"Alto",IF(OR(AND(AI59="Muy Baja",AK59="Catastrófico"),AND(AI59="Baja",AK59="Catastrófico"),AND(AI59="Media",AK59="Catastrófico"),AND(AI59="Alta",AK59="Catastrófico"),AND(AI59="Muy Alta",AK59="Catastrófico")),"Extremo","")))),"")</f>
        <v/>
      </c>
      <c r="AN59" s="132"/>
      <c r="AO59" s="125"/>
      <c r="AP59" s="133"/>
      <c r="AQ59" s="133"/>
      <c r="AR59" s="134"/>
      <c r="AS59" s="416"/>
      <c r="AT59" s="416"/>
      <c r="AU59" s="416"/>
    </row>
    <row r="60" spans="1:47" hidden="1" x14ac:dyDescent="0.2">
      <c r="A60" s="398"/>
      <c r="B60" s="697"/>
      <c r="C60" s="400"/>
      <c r="D60" s="400"/>
      <c r="E60" s="400"/>
      <c r="F60" s="400"/>
      <c r="G60" s="401"/>
      <c r="H60" s="403"/>
      <c r="I60" s="157"/>
      <c r="J60" s="157"/>
      <c r="K60" s="157"/>
      <c r="L60" s="403"/>
      <c r="M60" s="403"/>
      <c r="N60" s="416"/>
      <c r="O60" s="417"/>
      <c r="P60" s="405"/>
      <c r="Q60" s="406"/>
      <c r="R60" s="405">
        <f>IF(NOT(ISERROR(MATCH(Q60,_xlfn.ANCHORARRAY(#REF!),0))),Q73&amp;"Por favor no seleccionar los criterios de impacto",Q60)</f>
        <v>0</v>
      </c>
      <c r="S60" s="417"/>
      <c r="T60" s="405"/>
      <c r="U60" s="418"/>
      <c r="V60" s="149">
        <v>3</v>
      </c>
      <c r="W60" s="149"/>
      <c r="X60" s="149"/>
      <c r="Y60" s="149"/>
      <c r="Z60" s="174" t="str">
        <f t="shared" si="1"/>
        <v xml:space="preserve">  </v>
      </c>
      <c r="AA60" s="126" t="str">
        <f>IF(OR(AB60="Preventivo",AB60="Detectivo"),"Probabilidad",IF(AB60="Correctivo","Impacto",""))</f>
        <v/>
      </c>
      <c r="AB60" s="127"/>
      <c r="AC60" s="127"/>
      <c r="AD60" s="128" t="str">
        <f t="shared" si="80"/>
        <v/>
      </c>
      <c r="AE60" s="127"/>
      <c r="AF60" s="127"/>
      <c r="AG60" s="127"/>
      <c r="AH60" s="129" t="str">
        <f>IFERROR(IF(AND(AA59="Probabilidad",AA60="Probabilidad"),(AJ59-(+AJ59*AD60)),IF(AND(AA59="Impacto",AA60="Probabilidad"),(AJ58-(+AJ58*AD60)),IF(AA60="Impacto",AJ59,""))),"")</f>
        <v/>
      </c>
      <c r="AI60" s="130" t="str">
        <f t="shared" si="3"/>
        <v/>
      </c>
      <c r="AJ60" s="128" t="str">
        <f t="shared" si="81"/>
        <v/>
      </c>
      <c r="AK60" s="130" t="str">
        <f t="shared" si="5"/>
        <v/>
      </c>
      <c r="AL60" s="128" t="str">
        <f t="shared" ref="AL60" si="84">IFERROR(IF(AND(AA59="Impacto",AA60="Impacto"),(AL59-(+AL59*AD60)),IF(AND(AA59="Probabilidad",AA60="Impacto"),(AL58-(+AL58*AD60)),IF(AA60="Probabilidad",AL59,""))),"")</f>
        <v/>
      </c>
      <c r="AM60" s="131" t="str">
        <f t="shared" si="83"/>
        <v/>
      </c>
      <c r="AN60" s="132"/>
      <c r="AO60" s="125"/>
      <c r="AP60" s="133"/>
      <c r="AQ60" s="133"/>
      <c r="AR60" s="134"/>
      <c r="AS60" s="416"/>
      <c r="AT60" s="416"/>
      <c r="AU60" s="416"/>
    </row>
    <row r="61" spans="1:47" hidden="1" x14ac:dyDescent="0.2">
      <c r="A61" s="398"/>
      <c r="B61" s="697"/>
      <c r="C61" s="400"/>
      <c r="D61" s="400"/>
      <c r="E61" s="400"/>
      <c r="F61" s="400"/>
      <c r="G61" s="401"/>
      <c r="H61" s="403"/>
      <c r="I61" s="157"/>
      <c r="J61" s="157"/>
      <c r="K61" s="157"/>
      <c r="L61" s="403"/>
      <c r="M61" s="403"/>
      <c r="N61" s="416"/>
      <c r="O61" s="417"/>
      <c r="P61" s="405"/>
      <c r="Q61" s="406"/>
      <c r="R61" s="405">
        <f>IF(NOT(ISERROR(MATCH(Q61,_xlfn.ANCHORARRAY(#REF!),0))),Q74&amp;"Por favor no seleccionar los criterios de impacto",Q61)</f>
        <v>0</v>
      </c>
      <c r="S61" s="417"/>
      <c r="T61" s="405"/>
      <c r="U61" s="418"/>
      <c r="V61" s="149">
        <v>4</v>
      </c>
      <c r="W61" s="149"/>
      <c r="X61" s="149"/>
      <c r="Y61" s="149"/>
      <c r="Z61" s="174" t="str">
        <f t="shared" si="1"/>
        <v xml:space="preserve">  </v>
      </c>
      <c r="AA61" s="126" t="str">
        <f t="shared" ref="AA61:AA63" si="85">IF(OR(AB61="Preventivo",AB61="Detectivo"),"Probabilidad",IF(AB61="Correctivo","Impacto",""))</f>
        <v/>
      </c>
      <c r="AB61" s="127"/>
      <c r="AC61" s="127"/>
      <c r="AD61" s="128" t="str">
        <f t="shared" si="80"/>
        <v/>
      </c>
      <c r="AE61" s="127"/>
      <c r="AF61" s="127"/>
      <c r="AG61" s="127"/>
      <c r="AH61" s="129" t="str">
        <f t="shared" ref="AH61:AH63" si="86">IFERROR(IF(AND(AA60="Probabilidad",AA61="Probabilidad"),(AJ60-(+AJ60*AD61)),IF(AND(AA60="Impacto",AA61="Probabilidad"),(AJ59-(+AJ59*AD61)),IF(AA61="Impacto",AJ60,""))),"")</f>
        <v/>
      </c>
      <c r="AI61" s="130" t="str">
        <f t="shared" si="3"/>
        <v/>
      </c>
      <c r="AJ61" s="128" t="str">
        <f t="shared" si="81"/>
        <v/>
      </c>
      <c r="AK61" s="130" t="str">
        <f t="shared" si="5"/>
        <v/>
      </c>
      <c r="AL61" s="128" t="str">
        <f t="shared" si="26"/>
        <v/>
      </c>
      <c r="AM61" s="131" t="str">
        <f>IFERROR(IF(OR(AND(AI61="Muy Baja",AK61="Leve"),AND(AI61="Muy Baja",AK61="Menor"),AND(AI61="Baja",AK61="Leve")),"Bajo",IF(OR(AND(AI61="Muy baja",AK61="Moderado"),AND(AI61="Baja",AK61="Menor"),AND(AI61="Baja",AK61="Moderado"),AND(AI61="Media",AK61="Leve"),AND(AI61="Media",AK61="Menor"),AND(AI61="Media",AK61="Moderado"),AND(AI61="Alta",AK61="Leve"),AND(AI61="Alta",AK61="Menor")),"Moderado",IF(OR(AND(AI61="Muy Baja",AK61="Mayor"),AND(AI61="Baja",AK61="Mayor"),AND(AI61="Media",AK61="Mayor"),AND(AI61="Alta",AK61="Moderado"),AND(AI61="Alta",AK61="Mayor"),AND(AI61="Muy Alta",AK61="Leve"),AND(AI61="Muy Alta",AK61="Menor"),AND(AI61="Muy Alta",AK61="Moderado"),AND(AI61="Muy Alta",AK61="Mayor")),"Alto",IF(OR(AND(AI61="Muy Baja",AK61="Catastrófico"),AND(AI61="Baja",AK61="Catastrófico"),AND(AI61="Media",AK61="Catastrófico"),AND(AI61="Alta",AK61="Catastrófico"),AND(AI61="Muy Alta",AK61="Catastrófico")),"Extremo","")))),"")</f>
        <v/>
      </c>
      <c r="AN61" s="132"/>
      <c r="AO61" s="125"/>
      <c r="AP61" s="133"/>
      <c r="AQ61" s="133"/>
      <c r="AR61" s="134"/>
      <c r="AS61" s="416"/>
      <c r="AT61" s="416"/>
      <c r="AU61" s="416"/>
    </row>
    <row r="62" spans="1:47" hidden="1" x14ac:dyDescent="0.2">
      <c r="A62" s="398"/>
      <c r="B62" s="697"/>
      <c r="C62" s="400"/>
      <c r="D62" s="400"/>
      <c r="E62" s="400"/>
      <c r="F62" s="400"/>
      <c r="G62" s="401"/>
      <c r="H62" s="403"/>
      <c r="I62" s="157"/>
      <c r="J62" s="157"/>
      <c r="K62" s="157"/>
      <c r="L62" s="403"/>
      <c r="M62" s="403"/>
      <c r="N62" s="416"/>
      <c r="O62" s="417"/>
      <c r="P62" s="405"/>
      <c r="Q62" s="406"/>
      <c r="R62" s="405">
        <f>IF(NOT(ISERROR(MATCH(Q62,_xlfn.ANCHORARRAY(#REF!),0))),Q75&amp;"Por favor no seleccionar los criterios de impacto",Q62)</f>
        <v>0</v>
      </c>
      <c r="S62" s="417"/>
      <c r="T62" s="405"/>
      <c r="U62" s="418"/>
      <c r="V62" s="149">
        <v>5</v>
      </c>
      <c r="W62" s="149"/>
      <c r="X62" s="149"/>
      <c r="Y62" s="149"/>
      <c r="Z62" s="174" t="str">
        <f t="shared" si="1"/>
        <v xml:space="preserve">  </v>
      </c>
      <c r="AA62" s="126" t="str">
        <f t="shared" si="85"/>
        <v/>
      </c>
      <c r="AB62" s="127"/>
      <c r="AC62" s="127"/>
      <c r="AD62" s="128" t="str">
        <f t="shared" si="80"/>
        <v/>
      </c>
      <c r="AE62" s="127"/>
      <c r="AF62" s="127"/>
      <c r="AG62" s="127"/>
      <c r="AH62" s="129" t="str">
        <f t="shared" si="86"/>
        <v/>
      </c>
      <c r="AI62" s="130" t="str">
        <f t="shared" si="3"/>
        <v/>
      </c>
      <c r="AJ62" s="128" t="str">
        <f t="shared" si="81"/>
        <v/>
      </c>
      <c r="AK62" s="130" t="str">
        <f t="shared" si="5"/>
        <v/>
      </c>
      <c r="AL62" s="128" t="str">
        <f t="shared" si="26"/>
        <v/>
      </c>
      <c r="AM62" s="131" t="str">
        <f t="shared" ref="AM62:AM63" si="87">IFERROR(IF(OR(AND(AI62="Muy Baja",AK62="Leve"),AND(AI62="Muy Baja",AK62="Menor"),AND(AI62="Baja",AK62="Leve")),"Bajo",IF(OR(AND(AI62="Muy baja",AK62="Moderado"),AND(AI62="Baja",AK62="Menor"),AND(AI62="Baja",AK62="Moderado"),AND(AI62="Media",AK62="Leve"),AND(AI62="Media",AK62="Menor"),AND(AI62="Media",AK62="Moderado"),AND(AI62="Alta",AK62="Leve"),AND(AI62="Alta",AK62="Menor")),"Moderado",IF(OR(AND(AI62="Muy Baja",AK62="Mayor"),AND(AI62="Baja",AK62="Mayor"),AND(AI62="Media",AK62="Mayor"),AND(AI62="Alta",AK62="Moderado"),AND(AI62="Alta",AK62="Mayor"),AND(AI62="Muy Alta",AK62="Leve"),AND(AI62="Muy Alta",AK62="Menor"),AND(AI62="Muy Alta",AK62="Moderado"),AND(AI62="Muy Alta",AK62="Mayor")),"Alto",IF(OR(AND(AI62="Muy Baja",AK62="Catastrófico"),AND(AI62="Baja",AK62="Catastrófico"),AND(AI62="Media",AK62="Catastrófico"),AND(AI62="Alta",AK62="Catastrófico"),AND(AI62="Muy Alta",AK62="Catastrófico")),"Extremo","")))),"")</f>
        <v/>
      </c>
      <c r="AN62" s="132"/>
      <c r="AO62" s="125"/>
      <c r="AP62" s="133"/>
      <c r="AQ62" s="133"/>
      <c r="AR62" s="134"/>
      <c r="AS62" s="416"/>
      <c r="AT62" s="416"/>
      <c r="AU62" s="416"/>
    </row>
    <row r="63" spans="1:47" hidden="1" x14ac:dyDescent="0.2">
      <c r="A63" s="398"/>
      <c r="B63" s="697"/>
      <c r="C63" s="400"/>
      <c r="D63" s="400"/>
      <c r="E63" s="400"/>
      <c r="F63" s="400"/>
      <c r="G63" s="401"/>
      <c r="H63" s="404"/>
      <c r="I63" s="158"/>
      <c r="J63" s="158"/>
      <c r="K63" s="158"/>
      <c r="L63" s="404"/>
      <c r="M63" s="404"/>
      <c r="N63" s="416"/>
      <c r="O63" s="417"/>
      <c r="P63" s="405"/>
      <c r="Q63" s="406"/>
      <c r="R63" s="405">
        <f>IF(NOT(ISERROR(MATCH(Q63,_xlfn.ANCHORARRAY(#REF!),0))),Q76&amp;"Por favor no seleccionar los criterios de impacto",Q63)</f>
        <v>0</v>
      </c>
      <c r="S63" s="417"/>
      <c r="T63" s="405"/>
      <c r="U63" s="418"/>
      <c r="V63" s="149">
        <v>6</v>
      </c>
      <c r="W63" s="149"/>
      <c r="X63" s="149"/>
      <c r="Y63" s="149"/>
      <c r="Z63" s="174" t="str">
        <f t="shared" si="1"/>
        <v xml:space="preserve">  </v>
      </c>
      <c r="AA63" s="126" t="str">
        <f t="shared" si="85"/>
        <v/>
      </c>
      <c r="AB63" s="127"/>
      <c r="AC63" s="127"/>
      <c r="AD63" s="128" t="str">
        <f t="shared" si="80"/>
        <v/>
      </c>
      <c r="AE63" s="127"/>
      <c r="AF63" s="127"/>
      <c r="AG63" s="127"/>
      <c r="AH63" s="129" t="str">
        <f t="shared" si="86"/>
        <v/>
      </c>
      <c r="AI63" s="130" t="str">
        <f t="shared" si="3"/>
        <v/>
      </c>
      <c r="AJ63" s="128" t="str">
        <f t="shared" si="81"/>
        <v/>
      </c>
      <c r="AK63" s="130" t="str">
        <f t="shared" si="5"/>
        <v/>
      </c>
      <c r="AL63" s="128" t="str">
        <f t="shared" si="26"/>
        <v/>
      </c>
      <c r="AM63" s="131" t="str">
        <f t="shared" si="87"/>
        <v/>
      </c>
      <c r="AN63" s="132"/>
      <c r="AO63" s="125"/>
      <c r="AP63" s="133"/>
      <c r="AQ63" s="133"/>
      <c r="AR63" s="134"/>
      <c r="AS63" s="416"/>
      <c r="AT63" s="416"/>
      <c r="AU63" s="416"/>
    </row>
    <row r="64" spans="1:47" hidden="1" x14ac:dyDescent="0.2">
      <c r="A64" s="398">
        <v>10</v>
      </c>
      <c r="B64" s="697"/>
      <c r="C64" s="400"/>
      <c r="D64" s="400"/>
      <c r="E64" s="400"/>
      <c r="F64" s="400"/>
      <c r="G64" s="401" t="str">
        <f t="shared" ref="G64" si="88">+CONCATENATE(C64," ",D64," ",E64)</f>
        <v xml:space="preserve">  </v>
      </c>
      <c r="H64" s="402"/>
      <c r="I64" s="156"/>
      <c r="J64" s="156"/>
      <c r="K64" s="156"/>
      <c r="L64" s="402"/>
      <c r="M64" s="402"/>
      <c r="N64" s="416"/>
      <c r="O64" s="417" t="str">
        <f>IF(N64&lt;=0,"",IF(N64&lt;=2,"Muy Baja",IF(N64&lt;=24,"Baja",IF(N64&lt;=500,"Media",IF(N64&lt;=5000,"Alta","Muy Alta")))))</f>
        <v/>
      </c>
      <c r="P64" s="405" t="str">
        <f>IF(O64="","",IF(O64="Muy Baja",0.2,IF(O64="Baja",0.4,IF(O64="Media",0.6,IF(O64="Alta",0.8,IF(O64="Muy Alta",1,))))))</f>
        <v/>
      </c>
      <c r="Q64" s="406"/>
      <c r="R64" s="405">
        <f>IF(NOT(ISERROR(MATCH(Q64,'[3]Tabla Impacto'!$B$245:$B$247,0))),'[3]Tabla Impacto'!$F$224&amp;"Por favor no seleccionar los criterios de impacto(Afectación Económica o presupuestal y Pérdida Reputacional)",Q64)</f>
        <v>0</v>
      </c>
      <c r="S64" s="417" t="str">
        <f>IF(OR(R64='[3]Tabla Impacto'!$C$12,R64='[3]Tabla Impacto'!$D$12),"Leve",IF(OR(R64='[3]Tabla Impacto'!$C$13,R64='[3]Tabla Impacto'!$D$13),"Menor",IF(OR(R64='[3]Tabla Impacto'!$C$14,R64='[3]Tabla Impacto'!$D$14),"Moderado",IF(OR(R64='[3]Tabla Impacto'!$C$15,R64='[3]Tabla Impacto'!$D$15),"Mayor",IF(OR(R64='[3]Tabla Impacto'!$C$16,R64='[3]Tabla Impacto'!$D$16),"Catastrófico","")))))</f>
        <v/>
      </c>
      <c r="T64" s="405" t="str">
        <f>IF(S64="","",IF(S64="Leve",0.2,IF(S64="Menor",0.4,IF(S64="Moderado",0.6,IF(S64="Mayor",0.8,IF(S64="Catastrófico",1,))))))</f>
        <v/>
      </c>
      <c r="U64" s="418" t="str">
        <f>IF(OR(AND(O64="Muy Baja",S64="Leve"),AND(O64="Muy Baja",S64="Menor"),AND(O64="Baja",S64="Leve")),"Bajo",IF(OR(AND(O64="Muy baja",S64="Moderado"),AND(O64="Baja",S64="Menor"),AND(O64="Baja",S64="Moderado"),AND(O64="Media",S64="Leve"),AND(O64="Media",S64="Menor"),AND(O64="Media",S64="Moderado"),AND(O64="Alta",S64="Leve"),AND(O64="Alta",S64="Menor")),"Moderado",IF(OR(AND(O64="Muy Baja",S64="Mayor"),AND(O64="Baja",S64="Mayor"),AND(O64="Media",S64="Mayor"),AND(O64="Alta",S64="Moderado"),AND(O64="Alta",S64="Mayor"),AND(O64="Muy Alta",S64="Leve"),AND(O64="Muy Alta",S64="Menor"),AND(O64="Muy Alta",S64="Moderado"),AND(O64="Muy Alta",S64="Mayor")),"Alto",IF(OR(AND(O64="Muy Baja",S64="Catastrófico"),AND(O64="Baja",S64="Catastrófico"),AND(O64="Media",S64="Catastrófico"),AND(O64="Alta",S64="Catastrófico"),AND(O64="Muy Alta",S64="Catastrófico")),"Extremo",""))))</f>
        <v/>
      </c>
      <c r="V64" s="149">
        <v>1</v>
      </c>
      <c r="W64" s="149"/>
      <c r="X64" s="149"/>
      <c r="Y64" s="149"/>
      <c r="Z64" s="174" t="str">
        <f t="shared" si="1"/>
        <v xml:space="preserve">  </v>
      </c>
      <c r="AA64" s="126" t="str">
        <f>IF(OR(AB64="Preventivo",AB64="Detectivo"),"Probabilidad",IF(AB64="Correctivo","Impacto",""))</f>
        <v/>
      </c>
      <c r="AB64" s="127"/>
      <c r="AC64" s="127"/>
      <c r="AD64" s="128" t="str">
        <f>IF(AND(AB64="Preventivo",AC64="Automático"),"50%",IF(AND(AB64="Preventivo",AC64="Manual"),"40%",IF(AND(AB64="Detectivo",AC64="Automático"),"40%",IF(AND(AB64="Detectivo",AC64="Manual"),"30%",IF(AND(AB64="Correctivo",AC64="Automático"),"35%",IF(AND(AB64="Correctivo",AC64="Manual"),"25%",""))))))</f>
        <v/>
      </c>
      <c r="AE64" s="127"/>
      <c r="AF64" s="127"/>
      <c r="AG64" s="127"/>
      <c r="AH64" s="129" t="str">
        <f>IFERROR(IF(AA64="Probabilidad",(P64-(+P64*AD64)),IF(AA64="Impacto",P64,"")),"")</f>
        <v/>
      </c>
      <c r="AI64" s="130" t="str">
        <f>IFERROR(IF(AH64="","",IF(AH64&lt;=0.2,"Muy Baja",IF(AH64&lt;=0.4,"Baja",IF(AH64&lt;=0.6,"Media",IF(AH64&lt;=0.8,"Alta","Muy Alta"))))),"")</f>
        <v/>
      </c>
      <c r="AJ64" s="128" t="str">
        <f>+AH64</f>
        <v/>
      </c>
      <c r="AK64" s="130" t="str">
        <f>IFERROR(IF(AL64="","",IF(AL64&lt;=0.2,"Leve",IF(AL64&lt;=0.4,"Menor",IF(AL64&lt;=0.6,"Moderado",IF(AL64&lt;=0.8,"Mayor","Catastrófico"))))),"")</f>
        <v/>
      </c>
      <c r="AL64" s="128" t="str">
        <f t="shared" ref="AL64" si="89">IFERROR(IF(AA64="Impacto",(T64-(+T64*AD64)),IF(AA64="Probabilidad",T64,"")),"")</f>
        <v/>
      </c>
      <c r="AM64" s="131" t="str">
        <f>IFERROR(IF(OR(AND(AI64="Muy Baja",AK64="Leve"),AND(AI64="Muy Baja",AK64="Menor"),AND(AI64="Baja",AK64="Leve")),"Bajo",IF(OR(AND(AI64="Muy baja",AK64="Moderado"),AND(AI64="Baja",AK64="Menor"),AND(AI64="Baja",AK64="Moderado"),AND(AI64="Media",AK64="Leve"),AND(AI64="Media",AK64="Menor"),AND(AI64="Media",AK64="Moderado"),AND(AI64="Alta",AK64="Leve"),AND(AI64="Alta",AK64="Menor")),"Moderado",IF(OR(AND(AI64="Muy Baja",AK64="Mayor"),AND(AI64="Baja",AK64="Mayor"),AND(AI64="Media",AK64="Mayor"),AND(AI64="Alta",AK64="Moderado"),AND(AI64="Alta",AK64="Mayor"),AND(AI64="Muy Alta",AK64="Leve"),AND(AI64="Muy Alta",AK64="Menor"),AND(AI64="Muy Alta",AK64="Moderado"),AND(AI64="Muy Alta",AK64="Mayor")),"Alto",IF(OR(AND(AI64="Muy Baja",AK64="Catastrófico"),AND(AI64="Baja",AK64="Catastrófico"),AND(AI64="Media",AK64="Catastrófico"),AND(AI64="Alta",AK64="Catastrófico"),AND(AI64="Muy Alta",AK64="Catastrófico")),"Extremo","")))),"")</f>
        <v/>
      </c>
      <c r="AN64" s="132"/>
      <c r="AO64" s="125"/>
      <c r="AP64" s="133"/>
      <c r="AQ64" s="133"/>
      <c r="AR64" s="134"/>
      <c r="AS64" s="416"/>
      <c r="AT64" s="416"/>
      <c r="AU64" s="416"/>
    </row>
    <row r="65" spans="1:47" hidden="1" x14ac:dyDescent="0.2">
      <c r="A65" s="398"/>
      <c r="B65" s="697"/>
      <c r="C65" s="400"/>
      <c r="D65" s="400"/>
      <c r="E65" s="400"/>
      <c r="F65" s="400"/>
      <c r="G65" s="401"/>
      <c r="H65" s="403"/>
      <c r="I65" s="157"/>
      <c r="J65" s="157"/>
      <c r="K65" s="157"/>
      <c r="L65" s="403"/>
      <c r="M65" s="403"/>
      <c r="N65" s="416"/>
      <c r="O65" s="417"/>
      <c r="P65" s="405"/>
      <c r="Q65" s="406"/>
      <c r="R65" s="405">
        <f>IF(NOT(ISERROR(MATCH(Q65,_xlfn.ANCHORARRAY(#REF!),0))),Q78&amp;"Por favor no seleccionar los criterios de impacto",Q65)</f>
        <v>0</v>
      </c>
      <c r="S65" s="417"/>
      <c r="T65" s="405"/>
      <c r="U65" s="418"/>
      <c r="V65" s="149">
        <v>2</v>
      </c>
      <c r="W65" s="149"/>
      <c r="X65" s="149"/>
      <c r="Y65" s="149"/>
      <c r="Z65" s="174" t="str">
        <f t="shared" si="1"/>
        <v xml:space="preserve">  </v>
      </c>
      <c r="AA65" s="126" t="str">
        <f>IF(OR(AB65="Preventivo",AB65="Detectivo"),"Probabilidad",IF(AB65="Correctivo","Impacto",""))</f>
        <v/>
      </c>
      <c r="AB65" s="127"/>
      <c r="AC65" s="127"/>
      <c r="AD65" s="128" t="str">
        <f t="shared" ref="AD65:AD69" si="90">IF(AND(AB65="Preventivo",AC65="Automático"),"50%",IF(AND(AB65="Preventivo",AC65="Manual"),"40%",IF(AND(AB65="Detectivo",AC65="Automático"),"40%",IF(AND(AB65="Detectivo",AC65="Manual"),"30%",IF(AND(AB65="Correctivo",AC65="Automático"),"35%",IF(AND(AB65="Correctivo",AC65="Manual"),"25%",""))))))</f>
        <v/>
      </c>
      <c r="AE65" s="127"/>
      <c r="AF65" s="127"/>
      <c r="AG65" s="127"/>
      <c r="AH65" s="129" t="str">
        <f>IFERROR(IF(AND(AA64="Probabilidad",AA65="Probabilidad"),(AJ64-(+AJ64*AD65)),IF(AA65="Probabilidad",(P64-(+P64*AD65)),IF(AA65="Impacto",AJ64,""))),"")</f>
        <v/>
      </c>
      <c r="AI65" s="130" t="str">
        <f t="shared" si="3"/>
        <v/>
      </c>
      <c r="AJ65" s="128" t="str">
        <f t="shared" ref="AJ65:AJ69" si="91">+AH65</f>
        <v/>
      </c>
      <c r="AK65" s="130" t="str">
        <f t="shared" si="5"/>
        <v/>
      </c>
      <c r="AL65" s="128" t="str">
        <f t="shared" ref="AL65" si="92">IFERROR(IF(AND(AA64="Impacto",AA65="Impacto"),(AL64-(+AL64*AD65)),IF(AA65="Impacto",($T$10-(+$T$10*AD65)),IF(AA65="Probabilidad",AL64,""))),"")</f>
        <v/>
      </c>
      <c r="AM65" s="131" t="str">
        <f t="shared" ref="AM65:AM66" si="93">IFERROR(IF(OR(AND(AI65="Muy Baja",AK65="Leve"),AND(AI65="Muy Baja",AK65="Menor"),AND(AI65="Baja",AK65="Leve")),"Bajo",IF(OR(AND(AI65="Muy baja",AK65="Moderado"),AND(AI65="Baja",AK65="Menor"),AND(AI65="Baja",AK65="Moderado"),AND(AI65="Media",AK65="Leve"),AND(AI65="Media",AK65="Menor"),AND(AI65="Media",AK65="Moderado"),AND(AI65="Alta",AK65="Leve"),AND(AI65="Alta",AK65="Menor")),"Moderado",IF(OR(AND(AI65="Muy Baja",AK65="Mayor"),AND(AI65="Baja",AK65="Mayor"),AND(AI65="Media",AK65="Mayor"),AND(AI65="Alta",AK65="Moderado"),AND(AI65="Alta",AK65="Mayor"),AND(AI65="Muy Alta",AK65="Leve"),AND(AI65="Muy Alta",AK65="Menor"),AND(AI65="Muy Alta",AK65="Moderado"),AND(AI65="Muy Alta",AK65="Mayor")),"Alto",IF(OR(AND(AI65="Muy Baja",AK65="Catastrófico"),AND(AI65="Baja",AK65="Catastrófico"),AND(AI65="Media",AK65="Catastrófico"),AND(AI65="Alta",AK65="Catastrófico"),AND(AI65="Muy Alta",AK65="Catastrófico")),"Extremo","")))),"")</f>
        <v/>
      </c>
      <c r="AN65" s="132"/>
      <c r="AO65" s="125"/>
      <c r="AP65" s="133"/>
      <c r="AQ65" s="133"/>
      <c r="AR65" s="134"/>
      <c r="AS65" s="416"/>
      <c r="AT65" s="416"/>
      <c r="AU65" s="416"/>
    </row>
    <row r="66" spans="1:47" hidden="1" x14ac:dyDescent="0.2">
      <c r="A66" s="398"/>
      <c r="B66" s="697"/>
      <c r="C66" s="400"/>
      <c r="D66" s="400"/>
      <c r="E66" s="400"/>
      <c r="F66" s="400"/>
      <c r="G66" s="401"/>
      <c r="H66" s="403"/>
      <c r="I66" s="157"/>
      <c r="J66" s="157"/>
      <c r="K66" s="157"/>
      <c r="L66" s="403"/>
      <c r="M66" s="403"/>
      <c r="N66" s="416"/>
      <c r="O66" s="417"/>
      <c r="P66" s="405"/>
      <c r="Q66" s="406"/>
      <c r="R66" s="405">
        <f>IF(NOT(ISERROR(MATCH(Q66,_xlfn.ANCHORARRAY(#REF!),0))),Q79&amp;"Por favor no seleccionar los criterios de impacto",Q66)</f>
        <v>0</v>
      </c>
      <c r="S66" s="417"/>
      <c r="T66" s="405"/>
      <c r="U66" s="418"/>
      <c r="V66" s="149">
        <v>3</v>
      </c>
      <c r="W66" s="149"/>
      <c r="X66" s="149"/>
      <c r="Y66" s="149"/>
      <c r="Z66" s="174" t="str">
        <f t="shared" si="1"/>
        <v xml:space="preserve">  </v>
      </c>
      <c r="AA66" s="126" t="str">
        <f>IF(OR(AB66="Preventivo",AB66="Detectivo"),"Probabilidad",IF(AB66="Correctivo","Impacto",""))</f>
        <v/>
      </c>
      <c r="AB66" s="127"/>
      <c r="AC66" s="127"/>
      <c r="AD66" s="128" t="str">
        <f t="shared" si="90"/>
        <v/>
      </c>
      <c r="AE66" s="127"/>
      <c r="AF66" s="127"/>
      <c r="AG66" s="127"/>
      <c r="AH66" s="129" t="str">
        <f>IFERROR(IF(AND(AA65="Probabilidad",AA66="Probabilidad"),(AJ65-(+AJ65*AD66)),IF(AND(AA65="Impacto",AA66="Probabilidad"),(AJ64-(+AJ64*AD66)),IF(AA66="Impacto",AJ65,""))),"")</f>
        <v/>
      </c>
      <c r="AI66" s="130" t="str">
        <f t="shared" si="3"/>
        <v/>
      </c>
      <c r="AJ66" s="128" t="str">
        <f t="shared" si="91"/>
        <v/>
      </c>
      <c r="AK66" s="130" t="str">
        <f t="shared" si="5"/>
        <v/>
      </c>
      <c r="AL66" s="128" t="str">
        <f t="shared" ref="AL66" si="94">IFERROR(IF(AND(AA65="Impacto",AA66="Impacto"),(AL65-(+AL65*AD66)),IF(AND(AA65="Probabilidad",AA66="Impacto"),(AL64-(+AL64*AD66)),IF(AA66="Probabilidad",AL65,""))),"")</f>
        <v/>
      </c>
      <c r="AM66" s="131" t="str">
        <f t="shared" si="93"/>
        <v/>
      </c>
      <c r="AN66" s="132"/>
      <c r="AO66" s="125"/>
      <c r="AP66" s="133"/>
      <c r="AQ66" s="133"/>
      <c r="AR66" s="134"/>
      <c r="AS66" s="416"/>
      <c r="AT66" s="416"/>
      <c r="AU66" s="416"/>
    </row>
    <row r="67" spans="1:47" hidden="1" x14ac:dyDescent="0.2">
      <c r="A67" s="398"/>
      <c r="B67" s="697"/>
      <c r="C67" s="400"/>
      <c r="D67" s="400"/>
      <c r="E67" s="400"/>
      <c r="F67" s="400"/>
      <c r="G67" s="401"/>
      <c r="H67" s="403"/>
      <c r="I67" s="157"/>
      <c r="J67" s="157"/>
      <c r="K67" s="157"/>
      <c r="L67" s="403"/>
      <c r="M67" s="403"/>
      <c r="N67" s="416"/>
      <c r="O67" s="417"/>
      <c r="P67" s="405"/>
      <c r="Q67" s="406"/>
      <c r="R67" s="405">
        <f>IF(NOT(ISERROR(MATCH(Q67,_xlfn.ANCHORARRAY(#REF!),0))),Q80&amp;"Por favor no seleccionar los criterios de impacto",Q67)</f>
        <v>0</v>
      </c>
      <c r="S67" s="417"/>
      <c r="T67" s="405"/>
      <c r="U67" s="418"/>
      <c r="V67" s="149">
        <v>4</v>
      </c>
      <c r="W67" s="149"/>
      <c r="X67" s="149"/>
      <c r="Y67" s="149"/>
      <c r="Z67" s="174" t="str">
        <f t="shared" si="1"/>
        <v xml:space="preserve">  </v>
      </c>
      <c r="AA67" s="126" t="str">
        <f t="shared" ref="AA67:AA69" si="95">IF(OR(AB67="Preventivo",AB67="Detectivo"),"Probabilidad",IF(AB67="Correctivo","Impacto",""))</f>
        <v/>
      </c>
      <c r="AB67" s="127"/>
      <c r="AC67" s="127"/>
      <c r="AD67" s="128" t="str">
        <f t="shared" si="90"/>
        <v/>
      </c>
      <c r="AE67" s="127"/>
      <c r="AF67" s="127"/>
      <c r="AG67" s="127"/>
      <c r="AH67" s="129" t="str">
        <f t="shared" ref="AH67:AH69" si="96">IFERROR(IF(AND(AA66="Probabilidad",AA67="Probabilidad"),(AJ66-(+AJ66*AD67)),IF(AND(AA66="Impacto",AA67="Probabilidad"),(AJ65-(+AJ65*AD67)),IF(AA67="Impacto",AJ66,""))),"")</f>
        <v/>
      </c>
      <c r="AI67" s="130" t="str">
        <f t="shared" si="3"/>
        <v/>
      </c>
      <c r="AJ67" s="128" t="str">
        <f t="shared" si="91"/>
        <v/>
      </c>
      <c r="AK67" s="130" t="str">
        <f t="shared" si="5"/>
        <v/>
      </c>
      <c r="AL67" s="128" t="str">
        <f t="shared" si="26"/>
        <v/>
      </c>
      <c r="AM67" s="131" t="str">
        <f>IFERROR(IF(OR(AND(AI67="Muy Baja",AK67="Leve"),AND(AI67="Muy Baja",AK67="Menor"),AND(AI67="Baja",AK67="Leve")),"Bajo",IF(OR(AND(AI67="Muy baja",AK67="Moderado"),AND(AI67="Baja",AK67="Menor"),AND(AI67="Baja",AK67="Moderado"),AND(AI67="Media",AK67="Leve"),AND(AI67="Media",AK67="Menor"),AND(AI67="Media",AK67="Moderado"),AND(AI67="Alta",AK67="Leve"),AND(AI67="Alta",AK67="Menor")),"Moderado",IF(OR(AND(AI67="Muy Baja",AK67="Mayor"),AND(AI67="Baja",AK67="Mayor"),AND(AI67="Media",AK67="Mayor"),AND(AI67="Alta",AK67="Moderado"),AND(AI67="Alta",AK67="Mayor"),AND(AI67="Muy Alta",AK67="Leve"),AND(AI67="Muy Alta",AK67="Menor"),AND(AI67="Muy Alta",AK67="Moderado"),AND(AI67="Muy Alta",AK67="Mayor")),"Alto",IF(OR(AND(AI67="Muy Baja",AK67="Catastrófico"),AND(AI67="Baja",AK67="Catastrófico"),AND(AI67="Media",AK67="Catastrófico"),AND(AI67="Alta",AK67="Catastrófico"),AND(AI67="Muy Alta",AK67="Catastrófico")),"Extremo","")))),"")</f>
        <v/>
      </c>
      <c r="AN67" s="132"/>
      <c r="AO67" s="125"/>
      <c r="AP67" s="133"/>
      <c r="AQ67" s="133"/>
      <c r="AR67" s="134"/>
      <c r="AS67" s="416"/>
      <c r="AT67" s="416"/>
      <c r="AU67" s="416"/>
    </row>
    <row r="68" spans="1:47" hidden="1" x14ac:dyDescent="0.2">
      <c r="A68" s="398"/>
      <c r="B68" s="697"/>
      <c r="C68" s="400"/>
      <c r="D68" s="400"/>
      <c r="E68" s="400"/>
      <c r="F68" s="400"/>
      <c r="G68" s="401"/>
      <c r="H68" s="403"/>
      <c r="I68" s="157"/>
      <c r="J68" s="157"/>
      <c r="K68" s="157"/>
      <c r="L68" s="403"/>
      <c r="M68" s="403"/>
      <c r="N68" s="416"/>
      <c r="O68" s="417"/>
      <c r="P68" s="405"/>
      <c r="Q68" s="406"/>
      <c r="R68" s="405">
        <f>IF(NOT(ISERROR(MATCH(Q68,_xlfn.ANCHORARRAY(#REF!),0))),Q81&amp;"Por favor no seleccionar los criterios de impacto",Q68)</f>
        <v>0</v>
      </c>
      <c r="S68" s="417"/>
      <c r="T68" s="405"/>
      <c r="U68" s="418"/>
      <c r="V68" s="149">
        <v>5</v>
      </c>
      <c r="W68" s="149"/>
      <c r="X68" s="149"/>
      <c r="Y68" s="149"/>
      <c r="Z68" s="174" t="str">
        <f t="shared" si="1"/>
        <v xml:space="preserve">  </v>
      </c>
      <c r="AA68" s="126" t="str">
        <f t="shared" si="95"/>
        <v/>
      </c>
      <c r="AB68" s="127"/>
      <c r="AC68" s="127"/>
      <c r="AD68" s="128" t="str">
        <f t="shared" si="90"/>
        <v/>
      </c>
      <c r="AE68" s="127"/>
      <c r="AF68" s="127"/>
      <c r="AG68" s="127"/>
      <c r="AH68" s="129" t="str">
        <f t="shared" si="96"/>
        <v/>
      </c>
      <c r="AI68" s="130" t="str">
        <f t="shared" si="3"/>
        <v/>
      </c>
      <c r="AJ68" s="128" t="str">
        <f t="shared" si="91"/>
        <v/>
      </c>
      <c r="AK68" s="130" t="str">
        <f t="shared" si="5"/>
        <v/>
      </c>
      <c r="AL68" s="128" t="str">
        <f t="shared" si="26"/>
        <v/>
      </c>
      <c r="AM68" s="131" t="str">
        <f t="shared" ref="AM68:AM69" si="97">IFERROR(IF(OR(AND(AI68="Muy Baja",AK68="Leve"),AND(AI68="Muy Baja",AK68="Menor"),AND(AI68="Baja",AK68="Leve")),"Bajo",IF(OR(AND(AI68="Muy baja",AK68="Moderado"),AND(AI68="Baja",AK68="Menor"),AND(AI68="Baja",AK68="Moderado"),AND(AI68="Media",AK68="Leve"),AND(AI68="Media",AK68="Menor"),AND(AI68="Media",AK68="Moderado"),AND(AI68="Alta",AK68="Leve"),AND(AI68="Alta",AK68="Menor")),"Moderado",IF(OR(AND(AI68="Muy Baja",AK68="Mayor"),AND(AI68="Baja",AK68="Mayor"),AND(AI68="Media",AK68="Mayor"),AND(AI68="Alta",AK68="Moderado"),AND(AI68="Alta",AK68="Mayor"),AND(AI68="Muy Alta",AK68="Leve"),AND(AI68="Muy Alta",AK68="Menor"),AND(AI68="Muy Alta",AK68="Moderado"),AND(AI68="Muy Alta",AK68="Mayor")),"Alto",IF(OR(AND(AI68="Muy Baja",AK68="Catastrófico"),AND(AI68="Baja",AK68="Catastrófico"),AND(AI68="Media",AK68="Catastrófico"),AND(AI68="Alta",AK68="Catastrófico"),AND(AI68="Muy Alta",AK68="Catastrófico")),"Extremo","")))),"")</f>
        <v/>
      </c>
      <c r="AN68" s="132"/>
      <c r="AO68" s="125"/>
      <c r="AP68" s="133"/>
      <c r="AQ68" s="133"/>
      <c r="AR68" s="134"/>
      <c r="AS68" s="416"/>
      <c r="AT68" s="416"/>
      <c r="AU68" s="416"/>
    </row>
    <row r="69" spans="1:47" hidden="1" x14ac:dyDescent="0.2">
      <c r="A69" s="398"/>
      <c r="B69" s="697"/>
      <c r="C69" s="400"/>
      <c r="D69" s="400"/>
      <c r="E69" s="400"/>
      <c r="F69" s="400"/>
      <c r="G69" s="401"/>
      <c r="H69" s="404"/>
      <c r="I69" s="158"/>
      <c r="J69" s="158"/>
      <c r="K69" s="158"/>
      <c r="L69" s="404"/>
      <c r="M69" s="404"/>
      <c r="N69" s="416"/>
      <c r="O69" s="417"/>
      <c r="P69" s="405"/>
      <c r="Q69" s="406"/>
      <c r="R69" s="405">
        <f>IF(NOT(ISERROR(MATCH(Q69,_xlfn.ANCHORARRAY(#REF!),0))),Q82&amp;"Por favor no seleccionar los criterios de impacto",Q69)</f>
        <v>0</v>
      </c>
      <c r="S69" s="417"/>
      <c r="T69" s="405"/>
      <c r="U69" s="418"/>
      <c r="V69" s="149">
        <v>6</v>
      </c>
      <c r="W69" s="149"/>
      <c r="X69" s="149"/>
      <c r="Y69" s="149"/>
      <c r="Z69" s="174" t="str">
        <f t="shared" si="1"/>
        <v xml:space="preserve">  </v>
      </c>
      <c r="AA69" s="126" t="str">
        <f t="shared" si="95"/>
        <v/>
      </c>
      <c r="AB69" s="127"/>
      <c r="AC69" s="127"/>
      <c r="AD69" s="128" t="str">
        <f t="shared" si="90"/>
        <v/>
      </c>
      <c r="AE69" s="127"/>
      <c r="AF69" s="127"/>
      <c r="AG69" s="127"/>
      <c r="AH69" s="129" t="str">
        <f t="shared" si="96"/>
        <v/>
      </c>
      <c r="AI69" s="130" t="str">
        <f t="shared" si="3"/>
        <v/>
      </c>
      <c r="AJ69" s="128" t="str">
        <f t="shared" si="91"/>
        <v/>
      </c>
      <c r="AK69" s="130" t="str">
        <f t="shared" si="5"/>
        <v/>
      </c>
      <c r="AL69" s="128" t="str">
        <f t="shared" si="26"/>
        <v/>
      </c>
      <c r="AM69" s="131" t="str">
        <f t="shared" si="97"/>
        <v/>
      </c>
      <c r="AN69" s="132"/>
      <c r="AO69" s="125"/>
      <c r="AP69" s="133"/>
      <c r="AQ69" s="133"/>
      <c r="AR69" s="134"/>
      <c r="AS69" s="416"/>
      <c r="AT69" s="416"/>
      <c r="AU69" s="416"/>
    </row>
    <row r="70" spans="1:47" x14ac:dyDescent="0.2">
      <c r="A70" s="151"/>
      <c r="B70" s="305"/>
      <c r="C70" s="695"/>
      <c r="D70" s="696"/>
      <c r="E70" s="696"/>
      <c r="F70" s="696"/>
      <c r="G70" s="696"/>
      <c r="H70" s="696"/>
      <c r="I70" s="696"/>
      <c r="J70" s="696"/>
      <c r="K70" s="696"/>
      <c r="L70" s="696"/>
      <c r="M70" s="696"/>
      <c r="N70" s="696"/>
      <c r="O70" s="696"/>
      <c r="P70" s="696"/>
      <c r="Q70" s="696"/>
      <c r="R70" s="696"/>
      <c r="S70" s="696"/>
      <c r="T70" s="696"/>
      <c r="U70" s="696"/>
      <c r="V70" s="696"/>
      <c r="W70" s="696"/>
      <c r="X70" s="696"/>
      <c r="Y70" s="696"/>
      <c r="Z70" s="696"/>
      <c r="AA70" s="696"/>
      <c r="AB70" s="696"/>
      <c r="AC70" s="696"/>
      <c r="AD70" s="696"/>
      <c r="AE70" s="696"/>
      <c r="AF70" s="696"/>
      <c r="AG70" s="696"/>
      <c r="AH70" s="696"/>
      <c r="AI70" s="696"/>
      <c r="AJ70" s="696"/>
      <c r="AK70" s="696"/>
      <c r="AL70" s="696"/>
      <c r="AM70" s="696"/>
      <c r="AN70" s="696"/>
      <c r="AO70" s="696"/>
      <c r="AP70" s="696"/>
      <c r="AQ70" s="696"/>
      <c r="AR70" s="696"/>
      <c r="AS70" s="696"/>
    </row>
    <row r="72" spans="1:47" ht="15.75" x14ac:dyDescent="0.2">
      <c r="A72" s="135"/>
      <c r="B72" s="135"/>
      <c r="C72" s="142"/>
      <c r="D72" s="135"/>
      <c r="E72" s="135"/>
      <c r="F72" s="135"/>
      <c r="G72" s="135"/>
      <c r="N72" s="135"/>
    </row>
    <row r="73" spans="1:47" s="179" customFormat="1" x14ac:dyDescent="0.2">
      <c r="A73" s="178"/>
      <c r="B73" s="178"/>
      <c r="C73" s="178"/>
      <c r="D73" s="178"/>
      <c r="E73" s="178"/>
      <c r="F73" s="178"/>
      <c r="G73" s="178"/>
      <c r="N73" s="180"/>
      <c r="AO73" s="181"/>
    </row>
  </sheetData>
  <dataConsolidate/>
  <mergeCells count="286">
    <mergeCell ref="A1:D4"/>
    <mergeCell ref="AA1:AU2"/>
    <mergeCell ref="AA3:AO3"/>
    <mergeCell ref="AP3:AU3"/>
    <mergeCell ref="AA4:AU4"/>
    <mergeCell ref="AS7:AU7"/>
    <mergeCell ref="A8:A9"/>
    <mergeCell ref="B8:B9"/>
    <mergeCell ref="C8:C9"/>
    <mergeCell ref="D8:D9"/>
    <mergeCell ref="E8:E9"/>
    <mergeCell ref="F8:F9"/>
    <mergeCell ref="G8:G9"/>
    <mergeCell ref="H8:H9"/>
    <mergeCell ref="I8:I9"/>
    <mergeCell ref="A7:G7"/>
    <mergeCell ref="H7:K7"/>
    <mergeCell ref="L7:M8"/>
    <mergeCell ref="N7:U7"/>
    <mergeCell ref="V7:AH7"/>
    <mergeCell ref="AI7:AM7"/>
    <mergeCell ref="AN7:AR7"/>
    <mergeCell ref="AU8:AU9"/>
    <mergeCell ref="AO8:AO9"/>
    <mergeCell ref="A10:A15"/>
    <mergeCell ref="B10:B15"/>
    <mergeCell ref="C10:C15"/>
    <mergeCell ref="D10:D15"/>
    <mergeCell ref="E10:E15"/>
    <mergeCell ref="F10:F15"/>
    <mergeCell ref="AL8:AL9"/>
    <mergeCell ref="AM8:AM9"/>
    <mergeCell ref="AN8:AN9"/>
    <mergeCell ref="G10:G15"/>
    <mergeCell ref="H10:H15"/>
    <mergeCell ref="I10:I15"/>
    <mergeCell ref="J10:J15"/>
    <mergeCell ref="K10:K15"/>
    <mergeCell ref="L10:L15"/>
    <mergeCell ref="S10:S15"/>
    <mergeCell ref="T10:T15"/>
    <mergeCell ref="U10:U15"/>
    <mergeCell ref="AR8:AR9"/>
    <mergeCell ref="AS8:AS9"/>
    <mergeCell ref="AT8:AT9"/>
    <mergeCell ref="Z8:Z9"/>
    <mergeCell ref="J8:J9"/>
    <mergeCell ref="K8:K9"/>
    <mergeCell ref="N8:N9"/>
    <mergeCell ref="O8:O9"/>
    <mergeCell ref="P8:P9"/>
    <mergeCell ref="Q8:Q9"/>
    <mergeCell ref="AP8:AP9"/>
    <mergeCell ref="AQ8:AQ9"/>
    <mergeCell ref="AA8:AA9"/>
    <mergeCell ref="AB8:AG8"/>
    <mergeCell ref="AH8:AH9"/>
    <mergeCell ref="AI8:AI9"/>
    <mergeCell ref="AJ8:AJ9"/>
    <mergeCell ref="AK8:AK9"/>
    <mergeCell ref="R8:R9"/>
    <mergeCell ref="S8:S9"/>
    <mergeCell ref="T8:T9"/>
    <mergeCell ref="U8:U9"/>
    <mergeCell ref="V8:V9"/>
    <mergeCell ref="AS10:AS15"/>
    <mergeCell ref="AT10:AT15"/>
    <mergeCell ref="AU10:AU15"/>
    <mergeCell ref="M10:M15"/>
    <mergeCell ref="N10:N15"/>
    <mergeCell ref="O10:O15"/>
    <mergeCell ref="P10:P15"/>
    <mergeCell ref="Q10:Q15"/>
    <mergeCell ref="R10:R15"/>
    <mergeCell ref="G16:G21"/>
    <mergeCell ref="H16:H21"/>
    <mergeCell ref="I16:I21"/>
    <mergeCell ref="J16:J21"/>
    <mergeCell ref="K16:K21"/>
    <mergeCell ref="L16:L21"/>
    <mergeCell ref="A16:A21"/>
    <mergeCell ref="B16:B21"/>
    <mergeCell ref="C16:C21"/>
    <mergeCell ref="D16:D21"/>
    <mergeCell ref="E16:E21"/>
    <mergeCell ref="F16:F21"/>
    <mergeCell ref="S16:S21"/>
    <mergeCell ref="T16:T21"/>
    <mergeCell ref="U16:U21"/>
    <mergeCell ref="M16:M21"/>
    <mergeCell ref="N16:N21"/>
    <mergeCell ref="O16:O21"/>
    <mergeCell ref="P16:P21"/>
    <mergeCell ref="Q16:Q21"/>
    <mergeCell ref="R16:R21"/>
    <mergeCell ref="G22:G27"/>
    <mergeCell ref="H22:H27"/>
    <mergeCell ref="I22:I27"/>
    <mergeCell ref="J22:J27"/>
    <mergeCell ref="K22:K27"/>
    <mergeCell ref="L22:L27"/>
    <mergeCell ref="A22:A27"/>
    <mergeCell ref="B22:B27"/>
    <mergeCell ref="C22:C27"/>
    <mergeCell ref="D22:D27"/>
    <mergeCell ref="E22:E27"/>
    <mergeCell ref="F22:F27"/>
    <mergeCell ref="S22:S27"/>
    <mergeCell ref="T22:T27"/>
    <mergeCell ref="U22:U27"/>
    <mergeCell ref="AS22:AS27"/>
    <mergeCell ref="AT22:AT27"/>
    <mergeCell ref="AU22:AU27"/>
    <mergeCell ref="M22:M27"/>
    <mergeCell ref="N22:N27"/>
    <mergeCell ref="O22:O27"/>
    <mergeCell ref="P22:P27"/>
    <mergeCell ref="Q22:Q27"/>
    <mergeCell ref="R22:R27"/>
    <mergeCell ref="G28:G33"/>
    <mergeCell ref="H28:H33"/>
    <mergeCell ref="I28:I33"/>
    <mergeCell ref="J28:J33"/>
    <mergeCell ref="K28:K33"/>
    <mergeCell ref="L28:L33"/>
    <mergeCell ref="A28:A33"/>
    <mergeCell ref="B28:B33"/>
    <mergeCell ref="C28:C33"/>
    <mergeCell ref="D28:D33"/>
    <mergeCell ref="E28:E33"/>
    <mergeCell ref="F28:F33"/>
    <mergeCell ref="S28:S33"/>
    <mergeCell ref="T28:T33"/>
    <mergeCell ref="U28:U33"/>
    <mergeCell ref="AS28:AS33"/>
    <mergeCell ref="AT28:AT33"/>
    <mergeCell ref="AU28:AU33"/>
    <mergeCell ref="M28:M33"/>
    <mergeCell ref="N28:N33"/>
    <mergeCell ref="O28:O33"/>
    <mergeCell ref="P28:P33"/>
    <mergeCell ref="Q28:Q33"/>
    <mergeCell ref="R28:R33"/>
    <mergeCell ref="G34:G39"/>
    <mergeCell ref="H34:H39"/>
    <mergeCell ref="I34:I39"/>
    <mergeCell ref="J34:J39"/>
    <mergeCell ref="K34:K39"/>
    <mergeCell ref="L34:L39"/>
    <mergeCell ref="A34:A39"/>
    <mergeCell ref="B34:B39"/>
    <mergeCell ref="C34:C39"/>
    <mergeCell ref="D34:D39"/>
    <mergeCell ref="E34:E39"/>
    <mergeCell ref="F34:F39"/>
    <mergeCell ref="S34:S39"/>
    <mergeCell ref="T34:T39"/>
    <mergeCell ref="U34:U39"/>
    <mergeCell ref="AS34:AS39"/>
    <mergeCell ref="AT34:AT39"/>
    <mergeCell ref="AU34:AU39"/>
    <mergeCell ref="M34:M39"/>
    <mergeCell ref="N34:N39"/>
    <mergeCell ref="O34:O39"/>
    <mergeCell ref="P34:P39"/>
    <mergeCell ref="Q34:Q39"/>
    <mergeCell ref="R34:R39"/>
    <mergeCell ref="G40:G45"/>
    <mergeCell ref="H40:H45"/>
    <mergeCell ref="I40:I45"/>
    <mergeCell ref="J40:J45"/>
    <mergeCell ref="K40:K45"/>
    <mergeCell ref="L40:L45"/>
    <mergeCell ref="A40:A45"/>
    <mergeCell ref="B40:B45"/>
    <mergeCell ref="C40:C45"/>
    <mergeCell ref="D40:D45"/>
    <mergeCell ref="E40:E45"/>
    <mergeCell ref="F40:F45"/>
    <mergeCell ref="S40:S45"/>
    <mergeCell ref="T40:T45"/>
    <mergeCell ref="U40:U45"/>
    <mergeCell ref="AS40:AS45"/>
    <mergeCell ref="AT40:AT45"/>
    <mergeCell ref="AU40:AU45"/>
    <mergeCell ref="M40:M45"/>
    <mergeCell ref="N40:N45"/>
    <mergeCell ref="O40:O45"/>
    <mergeCell ref="P40:P45"/>
    <mergeCell ref="Q40:Q45"/>
    <mergeCell ref="R40:R45"/>
    <mergeCell ref="G46:G51"/>
    <mergeCell ref="H46:H51"/>
    <mergeCell ref="I46:I51"/>
    <mergeCell ref="J46:J51"/>
    <mergeCell ref="K46:K51"/>
    <mergeCell ref="L46:L51"/>
    <mergeCell ref="A46:A51"/>
    <mergeCell ref="B46:B51"/>
    <mergeCell ref="C46:C51"/>
    <mergeCell ref="D46:D51"/>
    <mergeCell ref="E46:E51"/>
    <mergeCell ref="F46:F51"/>
    <mergeCell ref="S46:S51"/>
    <mergeCell ref="T46:T51"/>
    <mergeCell ref="U46:U51"/>
    <mergeCell ref="AS46:AS51"/>
    <mergeCell ref="AT46:AT51"/>
    <mergeCell ref="AU46:AU51"/>
    <mergeCell ref="M46:M51"/>
    <mergeCell ref="N46:N51"/>
    <mergeCell ref="O46:O51"/>
    <mergeCell ref="P46:P51"/>
    <mergeCell ref="Q46:Q51"/>
    <mergeCell ref="R46:R51"/>
    <mergeCell ref="G52:G57"/>
    <mergeCell ref="H52:H57"/>
    <mergeCell ref="I52:I57"/>
    <mergeCell ref="J52:J57"/>
    <mergeCell ref="K52:K57"/>
    <mergeCell ref="L52:L57"/>
    <mergeCell ref="A52:A57"/>
    <mergeCell ref="B52:B57"/>
    <mergeCell ref="C52:C57"/>
    <mergeCell ref="D52:D57"/>
    <mergeCell ref="E52:E57"/>
    <mergeCell ref="F52:F57"/>
    <mergeCell ref="S52:S57"/>
    <mergeCell ref="T52:T57"/>
    <mergeCell ref="U52:U57"/>
    <mergeCell ref="AS52:AS57"/>
    <mergeCell ref="AT52:AT57"/>
    <mergeCell ref="AU52:AU57"/>
    <mergeCell ref="M52:M57"/>
    <mergeCell ref="N52:N57"/>
    <mergeCell ref="O52:O57"/>
    <mergeCell ref="P52:P57"/>
    <mergeCell ref="Q52:Q57"/>
    <mergeCell ref="R52:R57"/>
    <mergeCell ref="T58:T63"/>
    <mergeCell ref="U58:U63"/>
    <mergeCell ref="G58:G63"/>
    <mergeCell ref="H58:H63"/>
    <mergeCell ref="L58:L63"/>
    <mergeCell ref="M58:M63"/>
    <mergeCell ref="N58:N63"/>
    <mergeCell ref="O58:O63"/>
    <mergeCell ref="A58:A63"/>
    <mergeCell ref="B58:B63"/>
    <mergeCell ref="C58:C63"/>
    <mergeCell ref="D58:D63"/>
    <mergeCell ref="E58:E63"/>
    <mergeCell ref="F58:F63"/>
    <mergeCell ref="A64:A69"/>
    <mergeCell ref="B64:B69"/>
    <mergeCell ref="C64:C69"/>
    <mergeCell ref="D64:D69"/>
    <mergeCell ref="E64:E69"/>
    <mergeCell ref="F64:F69"/>
    <mergeCell ref="G64:G69"/>
    <mergeCell ref="P58:P63"/>
    <mergeCell ref="Q58:Q63"/>
    <mergeCell ref="AT64:AT69"/>
    <mergeCell ref="AU64:AU69"/>
    <mergeCell ref="C70:AS70"/>
    <mergeCell ref="E1:U2"/>
    <mergeCell ref="E3:J3"/>
    <mergeCell ref="K3:U3"/>
    <mergeCell ref="E4:U4"/>
    <mergeCell ref="Q64:Q69"/>
    <mergeCell ref="R64:R69"/>
    <mergeCell ref="S64:S69"/>
    <mergeCell ref="T64:T69"/>
    <mergeCell ref="U64:U69"/>
    <mergeCell ref="AS64:AS69"/>
    <mergeCell ref="H64:H69"/>
    <mergeCell ref="L64:L69"/>
    <mergeCell ref="M64:M69"/>
    <mergeCell ref="N64:N69"/>
    <mergeCell ref="O64:O69"/>
    <mergeCell ref="P64:P69"/>
    <mergeCell ref="AS58:AS63"/>
    <mergeCell ref="AT58:AT63"/>
    <mergeCell ref="AU58:AU63"/>
    <mergeCell ref="R58:R63"/>
    <mergeCell ref="S58:S63"/>
  </mergeCells>
  <conditionalFormatting sqref="O10">
    <cfRule type="cellIs" dxfId="224" priority="134" operator="equal">
      <formula>"Muy Baja"</formula>
    </cfRule>
    <cfRule type="cellIs" dxfId="223" priority="133" operator="equal">
      <formula>"Baja"</formula>
    </cfRule>
    <cfRule type="cellIs" dxfId="222" priority="132" operator="equal">
      <formula>"Media"</formula>
    </cfRule>
    <cfRule type="cellIs" dxfId="221" priority="131" operator="equal">
      <formula>"Alta"</formula>
    </cfRule>
    <cfRule type="cellIs" dxfId="220" priority="130" operator="equal">
      <formula>"Muy Alta"</formula>
    </cfRule>
  </conditionalFormatting>
  <conditionalFormatting sqref="O16">
    <cfRule type="cellIs" dxfId="219" priority="29" operator="equal">
      <formula>"Muy Baja"</formula>
    </cfRule>
    <cfRule type="cellIs" dxfId="218" priority="25" operator="equal">
      <formula>"Muy Alta"</formula>
    </cfRule>
    <cfRule type="cellIs" dxfId="217" priority="26" operator="equal">
      <formula>"Alta"</formula>
    </cfRule>
    <cfRule type="cellIs" dxfId="216" priority="27" operator="equal">
      <formula>"Media"</formula>
    </cfRule>
    <cfRule type="cellIs" dxfId="215" priority="28" operator="equal">
      <formula>"Baja"</formula>
    </cfRule>
  </conditionalFormatting>
  <conditionalFormatting sqref="O22">
    <cfRule type="cellIs" dxfId="214" priority="113" operator="equal">
      <formula>"Alta"</formula>
    </cfRule>
    <cfRule type="cellIs" dxfId="213" priority="112" operator="equal">
      <formula>"Muy Alta"</formula>
    </cfRule>
    <cfRule type="cellIs" dxfId="212" priority="115" operator="equal">
      <formula>"Baja"</formula>
    </cfRule>
    <cfRule type="cellIs" dxfId="211" priority="114" operator="equal">
      <formula>"Media"</formula>
    </cfRule>
    <cfRule type="cellIs" dxfId="210" priority="116" operator="equal">
      <formula>"Muy Baja"</formula>
    </cfRule>
  </conditionalFormatting>
  <conditionalFormatting sqref="O28">
    <cfRule type="cellIs" dxfId="209" priority="105" operator="equal">
      <formula>"Media"</formula>
    </cfRule>
    <cfRule type="cellIs" dxfId="208" priority="107" operator="equal">
      <formula>"Muy Baja"</formula>
    </cfRule>
    <cfRule type="cellIs" dxfId="207" priority="106" operator="equal">
      <formula>"Baja"</formula>
    </cfRule>
    <cfRule type="cellIs" dxfId="206" priority="104" operator="equal">
      <formula>"Alta"</formula>
    </cfRule>
    <cfRule type="cellIs" dxfId="205" priority="103" operator="equal">
      <formula>"Muy Alta"</formula>
    </cfRule>
  </conditionalFormatting>
  <conditionalFormatting sqref="O34">
    <cfRule type="cellIs" dxfId="204" priority="98" operator="equal">
      <formula>"Muy Baja"</formula>
    </cfRule>
    <cfRule type="cellIs" dxfId="203" priority="97" operator="equal">
      <formula>"Baja"</formula>
    </cfRule>
    <cfRule type="cellIs" dxfId="202" priority="96" operator="equal">
      <formula>"Media"</formula>
    </cfRule>
    <cfRule type="cellIs" dxfId="201" priority="95" operator="equal">
      <formula>"Alta"</formula>
    </cfRule>
    <cfRule type="cellIs" dxfId="200" priority="94" operator="equal">
      <formula>"Muy Alta"</formula>
    </cfRule>
  </conditionalFormatting>
  <conditionalFormatting sqref="O40">
    <cfRule type="cellIs" dxfId="199" priority="89" operator="equal">
      <formula>"Muy Baja"</formula>
    </cfRule>
    <cfRule type="cellIs" dxfId="198" priority="87" operator="equal">
      <formula>"Media"</formula>
    </cfRule>
    <cfRule type="cellIs" dxfId="197" priority="88" operator="equal">
      <formula>"Baja"</formula>
    </cfRule>
    <cfRule type="cellIs" dxfId="196" priority="86" operator="equal">
      <formula>"Alta"</formula>
    </cfRule>
    <cfRule type="cellIs" dxfId="195" priority="85" operator="equal">
      <formula>"Muy Alta"</formula>
    </cfRule>
  </conditionalFormatting>
  <conditionalFormatting sqref="O46">
    <cfRule type="cellIs" dxfId="194" priority="80" operator="equal">
      <formula>"Muy Baja"</formula>
    </cfRule>
    <cfRule type="cellIs" dxfId="193" priority="79" operator="equal">
      <formula>"Baja"</formula>
    </cfRule>
    <cfRule type="cellIs" dxfId="192" priority="78" operator="equal">
      <formula>"Media"</formula>
    </cfRule>
    <cfRule type="cellIs" dxfId="191" priority="76" operator="equal">
      <formula>"Muy Alta"</formula>
    </cfRule>
    <cfRule type="cellIs" dxfId="190" priority="77" operator="equal">
      <formula>"Alta"</formula>
    </cfRule>
  </conditionalFormatting>
  <conditionalFormatting sqref="O52">
    <cfRule type="cellIs" dxfId="189" priority="30" operator="equal">
      <formula>"Muy Alta"</formula>
    </cfRule>
    <cfRule type="cellIs" dxfId="188" priority="31" operator="equal">
      <formula>"Alta"</formula>
    </cfRule>
    <cfRule type="cellIs" dxfId="187" priority="32" operator="equal">
      <formula>"Media"</formula>
    </cfRule>
    <cfRule type="cellIs" dxfId="186" priority="33" operator="equal">
      <formula>"Baja"</formula>
    </cfRule>
    <cfRule type="cellIs" dxfId="185" priority="34" operator="equal">
      <formula>"Muy Baja"</formula>
    </cfRule>
  </conditionalFormatting>
  <conditionalFormatting sqref="O58">
    <cfRule type="cellIs" dxfId="184" priority="66" operator="equal">
      <formula>"Baja"</formula>
    </cfRule>
    <cfRule type="cellIs" dxfId="183" priority="67" operator="equal">
      <formula>"Muy Baja"</formula>
    </cfRule>
    <cfRule type="cellIs" dxfId="182" priority="63" operator="equal">
      <formula>"Muy Alta"</formula>
    </cfRule>
    <cfRule type="cellIs" dxfId="181" priority="64" operator="equal">
      <formula>"Alta"</formula>
    </cfRule>
    <cfRule type="cellIs" dxfId="180" priority="65" operator="equal">
      <formula>"Media"</formula>
    </cfRule>
  </conditionalFormatting>
  <conditionalFormatting sqref="O64">
    <cfRule type="cellIs" dxfId="179" priority="54" operator="equal">
      <formula>"Muy Alta"</formula>
    </cfRule>
    <cfRule type="cellIs" dxfId="178" priority="55" operator="equal">
      <formula>"Alta"</formula>
    </cfRule>
    <cfRule type="cellIs" dxfId="177" priority="56" operator="equal">
      <formula>"Media"</formula>
    </cfRule>
    <cfRule type="cellIs" dxfId="176" priority="57" operator="equal">
      <formula>"Baja"</formula>
    </cfRule>
    <cfRule type="cellIs" dxfId="175" priority="58" operator="equal">
      <formula>"Muy Baja"</formula>
    </cfRule>
  </conditionalFormatting>
  <conditionalFormatting sqref="R10:R69">
    <cfRule type="containsText" dxfId="174" priority="1" operator="containsText" text="❌">
      <formula>NOT(ISERROR(SEARCH("❌",R10)))</formula>
    </cfRule>
  </conditionalFormatting>
  <conditionalFormatting sqref="S10 S22 S28 S34 S40 S46 S52 S58 S64">
    <cfRule type="cellIs" dxfId="173" priority="129" operator="equal">
      <formula>"Leve"</formula>
    </cfRule>
    <cfRule type="cellIs" dxfId="172" priority="128" operator="equal">
      <formula>"Menor"</formula>
    </cfRule>
    <cfRule type="cellIs" dxfId="171" priority="127" operator="equal">
      <formula>"Moderado"</formula>
    </cfRule>
    <cfRule type="cellIs" dxfId="170" priority="125" operator="equal">
      <formula>"Catastrófico"</formula>
    </cfRule>
    <cfRule type="cellIs" dxfId="169" priority="126" operator="equal">
      <formula>"Mayor"</formula>
    </cfRule>
  </conditionalFormatting>
  <conditionalFormatting sqref="S16">
    <cfRule type="cellIs" dxfId="168" priority="20" operator="equal">
      <formula>"Catastrófico"</formula>
    </cfRule>
    <cfRule type="cellIs" dxfId="167" priority="21" operator="equal">
      <formula>"Mayor"</formula>
    </cfRule>
    <cfRule type="cellIs" dxfId="166" priority="22" operator="equal">
      <formula>"Moderado"</formula>
    </cfRule>
    <cfRule type="cellIs" dxfId="165" priority="23" operator="equal">
      <formula>"Menor"</formula>
    </cfRule>
    <cfRule type="cellIs" dxfId="164" priority="24" operator="equal">
      <formula>"Leve"</formula>
    </cfRule>
  </conditionalFormatting>
  <conditionalFormatting sqref="U10">
    <cfRule type="cellIs" dxfId="163" priority="124" operator="equal">
      <formula>"Bajo"</formula>
    </cfRule>
    <cfRule type="cellIs" dxfId="162" priority="123" operator="equal">
      <formula>"Moderado"</formula>
    </cfRule>
    <cfRule type="cellIs" dxfId="161" priority="122" operator="equal">
      <formula>"Alto"</formula>
    </cfRule>
    <cfRule type="cellIs" dxfId="160" priority="121" operator="equal">
      <formula>"Extremo"</formula>
    </cfRule>
  </conditionalFormatting>
  <conditionalFormatting sqref="U16">
    <cfRule type="cellIs" dxfId="159" priority="18" operator="equal">
      <formula>"Moderado"</formula>
    </cfRule>
    <cfRule type="cellIs" dxfId="158" priority="19" operator="equal">
      <formula>"Bajo"</formula>
    </cfRule>
    <cfRule type="cellIs" dxfId="157" priority="16" operator="equal">
      <formula>"Extremo"</formula>
    </cfRule>
    <cfRule type="cellIs" dxfId="156" priority="17" operator="equal">
      <formula>"Alto"</formula>
    </cfRule>
  </conditionalFormatting>
  <conditionalFormatting sqref="U22">
    <cfRule type="cellIs" dxfId="155" priority="110" operator="equal">
      <formula>"Moderado"</formula>
    </cfRule>
    <cfRule type="cellIs" dxfId="154" priority="109" operator="equal">
      <formula>"Alto"</formula>
    </cfRule>
    <cfRule type="cellIs" dxfId="153" priority="108" operator="equal">
      <formula>"Extremo"</formula>
    </cfRule>
    <cfRule type="cellIs" dxfId="152" priority="111" operator="equal">
      <formula>"Bajo"</formula>
    </cfRule>
  </conditionalFormatting>
  <conditionalFormatting sqref="U28">
    <cfRule type="cellIs" dxfId="151" priority="99" operator="equal">
      <formula>"Extremo"</formula>
    </cfRule>
    <cfRule type="cellIs" dxfId="150" priority="101" operator="equal">
      <formula>"Moderado"</formula>
    </cfRule>
    <cfRule type="cellIs" dxfId="149" priority="102" operator="equal">
      <formula>"Bajo"</formula>
    </cfRule>
    <cfRule type="cellIs" dxfId="148" priority="100" operator="equal">
      <formula>"Alto"</formula>
    </cfRule>
  </conditionalFormatting>
  <conditionalFormatting sqref="U34">
    <cfRule type="cellIs" dxfId="147" priority="90" operator="equal">
      <formula>"Extremo"</formula>
    </cfRule>
    <cfRule type="cellIs" dxfId="146" priority="93" operator="equal">
      <formula>"Bajo"</formula>
    </cfRule>
    <cfRule type="cellIs" dxfId="145" priority="91" operator="equal">
      <formula>"Alto"</formula>
    </cfRule>
    <cfRule type="cellIs" dxfId="144" priority="92" operator="equal">
      <formula>"Moderado"</formula>
    </cfRule>
  </conditionalFormatting>
  <conditionalFormatting sqref="U40">
    <cfRule type="cellIs" dxfId="143" priority="83" operator="equal">
      <formula>"Moderado"</formula>
    </cfRule>
    <cfRule type="cellIs" dxfId="142" priority="81" operator="equal">
      <formula>"Extremo"</formula>
    </cfRule>
    <cfRule type="cellIs" dxfId="141" priority="82" operator="equal">
      <formula>"Alto"</formula>
    </cfRule>
    <cfRule type="cellIs" dxfId="140" priority="84" operator="equal">
      <formula>"Bajo"</formula>
    </cfRule>
  </conditionalFormatting>
  <conditionalFormatting sqref="U46">
    <cfRule type="cellIs" dxfId="139" priority="73" operator="equal">
      <formula>"Alto"</formula>
    </cfRule>
    <cfRule type="cellIs" dxfId="138" priority="75" operator="equal">
      <formula>"Bajo"</formula>
    </cfRule>
    <cfRule type="cellIs" dxfId="137" priority="74" operator="equal">
      <formula>"Moderado"</formula>
    </cfRule>
    <cfRule type="cellIs" dxfId="136" priority="72" operator="equal">
      <formula>"Extremo"</formula>
    </cfRule>
  </conditionalFormatting>
  <conditionalFormatting sqref="U52">
    <cfRule type="cellIs" dxfId="135" priority="71" operator="equal">
      <formula>"Bajo"</formula>
    </cfRule>
    <cfRule type="cellIs" dxfId="134" priority="70" operator="equal">
      <formula>"Moderado"</formula>
    </cfRule>
    <cfRule type="cellIs" dxfId="133" priority="69" operator="equal">
      <formula>"Alto"</formula>
    </cfRule>
    <cfRule type="cellIs" dxfId="132" priority="68" operator="equal">
      <formula>"Extremo"</formula>
    </cfRule>
  </conditionalFormatting>
  <conditionalFormatting sqref="U58">
    <cfRule type="cellIs" dxfId="131" priority="61" operator="equal">
      <formula>"Moderado"</formula>
    </cfRule>
    <cfRule type="cellIs" dxfId="130" priority="62" operator="equal">
      <formula>"Bajo"</formula>
    </cfRule>
    <cfRule type="cellIs" dxfId="129" priority="60" operator="equal">
      <formula>"Alto"</formula>
    </cfRule>
    <cfRule type="cellIs" dxfId="128" priority="59" operator="equal">
      <formula>"Extremo"</formula>
    </cfRule>
  </conditionalFormatting>
  <conditionalFormatting sqref="U64">
    <cfRule type="cellIs" dxfId="127" priority="53" operator="equal">
      <formula>"Bajo"</formula>
    </cfRule>
    <cfRule type="cellIs" dxfId="126" priority="52" operator="equal">
      <formula>"Moderado"</formula>
    </cfRule>
    <cfRule type="cellIs" dxfId="125" priority="51" operator="equal">
      <formula>"Alto"</formula>
    </cfRule>
    <cfRule type="cellIs" dxfId="124" priority="50" operator="equal">
      <formula>"Extremo"</formula>
    </cfRule>
  </conditionalFormatting>
  <conditionalFormatting sqref="AI10:AI69">
    <cfRule type="cellIs" dxfId="123" priority="13" operator="equal">
      <formula>"Media"</formula>
    </cfRule>
    <cfRule type="cellIs" dxfId="122" priority="15" operator="equal">
      <formula>"Muy Baja"</formula>
    </cfRule>
    <cfRule type="cellIs" dxfId="121" priority="12" operator="equal">
      <formula>"Alta"</formula>
    </cfRule>
    <cfRule type="cellIs" dxfId="120" priority="11" operator="equal">
      <formula>"Muy Alta"</formula>
    </cfRule>
    <cfRule type="cellIs" dxfId="119" priority="14" operator="equal">
      <formula>"Baja"</formula>
    </cfRule>
  </conditionalFormatting>
  <conditionalFormatting sqref="AK10:AK69">
    <cfRule type="cellIs" dxfId="118" priority="8" operator="equal">
      <formula>"Moderado"</formula>
    </cfRule>
    <cfRule type="cellIs" dxfId="117" priority="7" operator="equal">
      <formula>"Mayor"</formula>
    </cfRule>
    <cfRule type="cellIs" dxfId="116" priority="6" operator="equal">
      <formula>"Catastrófico"</formula>
    </cfRule>
    <cfRule type="cellIs" dxfId="115" priority="10" operator="equal">
      <formula>"Leve"</formula>
    </cfRule>
    <cfRule type="cellIs" dxfId="114" priority="9" operator="equal">
      <formula>"Menor"</formula>
    </cfRule>
  </conditionalFormatting>
  <conditionalFormatting sqref="AM10:AM69">
    <cfRule type="cellIs" dxfId="113" priority="3" operator="equal">
      <formula>"Alto"</formula>
    </cfRule>
    <cfRule type="cellIs" dxfId="112" priority="4" operator="equal">
      <formula>"Moderado"</formula>
    </cfRule>
    <cfRule type="cellIs" dxfId="111" priority="2" operator="equal">
      <formula>"Extremo"</formula>
    </cfRule>
    <cfRule type="cellIs" dxfId="110" priority="5" operator="equal">
      <formula>"Bajo"</formula>
    </cfRule>
  </conditionalFormatting>
  <dataValidations count="1">
    <dataValidation type="list" allowBlank="1" showInputMessage="1" showErrorMessage="1" sqref="AC31:AC69 AB22:AB69 AB10:AB15 AE10:AG15 AE22:AG69" xr:uid="{D43393F9-4C51-463A-802D-CF725E9D11D6}">
      <formula1>#REF!</formula1>
    </dataValidation>
  </dataValidations>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www.umv.gov.co&amp;CDESI-FM-018
Página &amp;P de &amp;N</oddFooter>
  </headerFooter>
  <colBreaks count="1" manualBreakCount="1">
    <brk id="20" max="75"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F822DB3-E8BC-4A2F-BE3C-23DC9E3B8FAE}">
          <x14:formula1>
            <xm:f>Listas!$L$29:$L$53</xm:f>
          </x14:formula1>
          <xm:sqref>B10:B69</xm:sqref>
        </x14:dataValidation>
        <x14:dataValidation type="list" allowBlank="1" showInputMessage="1" showErrorMessage="1" xr:uid="{02E8B859-5F6E-4C46-BA6F-FC5F13B2EBA0}">
          <x14:formula1>
            <xm:f>Listas!$E$7:$E$9</xm:f>
          </x14:formula1>
          <xm:sqref>C10:C15 C22:C69</xm:sqref>
        </x14:dataValidation>
        <x14:dataValidation type="list" allowBlank="1" showInputMessage="1" showErrorMessage="1" xr:uid="{226614A6-4901-46E6-9FEB-65E9F57F8419}">
          <x14:formula1>
            <xm:f>'Tabla Impacto'!$F$211:$F$222</xm:f>
          </x14:formula1>
          <xm:sqref>Q10:Q15 Q22:Q69</xm:sqref>
        </x14:dataValidation>
        <x14:dataValidation type="list" allowBlank="1" showInputMessage="1" showErrorMessage="1" xr:uid="{3D855C01-3326-4F00-9B2A-F7A8B5C96550}">
          <x14:formula1>
            <xm:f>Listas!$B$4:$B$7</xm:f>
          </x14:formula1>
          <xm:sqref>AN22:AN62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93324-0F49-421F-A6E9-A4E9AE9AAF58}">
  <sheetPr>
    <tabColor theme="9" tint="-0.249977111117893"/>
  </sheetPr>
  <dimension ref="A1:JP73"/>
  <sheetViews>
    <sheetView topLeftCell="A5" zoomScale="55" zoomScaleNormal="55" zoomScaleSheetLayoutView="50" zoomScalePageLayoutView="60" workbookViewId="0">
      <selection activeCell="G16" sqref="G16:G21"/>
    </sheetView>
  </sheetViews>
  <sheetFormatPr baseColWidth="10" defaultColWidth="11.42578125" defaultRowHeight="15" x14ac:dyDescent="0.2"/>
  <cols>
    <col min="1" max="1" width="6.5703125" style="153" customWidth="1"/>
    <col min="2" max="2" width="22.28515625" style="153" customWidth="1"/>
    <col min="3" max="3" width="22.7109375" style="153" customWidth="1"/>
    <col min="4" max="4" width="19.140625" style="153" customWidth="1"/>
    <col min="5" max="5" width="25.28515625" style="153" customWidth="1"/>
    <col min="6" max="6" width="44.28515625" style="153" customWidth="1"/>
    <col min="7" max="7" width="55.85546875" style="153" customWidth="1"/>
    <col min="8" max="8" width="17.28515625" style="135" customWidth="1"/>
    <col min="9" max="9" width="15.28515625" style="135" customWidth="1"/>
    <col min="10" max="11" width="18.85546875" style="135" customWidth="1"/>
    <col min="12" max="12" width="24.28515625" style="135" customWidth="1"/>
    <col min="13" max="13" width="19.42578125" style="135" customWidth="1"/>
    <col min="14" max="14" width="20.5703125" style="135" customWidth="1"/>
    <col min="15" max="15" width="16.7109375" style="154" customWidth="1"/>
    <col min="16" max="16" width="16.7109375" style="135" customWidth="1"/>
    <col min="17" max="17" width="13.85546875" style="135" hidden="1" customWidth="1"/>
    <col min="18" max="18" width="19.5703125" style="135" customWidth="1"/>
    <col min="19" max="19" width="35.85546875" style="135" hidden="1" customWidth="1"/>
    <col min="20" max="20" width="19" style="135" customWidth="1"/>
    <col min="21" max="21" width="17.5703125" style="135" customWidth="1"/>
    <col min="22" max="22" width="15" style="135" customWidth="1"/>
    <col min="23" max="23" width="5.140625" style="135" customWidth="1"/>
    <col min="24" max="24" width="29.85546875" style="135" hidden="1" customWidth="1"/>
    <col min="25" max="25" width="11.7109375" style="135" hidden="1" customWidth="1"/>
    <col min="26" max="26" width="33.5703125" style="135" hidden="1" customWidth="1"/>
    <col min="27" max="27" width="62" style="135" customWidth="1"/>
    <col min="28" max="28" width="19.7109375" style="135" hidden="1" customWidth="1"/>
    <col min="29" max="29" width="5.85546875" style="135" customWidth="1"/>
    <col min="30" max="30" width="6.85546875" style="135" customWidth="1"/>
    <col min="31" max="31" width="5" style="135" hidden="1" customWidth="1"/>
    <col min="32" max="32" width="5.5703125" style="135" customWidth="1"/>
    <col min="33" max="33" width="7.140625" style="135" customWidth="1"/>
    <col min="34" max="34" width="6.7109375" style="135" customWidth="1"/>
    <col min="35" max="35" width="7.5703125" style="135" hidden="1" customWidth="1"/>
    <col min="36" max="36" width="8.5703125" style="135" customWidth="1"/>
    <col min="37" max="41" width="10.85546875" style="135" customWidth="1"/>
    <col min="42" max="42" width="33.28515625" style="152" hidden="1" customWidth="1"/>
    <col min="43" max="43" width="23" style="135" hidden="1" customWidth="1"/>
    <col min="44" max="44" width="18.85546875" style="135" hidden="1" customWidth="1"/>
    <col min="45" max="45" width="23.7109375" style="135" hidden="1" customWidth="1"/>
    <col min="46" max="46" width="22.42578125" style="135" hidden="1" customWidth="1"/>
    <col min="47" max="47" width="16.42578125" style="135" hidden="1" customWidth="1"/>
    <col min="48" max="48" width="20.5703125" style="135" hidden="1" customWidth="1"/>
    <col min="49" max="16384" width="11.42578125" style="135"/>
  </cols>
  <sheetData>
    <row r="1" spans="1:276" s="137" customFormat="1" ht="21" thickBot="1" x14ac:dyDescent="0.35">
      <c r="A1" s="439"/>
      <c r="B1" s="440"/>
      <c r="C1" s="441"/>
      <c r="D1" s="442"/>
      <c r="E1" s="461" t="s">
        <v>1059</v>
      </c>
      <c r="F1" s="461"/>
      <c r="G1" s="461"/>
      <c r="H1" s="461"/>
      <c r="I1" s="461"/>
      <c r="J1" s="461"/>
      <c r="K1" s="461"/>
      <c r="L1" s="461"/>
      <c r="M1" s="461"/>
      <c r="N1" s="461"/>
      <c r="O1" s="461"/>
      <c r="P1" s="461"/>
      <c r="Q1" s="461"/>
      <c r="R1" s="461"/>
      <c r="S1" s="461"/>
      <c r="T1" s="461"/>
      <c r="U1" s="461"/>
      <c r="V1" s="175"/>
      <c r="W1" s="175"/>
      <c r="X1" s="175"/>
      <c r="Y1" s="175"/>
      <c r="Z1" s="175"/>
      <c r="AA1" s="175"/>
      <c r="AB1" s="458"/>
      <c r="AC1" s="458"/>
      <c r="AD1" s="458"/>
      <c r="AE1" s="458"/>
      <c r="AF1" s="458"/>
      <c r="AG1" s="458"/>
      <c r="AH1" s="458"/>
      <c r="AI1" s="458"/>
      <c r="AJ1" s="458"/>
      <c r="AK1" s="458"/>
      <c r="AL1" s="458"/>
      <c r="AM1" s="458"/>
      <c r="AN1" s="458"/>
      <c r="AO1" s="458"/>
      <c r="AP1" s="458"/>
      <c r="AQ1" s="458"/>
      <c r="AR1" s="458"/>
      <c r="AS1" s="458"/>
      <c r="AT1" s="458"/>
      <c r="AU1" s="458"/>
      <c r="AV1" s="458"/>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row>
    <row r="2" spans="1:276" s="137" customFormat="1" ht="21" thickBot="1" x14ac:dyDescent="0.35">
      <c r="A2" s="443"/>
      <c r="B2" s="444"/>
      <c r="C2" s="445"/>
      <c r="D2" s="446"/>
      <c r="E2" s="461"/>
      <c r="F2" s="461"/>
      <c r="G2" s="461"/>
      <c r="H2" s="461"/>
      <c r="I2" s="461"/>
      <c r="J2" s="461"/>
      <c r="K2" s="461"/>
      <c r="L2" s="461"/>
      <c r="M2" s="461"/>
      <c r="N2" s="461"/>
      <c r="O2" s="461"/>
      <c r="P2" s="461"/>
      <c r="Q2" s="461"/>
      <c r="R2" s="461"/>
      <c r="S2" s="461"/>
      <c r="T2" s="461"/>
      <c r="U2" s="461"/>
      <c r="V2" s="175"/>
      <c r="W2" s="175"/>
      <c r="X2" s="175"/>
      <c r="Y2" s="175"/>
      <c r="Z2" s="175"/>
      <c r="AA2" s="175"/>
      <c r="AB2" s="458"/>
      <c r="AC2" s="458"/>
      <c r="AD2" s="458"/>
      <c r="AE2" s="458"/>
      <c r="AF2" s="458"/>
      <c r="AG2" s="458"/>
      <c r="AH2" s="458"/>
      <c r="AI2" s="458"/>
      <c r="AJ2" s="458"/>
      <c r="AK2" s="458"/>
      <c r="AL2" s="458"/>
      <c r="AM2" s="458"/>
      <c r="AN2" s="458"/>
      <c r="AO2" s="458"/>
      <c r="AP2" s="458"/>
      <c r="AQ2" s="458"/>
      <c r="AR2" s="458"/>
      <c r="AS2" s="458"/>
      <c r="AT2" s="458"/>
      <c r="AU2" s="458"/>
      <c r="AV2" s="458"/>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row>
    <row r="3" spans="1:276" s="137" customFormat="1" ht="27.75" customHeight="1" thickBot="1" x14ac:dyDescent="0.35">
      <c r="A3" s="443"/>
      <c r="B3" s="444"/>
      <c r="C3" s="445"/>
      <c r="D3" s="446"/>
      <c r="E3" s="462" t="s">
        <v>575</v>
      </c>
      <c r="F3" s="462"/>
      <c r="G3" s="462"/>
      <c r="H3" s="462"/>
      <c r="I3" s="462"/>
      <c r="J3" s="462"/>
      <c r="K3" s="462" t="s">
        <v>340</v>
      </c>
      <c r="L3" s="462"/>
      <c r="M3" s="462"/>
      <c r="N3" s="462"/>
      <c r="O3" s="462"/>
      <c r="P3" s="462"/>
      <c r="Q3" s="462"/>
      <c r="R3" s="462"/>
      <c r="S3" s="462"/>
      <c r="T3" s="462"/>
      <c r="U3" s="462"/>
      <c r="V3" s="176"/>
      <c r="W3" s="176"/>
      <c r="X3" s="176"/>
      <c r="Y3" s="176"/>
      <c r="Z3" s="176"/>
      <c r="AA3" s="175"/>
      <c r="AB3" s="459"/>
      <c r="AC3" s="459"/>
      <c r="AD3" s="459"/>
      <c r="AE3" s="459"/>
      <c r="AF3" s="459"/>
      <c r="AG3" s="459"/>
      <c r="AH3" s="459"/>
      <c r="AI3" s="459"/>
      <c r="AJ3" s="459"/>
      <c r="AK3" s="459"/>
      <c r="AL3" s="459"/>
      <c r="AM3" s="459"/>
      <c r="AN3" s="459"/>
      <c r="AO3" s="459"/>
      <c r="AP3" s="459"/>
      <c r="AQ3" s="459"/>
      <c r="AR3" s="459"/>
      <c r="AS3" s="459"/>
      <c r="AT3" s="459"/>
      <c r="AU3" s="459"/>
      <c r="AV3" s="459"/>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row>
    <row r="4" spans="1:276" s="137" customFormat="1" ht="27.75" customHeight="1" thickBot="1" x14ac:dyDescent="0.35">
      <c r="A4" s="447"/>
      <c r="B4" s="448"/>
      <c r="C4" s="449"/>
      <c r="D4" s="450"/>
      <c r="E4" s="462" t="s">
        <v>576</v>
      </c>
      <c r="F4" s="462"/>
      <c r="G4" s="462"/>
      <c r="H4" s="462"/>
      <c r="I4" s="462"/>
      <c r="J4" s="462"/>
      <c r="K4" s="462"/>
      <c r="L4" s="462"/>
      <c r="M4" s="462"/>
      <c r="N4" s="462"/>
      <c r="O4" s="462"/>
      <c r="P4" s="462"/>
      <c r="Q4" s="462"/>
      <c r="R4" s="462"/>
      <c r="S4" s="462"/>
      <c r="T4" s="462"/>
      <c r="U4" s="462"/>
      <c r="V4" s="175"/>
      <c r="W4" s="175"/>
      <c r="X4" s="175"/>
      <c r="Y4" s="175"/>
      <c r="Z4" s="175"/>
      <c r="AA4" s="175"/>
      <c r="AB4" s="459"/>
      <c r="AC4" s="459"/>
      <c r="AD4" s="459"/>
      <c r="AE4" s="459"/>
      <c r="AF4" s="459"/>
      <c r="AG4" s="459"/>
      <c r="AH4" s="459"/>
      <c r="AI4" s="459"/>
      <c r="AJ4" s="459"/>
      <c r="AK4" s="459"/>
      <c r="AL4" s="459"/>
      <c r="AM4" s="459"/>
      <c r="AN4" s="459"/>
      <c r="AO4" s="459"/>
      <c r="AP4" s="459"/>
      <c r="AQ4" s="459"/>
      <c r="AR4" s="459"/>
      <c r="AS4" s="459"/>
      <c r="AT4" s="459"/>
      <c r="AU4" s="459"/>
      <c r="AV4" s="459"/>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row>
    <row r="5" spans="1:276" x14ac:dyDescent="0.2">
      <c r="A5" s="138"/>
      <c r="B5" s="138"/>
      <c r="C5" s="139"/>
      <c r="D5" s="138"/>
      <c r="E5" s="138"/>
      <c r="F5" s="138"/>
      <c r="G5" s="138"/>
      <c r="H5" s="140"/>
      <c r="I5" s="140"/>
      <c r="J5" s="140"/>
      <c r="K5" s="140"/>
      <c r="L5" s="140"/>
      <c r="M5" s="140"/>
      <c r="N5" s="140"/>
      <c r="O5" s="141"/>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77"/>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row>
    <row r="6" spans="1:276" ht="15.75" x14ac:dyDescent="0.25">
      <c r="A6" s="142"/>
      <c r="B6" s="142" t="s">
        <v>1060</v>
      </c>
      <c r="C6" s="142">
        <v>2025</v>
      </c>
      <c r="D6" s="143"/>
      <c r="E6" s="143"/>
      <c r="F6" s="143"/>
      <c r="G6" s="143"/>
      <c r="H6" s="143"/>
      <c r="I6" s="143"/>
      <c r="J6" s="143"/>
      <c r="K6" s="143"/>
      <c r="L6" s="143"/>
      <c r="M6" s="143"/>
      <c r="N6" s="143"/>
      <c r="O6" s="143"/>
      <c r="P6" s="143"/>
      <c r="Q6" s="143"/>
      <c r="R6" s="143"/>
      <c r="S6" s="143"/>
      <c r="T6" s="143"/>
      <c r="U6" s="143"/>
      <c r="V6" s="143"/>
      <c r="W6" s="143"/>
      <c r="X6" s="143"/>
      <c r="Y6" s="143"/>
      <c r="Z6" s="143"/>
      <c r="AA6" s="144"/>
      <c r="AB6" s="144"/>
      <c r="AC6" s="144"/>
      <c r="AD6" s="145"/>
      <c r="AE6" s="145"/>
      <c r="AF6" s="145"/>
      <c r="AG6" s="145"/>
      <c r="AH6" s="145"/>
      <c r="AI6" s="145"/>
      <c r="AJ6" s="145"/>
      <c r="AK6" s="145"/>
      <c r="AL6" s="145"/>
      <c r="AM6" s="145"/>
      <c r="AN6" s="145"/>
      <c r="AO6" s="145"/>
      <c r="AP6" s="145"/>
      <c r="AQ6" s="145"/>
      <c r="AR6" s="145"/>
      <c r="AS6" s="145"/>
      <c r="AT6" s="145"/>
      <c r="AU6" s="145"/>
      <c r="AV6" s="145"/>
    </row>
    <row r="7" spans="1:276" ht="27.75" customHeight="1" x14ac:dyDescent="0.2">
      <c r="A7" s="454" t="s">
        <v>345</v>
      </c>
      <c r="B7" s="455"/>
      <c r="C7" s="455"/>
      <c r="D7" s="455"/>
      <c r="E7" s="455"/>
      <c r="F7" s="455"/>
      <c r="G7" s="455"/>
      <c r="H7" s="456"/>
      <c r="I7" s="474" t="s">
        <v>346</v>
      </c>
      <c r="J7" s="475"/>
      <c r="K7" s="475"/>
      <c r="L7" s="476"/>
      <c r="M7" s="485" t="s">
        <v>347</v>
      </c>
      <c r="N7" s="486"/>
      <c r="O7" s="482" t="s">
        <v>348</v>
      </c>
      <c r="P7" s="483"/>
      <c r="Q7" s="483"/>
      <c r="R7" s="483"/>
      <c r="S7" s="483"/>
      <c r="T7" s="483"/>
      <c r="U7" s="483"/>
      <c r="V7" s="483"/>
      <c r="W7" s="455" t="s">
        <v>349</v>
      </c>
      <c r="X7" s="455"/>
      <c r="Y7" s="455"/>
      <c r="Z7" s="455"/>
      <c r="AA7" s="455"/>
      <c r="AB7" s="455"/>
      <c r="AC7" s="455"/>
      <c r="AD7" s="455"/>
      <c r="AE7" s="455"/>
      <c r="AF7" s="455"/>
      <c r="AG7" s="455"/>
      <c r="AH7" s="455"/>
      <c r="AI7" s="456"/>
      <c r="AJ7" s="477" t="s">
        <v>350</v>
      </c>
      <c r="AK7" s="478"/>
      <c r="AL7" s="478"/>
      <c r="AM7" s="478"/>
      <c r="AN7" s="479"/>
      <c r="AO7" s="454" t="s">
        <v>351</v>
      </c>
      <c r="AP7" s="455"/>
      <c r="AQ7" s="455"/>
      <c r="AR7" s="455"/>
      <c r="AS7" s="456"/>
      <c r="AT7" s="474" t="s">
        <v>352</v>
      </c>
      <c r="AU7" s="475"/>
      <c r="AV7" s="476"/>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row>
    <row r="8" spans="1:276" ht="15.75" customHeight="1" x14ac:dyDescent="0.2">
      <c r="A8" s="472" t="s">
        <v>353</v>
      </c>
      <c r="B8" s="487" t="s">
        <v>342</v>
      </c>
      <c r="C8" s="457" t="s">
        <v>354</v>
      </c>
      <c r="D8" s="457" t="s">
        <v>355</v>
      </c>
      <c r="E8" s="457" t="s">
        <v>356</v>
      </c>
      <c r="F8" s="711" t="s">
        <v>357</v>
      </c>
      <c r="G8" s="457" t="s">
        <v>358</v>
      </c>
      <c r="H8" s="457" t="s">
        <v>461</v>
      </c>
      <c r="I8" s="468" t="s">
        <v>56</v>
      </c>
      <c r="J8" s="468" t="s">
        <v>359</v>
      </c>
      <c r="K8" s="468" t="s">
        <v>360</v>
      </c>
      <c r="L8" s="468" t="s">
        <v>361</v>
      </c>
      <c r="M8" s="485"/>
      <c r="N8" s="486"/>
      <c r="O8" s="480" t="s">
        <v>362</v>
      </c>
      <c r="P8" s="480" t="s">
        <v>363</v>
      </c>
      <c r="Q8" s="460" t="s">
        <v>364</v>
      </c>
      <c r="R8" s="480" t="s">
        <v>365</v>
      </c>
      <c r="S8" s="720" t="s">
        <v>366</v>
      </c>
      <c r="T8" s="480" t="s">
        <v>367</v>
      </c>
      <c r="U8" s="480" t="s">
        <v>364</v>
      </c>
      <c r="V8" s="480" t="s">
        <v>368</v>
      </c>
      <c r="W8" s="471" t="s">
        <v>369</v>
      </c>
      <c r="X8" s="186"/>
      <c r="Y8" s="186"/>
      <c r="Z8" s="186"/>
      <c r="AA8" s="457" t="s">
        <v>2</v>
      </c>
      <c r="AB8" s="457" t="s">
        <v>3</v>
      </c>
      <c r="AC8" s="457" t="s">
        <v>370</v>
      </c>
      <c r="AD8" s="457"/>
      <c r="AE8" s="457"/>
      <c r="AF8" s="457"/>
      <c r="AG8" s="457"/>
      <c r="AH8" s="457"/>
      <c r="AI8" s="471" t="s">
        <v>371</v>
      </c>
      <c r="AJ8" s="463" t="s">
        <v>372</v>
      </c>
      <c r="AK8" s="463" t="s">
        <v>364</v>
      </c>
      <c r="AL8" s="463" t="s">
        <v>373</v>
      </c>
      <c r="AM8" s="463" t="s">
        <v>364</v>
      </c>
      <c r="AN8" s="463" t="s">
        <v>374</v>
      </c>
      <c r="AO8" s="471" t="s">
        <v>4</v>
      </c>
      <c r="AP8" s="457" t="s">
        <v>375</v>
      </c>
      <c r="AQ8" s="652" t="s">
        <v>376</v>
      </c>
      <c r="AR8" s="652" t="s">
        <v>377</v>
      </c>
      <c r="AS8" s="652" t="s">
        <v>378</v>
      </c>
      <c r="AT8" s="481" t="s">
        <v>379</v>
      </c>
      <c r="AU8" s="481" t="s">
        <v>380</v>
      </c>
      <c r="AV8" s="481" t="s">
        <v>383</v>
      </c>
      <c r="AW8" s="140"/>
      <c r="AX8" s="140"/>
      <c r="AY8" s="140"/>
      <c r="AZ8" s="140"/>
      <c r="BA8" s="140"/>
      <c r="BB8" s="140"/>
      <c r="BC8" s="140"/>
      <c r="BD8" s="140"/>
      <c r="BE8" s="140"/>
      <c r="BF8" s="140"/>
      <c r="BG8" s="140"/>
      <c r="BH8" s="140"/>
      <c r="BI8" s="140"/>
      <c r="BJ8" s="140"/>
      <c r="BK8" s="140"/>
      <c r="BL8" s="140"/>
      <c r="BM8" s="140"/>
      <c r="BN8" s="140"/>
      <c r="BO8" s="140"/>
      <c r="BP8" s="140"/>
      <c r="BQ8" s="140"/>
      <c r="BR8" s="140"/>
      <c r="BS8" s="140"/>
    </row>
    <row r="9" spans="1:276" s="148" customFormat="1" ht="99" x14ac:dyDescent="0.25">
      <c r="A9" s="472"/>
      <c r="B9" s="487"/>
      <c r="C9" s="467"/>
      <c r="D9" s="457"/>
      <c r="E9" s="457"/>
      <c r="F9" s="712"/>
      <c r="G9" s="467"/>
      <c r="H9" s="457"/>
      <c r="I9" s="469"/>
      <c r="J9" s="469"/>
      <c r="K9" s="469"/>
      <c r="L9" s="469"/>
      <c r="M9" s="185" t="s">
        <v>381</v>
      </c>
      <c r="N9" s="185" t="s">
        <v>382</v>
      </c>
      <c r="O9" s="480"/>
      <c r="P9" s="480"/>
      <c r="Q9" s="460"/>
      <c r="R9" s="480"/>
      <c r="S9" s="720"/>
      <c r="T9" s="480"/>
      <c r="U9" s="480"/>
      <c r="V9" s="480"/>
      <c r="W9" s="471"/>
      <c r="X9" s="184" t="s">
        <v>383</v>
      </c>
      <c r="Y9" s="184" t="s">
        <v>379</v>
      </c>
      <c r="Z9" s="184" t="s">
        <v>384</v>
      </c>
      <c r="AA9" s="457"/>
      <c r="AB9" s="457"/>
      <c r="AC9" s="183" t="s">
        <v>385</v>
      </c>
      <c r="AD9" s="183" t="s">
        <v>386</v>
      </c>
      <c r="AE9" s="183" t="s">
        <v>387</v>
      </c>
      <c r="AF9" s="183" t="s">
        <v>388</v>
      </c>
      <c r="AG9" s="183" t="s">
        <v>389</v>
      </c>
      <c r="AH9" s="183" t="s">
        <v>390</v>
      </c>
      <c r="AI9" s="471"/>
      <c r="AJ9" s="463"/>
      <c r="AK9" s="463"/>
      <c r="AL9" s="463"/>
      <c r="AM9" s="463"/>
      <c r="AN9" s="463"/>
      <c r="AO9" s="471"/>
      <c r="AP9" s="457"/>
      <c r="AQ9" s="652"/>
      <c r="AR9" s="652"/>
      <c r="AS9" s="652"/>
      <c r="AT9" s="481"/>
      <c r="AU9" s="481"/>
      <c r="AV9" s="481"/>
      <c r="AW9" s="146"/>
      <c r="AX9" s="146"/>
      <c r="AY9" s="146"/>
      <c r="AZ9" s="146"/>
      <c r="BA9" s="146"/>
      <c r="BB9" s="146"/>
      <c r="BC9" s="146"/>
      <c r="BD9" s="146"/>
      <c r="BE9" s="146"/>
      <c r="BF9" s="146"/>
      <c r="BG9" s="146"/>
      <c r="BH9" s="146"/>
      <c r="BI9" s="146"/>
      <c r="BJ9" s="146"/>
      <c r="BK9" s="146"/>
      <c r="BL9" s="146"/>
      <c r="BM9" s="146"/>
      <c r="BN9" s="146"/>
      <c r="BO9" s="146"/>
      <c r="BP9" s="146"/>
      <c r="BQ9" s="146"/>
      <c r="BR9" s="146"/>
      <c r="BS9" s="146"/>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c r="DB9" s="147"/>
      <c r="DC9" s="147"/>
      <c r="DD9" s="147"/>
      <c r="DE9" s="147"/>
      <c r="DF9" s="147"/>
      <c r="DG9" s="147"/>
      <c r="DH9" s="147"/>
      <c r="DI9" s="147"/>
      <c r="DJ9" s="147"/>
      <c r="DK9" s="147"/>
      <c r="DL9" s="147"/>
      <c r="DM9" s="147"/>
      <c r="DN9" s="147"/>
      <c r="DO9" s="147"/>
      <c r="DP9" s="147"/>
      <c r="DQ9" s="147"/>
      <c r="DR9" s="147"/>
      <c r="DS9" s="147"/>
      <c r="DT9" s="147"/>
      <c r="DU9" s="147"/>
      <c r="DV9" s="147"/>
      <c r="DW9" s="147"/>
      <c r="DX9" s="147"/>
      <c r="DY9" s="147"/>
      <c r="DZ9" s="147"/>
      <c r="EA9" s="147"/>
      <c r="EB9" s="147"/>
      <c r="EC9" s="147"/>
      <c r="ED9" s="147"/>
      <c r="EE9" s="147"/>
      <c r="EF9" s="147"/>
      <c r="EG9" s="147"/>
      <c r="EH9" s="147"/>
      <c r="EI9" s="147"/>
      <c r="EJ9" s="147"/>
      <c r="EK9" s="147"/>
      <c r="EL9" s="147"/>
      <c r="EM9" s="147"/>
      <c r="EN9" s="147"/>
      <c r="EO9" s="147"/>
      <c r="EP9" s="147"/>
      <c r="EQ9" s="147"/>
      <c r="ER9" s="147"/>
      <c r="ES9" s="147"/>
      <c r="ET9" s="147"/>
      <c r="EU9" s="147"/>
      <c r="EV9" s="147"/>
      <c r="EW9" s="147"/>
      <c r="EX9" s="147"/>
      <c r="EY9" s="147"/>
      <c r="EZ9" s="147"/>
      <c r="FA9" s="147"/>
      <c r="FB9" s="147"/>
      <c r="FC9" s="147"/>
      <c r="FD9" s="147"/>
      <c r="FE9" s="147"/>
      <c r="FF9" s="147"/>
      <c r="FG9" s="147"/>
      <c r="FH9" s="147"/>
      <c r="FI9" s="147"/>
      <c r="FJ9" s="147"/>
      <c r="FK9" s="147"/>
      <c r="FL9" s="147"/>
      <c r="FM9" s="147"/>
      <c r="FN9" s="147"/>
      <c r="FO9" s="147"/>
      <c r="FP9" s="147"/>
      <c r="FQ9" s="147"/>
      <c r="FR9" s="147"/>
      <c r="FS9" s="147"/>
      <c r="FT9" s="147"/>
      <c r="FU9" s="147"/>
      <c r="FV9" s="147"/>
      <c r="FW9" s="147"/>
      <c r="FX9" s="147"/>
      <c r="FY9" s="147"/>
      <c r="FZ9" s="147"/>
      <c r="GA9" s="147"/>
      <c r="GB9" s="147"/>
      <c r="GC9" s="147"/>
      <c r="GD9" s="147"/>
      <c r="GE9" s="147"/>
      <c r="GF9" s="147"/>
      <c r="GG9" s="147"/>
      <c r="GH9" s="147"/>
      <c r="GI9" s="147"/>
      <c r="GJ9" s="147"/>
      <c r="GK9" s="147"/>
      <c r="GL9" s="147"/>
      <c r="GM9" s="147"/>
      <c r="GN9" s="147"/>
      <c r="GO9" s="147"/>
      <c r="GP9" s="147"/>
      <c r="GQ9" s="147"/>
      <c r="GR9" s="147"/>
      <c r="GS9" s="147"/>
      <c r="GT9" s="147"/>
      <c r="GU9" s="147"/>
      <c r="GV9" s="147"/>
      <c r="GW9" s="147"/>
      <c r="GX9" s="147"/>
      <c r="GY9" s="147"/>
      <c r="GZ9" s="147"/>
      <c r="HA9" s="147"/>
      <c r="HB9" s="147"/>
      <c r="HC9" s="147"/>
      <c r="HD9" s="147"/>
      <c r="HE9" s="147"/>
      <c r="HF9" s="147"/>
      <c r="HG9" s="147"/>
      <c r="HH9" s="147"/>
      <c r="HI9" s="147"/>
      <c r="HJ9" s="147"/>
      <c r="HK9" s="147"/>
      <c r="HL9" s="147"/>
      <c r="HM9" s="147"/>
      <c r="HN9" s="147"/>
      <c r="HO9" s="147"/>
      <c r="HP9" s="147"/>
      <c r="HQ9" s="147"/>
      <c r="HR9" s="147"/>
      <c r="HS9" s="147"/>
      <c r="HT9" s="147"/>
      <c r="HU9" s="147"/>
      <c r="HV9" s="147"/>
      <c r="HW9" s="147"/>
      <c r="HX9" s="147"/>
      <c r="HY9" s="147"/>
      <c r="HZ9" s="147"/>
      <c r="IA9" s="147"/>
      <c r="IB9" s="147"/>
      <c r="IC9" s="147"/>
      <c r="ID9" s="147"/>
      <c r="IE9" s="147"/>
      <c r="IF9" s="147"/>
      <c r="IG9" s="147"/>
      <c r="IH9" s="147"/>
      <c r="II9" s="147"/>
      <c r="IJ9" s="147"/>
      <c r="IK9" s="147"/>
      <c r="IL9" s="147"/>
      <c r="IM9" s="147"/>
      <c r="IN9" s="147"/>
      <c r="IO9" s="147"/>
      <c r="IP9" s="147"/>
      <c r="IQ9" s="147"/>
      <c r="IR9" s="147"/>
      <c r="IS9" s="147"/>
      <c r="IT9" s="147"/>
      <c r="IU9" s="147"/>
      <c r="IV9" s="147"/>
      <c r="IW9" s="147"/>
      <c r="IX9" s="147"/>
      <c r="IY9" s="147"/>
      <c r="IZ9" s="147"/>
      <c r="JA9" s="147"/>
      <c r="JB9" s="147"/>
      <c r="JC9" s="147"/>
      <c r="JD9" s="147"/>
      <c r="JE9" s="147"/>
      <c r="JF9" s="147"/>
      <c r="JG9" s="147"/>
      <c r="JH9" s="147"/>
      <c r="JI9" s="147"/>
      <c r="JJ9" s="147"/>
      <c r="JK9" s="147"/>
      <c r="JL9" s="147"/>
      <c r="JM9" s="147"/>
      <c r="JN9" s="147"/>
      <c r="JO9" s="147"/>
      <c r="JP9" s="147"/>
    </row>
    <row r="10" spans="1:276" s="150" customFormat="1" ht="110.25" customHeight="1" x14ac:dyDescent="0.25">
      <c r="A10" s="398">
        <v>1</v>
      </c>
      <c r="B10" s="400" t="s">
        <v>557</v>
      </c>
      <c r="C10" s="400" t="s">
        <v>44</v>
      </c>
      <c r="D10" s="400" t="s">
        <v>1045</v>
      </c>
      <c r="E10" s="400" t="s">
        <v>1046</v>
      </c>
      <c r="F10" s="400" t="s">
        <v>1047</v>
      </c>
      <c r="G10" s="401" t="str">
        <f>+CONCATENATE(C10," ",D10," ",E10)</f>
        <v>Posibilidad de afectación Económica y Reputacional Por hallazgos o sanciones interpuestas por los entes de control a la Entidad. Debido a la no aplicación de los procesos de debida diligencia.</v>
      </c>
      <c r="H10" s="400" t="s">
        <v>94</v>
      </c>
      <c r="I10" s="402" t="s">
        <v>62</v>
      </c>
      <c r="J10" s="402" t="s">
        <v>1048</v>
      </c>
      <c r="K10" s="402" t="s">
        <v>1049</v>
      </c>
      <c r="L10" s="402" t="s">
        <v>1050</v>
      </c>
      <c r="M10" s="402" t="s">
        <v>77</v>
      </c>
      <c r="N10" s="402" t="s">
        <v>46</v>
      </c>
      <c r="O10" s="416">
        <v>100</v>
      </c>
      <c r="P10" s="417" t="str">
        <f>IF(O10&lt;=0,"",IF(O10&lt;=2,"Muy Baja",IF(O10&lt;=24,"Baja",IF(O10&lt;=500,"Media",IF(O10&lt;=5000,"Alta","Muy Alta")))))</f>
        <v>Media</v>
      </c>
      <c r="Q10" s="405">
        <f>IF(P10="","",IF(P10="Muy Baja",0.2,IF(P10="Baja",0.4,IF(P10="Media",0.6,IF(P10="Alta",0.8,IF(P10="Muy Alta",1,))))))</f>
        <v>0.6</v>
      </c>
      <c r="R10" s="406" t="s">
        <v>481</v>
      </c>
      <c r="S10" s="713" t="str">
        <f>IF(NOT(ISERROR(MATCH(R10,'[3]Tabla Impacto'!$B$245:$B$249,0))),'[3]Tabla Impacto'!$F$224&amp;"Por favor no seleccionar los criterios de impacto(Reputacional, Operativo, Legal, ni Contagio)",R10)</f>
        <v>Causado por un proveedor, contratista o funcionario de la entidad</v>
      </c>
      <c r="T10" s="417" t="str">
        <f>IFERROR(VLOOKUP(S10,'[3]Tabla Impacto'!F235:$I$263,2,FALSE),"")</f>
        <v>Moderado</v>
      </c>
      <c r="U10" s="405">
        <f>IF(T10="","",IF(T10="Leve",0.2,IF(T10="Menor",0.4,IF(T10="Moderado",0.6,IF(T10="Mayor",0.8,IF(T10="Catastrófico",1,))))))</f>
        <v>0.6</v>
      </c>
      <c r="V10" s="418" t="str">
        <f>IF(OR(AND(P10="Muy Baja",T10="Leve"),AND(P10="Muy Baja",T10="Menor"),AND(P10="Baja",T10="Leve")),"Bajo",IF(OR(AND(P10="Muy baja",T10="Moderado"),AND(P10="Baja",T10="Menor"),AND(P10="Baja",T10="Moderado"),AND(P10="Media",T10="Leve"),AND(P10="Media",T10="Menor"),AND(P10="Media",T10="Moderado"),AND(P10="Alta",T10="Leve"),AND(P10="Alta",T10="Menor")),"Moderado",IF(OR(AND(P10="Muy Baja",T10="Mayor"),AND(P10="Baja",T10="Mayor"),AND(P10="Media",T10="Mayor"),AND(P10="Alta",T10="Moderado"),AND(P10="Alta",T10="Mayor"),AND(P10="Muy Alta",T10="Leve"),AND(P10="Muy Alta",T10="Menor"),AND(P10="Muy Alta",T10="Moderado"),AND(P10="Muy Alta",T10="Mayor")),"Alto",IF(OR(AND(P10="Muy Baja",T10="Catastrófico"),AND(P10="Baja",T10="Catastrófico"),AND(P10="Media",T10="Catastrófico"),AND(P10="Alta",T10="Catastrófico"),AND(P10="Muy Alta",T10="Catastrófico")),"Extremo",""))))</f>
        <v>Moderado</v>
      </c>
      <c r="W10" s="149">
        <v>1</v>
      </c>
      <c r="X10" s="345" t="s">
        <v>1051</v>
      </c>
      <c r="Y10" s="182" t="s">
        <v>37</v>
      </c>
      <c r="Z10" s="346" t="s">
        <v>1052</v>
      </c>
      <c r="AA10" s="174" t="str">
        <f>+CONCATENATE(X10," ",Y10," ",Z10)</f>
        <v>El Colaborador designado por Tesorería Verifica diariamente los movimientos reflejados en las reportes de la Cuenta Única Distrital -CUD, identificando los ingresos y elaborando las actas de legalización registrando su respectiva justificación. En caso que no establezca la procedencia de los ingresos se debe elaborar una partida conciliatoria, con el propósito de definir la procedencia del ingreso.</v>
      </c>
      <c r="AB10" s="126" t="str">
        <f t="shared" ref="AB10:AB15" si="0">IF(OR(AC10="Preventivo",AC10="Detectivo"),"Probabilidad",IF(AC10="Correctivo","Impacto",""))</f>
        <v>Probabilidad</v>
      </c>
      <c r="AC10" s="127" t="s">
        <v>398</v>
      </c>
      <c r="AD10" s="127" t="s">
        <v>394</v>
      </c>
      <c r="AE10" s="128" t="str">
        <f>IF(AND(AC10="Preventivo",AD10="Automático"),"50%",IF(AND(AC10="Preventivo",AD10="Manual"),"40%",IF(AND(AC10="Detectivo",AD10="Automático"),"40%",IF(AND(AC10="Detectivo",AD10="Manual"),"30%",IF(AND(AC10="Correctivo",AD10="Automático"),"35%",IF(AND(AC10="Correctivo",AD10="Manual"),"25%",""))))))</f>
        <v>40%</v>
      </c>
      <c r="AF10" s="127" t="s">
        <v>395</v>
      </c>
      <c r="AG10" s="127" t="s">
        <v>396</v>
      </c>
      <c r="AH10" s="127" t="s">
        <v>397</v>
      </c>
      <c r="AI10" s="129">
        <f>IFERROR(IF(AB10="Probabilidad",(Q10-(+Q10*AE10)),IF(AB10="Impacto",Q10,"")),"")</f>
        <v>0.36</v>
      </c>
      <c r="AJ10" s="130" t="str">
        <f>IFERROR(IF(AI10="","",IF(AI10&lt;=0.2,"Muy Baja",IF(AI10&lt;=0.4,"Baja",IF(AI10&lt;=0.6,"Media",IF(AI10&lt;=0.8,"Alta","Muy Alta"))))),"")</f>
        <v>Baja</v>
      </c>
      <c r="AK10" s="128">
        <f>+AI10</f>
        <v>0.36</v>
      </c>
      <c r="AL10" s="130" t="str">
        <f>IFERROR(IF(AM10="","",IF(AM10&lt;=0.2,"Leve",IF(AM10&lt;=0.4,"Menor",IF(AM10&lt;=0.6,"Moderado",IF(AM10&lt;=0.8,"Mayor","Catastrófico"))))),"")</f>
        <v>Moderado</v>
      </c>
      <c r="AM10" s="128">
        <f>IFERROR(IF(AB10="Impacto",(U10-(+U10*AE10)),IF(AB10="Probabilidad",U10,"")),"")</f>
        <v>0.6</v>
      </c>
      <c r="AN10" s="131" t="str">
        <f>IFERROR(IF(OR(AND(AJ10="Muy Baja",AL10="Leve"),AND(AJ10="Muy Baja",AL10="Menor"),AND(AJ10="Baja",AL10="Leve")),"Bajo",IF(OR(AND(AJ10="Muy baja",AL10="Moderado"),AND(AJ10="Baja",AL10="Menor"),AND(AJ10="Baja",AL10="Moderado"),AND(AJ10="Media",AL10="Leve"),AND(AJ10="Media",AL10="Menor"),AND(AJ10="Media",AL10="Moderado"),AND(AJ10="Alta",AL10="Leve"),AND(AJ10="Alta",AL10="Menor")),"Moderado",IF(OR(AND(AJ10="Muy Baja",AL10="Mayor"),AND(AJ10="Baja",AL10="Mayor"),AND(AJ10="Media",AL10="Mayor"),AND(AJ10="Alta",AL10="Moderado"),AND(AJ10="Alta",AL10="Mayor"),AND(AJ10="Muy Alta",AL10="Leve"),AND(AJ10="Muy Alta",AL10="Menor"),AND(AJ10="Muy Alta",AL10="Moderado"),AND(AJ10="Muy Alta",AL10="Mayor")),"Alto",IF(OR(AND(AJ10="Muy Baja",AL10="Catastrófico"),AND(AJ10="Baja",AL10="Catastrófico"),AND(AJ10="Media",AL10="Catastrófico"),AND(AJ10="Alta",AL10="Catastrófico"),AND(AJ10="Muy Alta",AL10="Catastrófico")),"Extremo","")))),"")</f>
        <v>Moderado</v>
      </c>
      <c r="AO10" s="132" t="s">
        <v>43</v>
      </c>
      <c r="AP10" s="125" t="s">
        <v>1053</v>
      </c>
      <c r="AQ10" s="133" t="s">
        <v>1054</v>
      </c>
      <c r="AR10" s="125" t="s">
        <v>1055</v>
      </c>
      <c r="AS10" s="134" t="s">
        <v>1056</v>
      </c>
      <c r="AT10" s="400" t="s">
        <v>1057</v>
      </c>
      <c r="AU10" s="400" t="s">
        <v>1058</v>
      </c>
      <c r="AV10" s="400" t="s">
        <v>791</v>
      </c>
    </row>
    <row r="11" spans="1:276" ht="19.5" hidden="1" customHeight="1" x14ac:dyDescent="0.2">
      <c r="A11" s="398"/>
      <c r="B11" s="400"/>
      <c r="C11" s="400"/>
      <c r="D11" s="400"/>
      <c r="E11" s="400"/>
      <c r="F11" s="400"/>
      <c r="G11" s="401"/>
      <c r="H11" s="400"/>
      <c r="I11" s="403"/>
      <c r="J11" s="403"/>
      <c r="K11" s="403"/>
      <c r="L11" s="403"/>
      <c r="M11" s="403"/>
      <c r="N11" s="403"/>
      <c r="O11" s="416"/>
      <c r="P11" s="417"/>
      <c r="Q11" s="405"/>
      <c r="R11" s="406"/>
      <c r="S11" s="713"/>
      <c r="T11" s="417"/>
      <c r="U11" s="405"/>
      <c r="V11" s="418"/>
      <c r="W11" s="149">
        <v>2</v>
      </c>
      <c r="X11" s="182"/>
      <c r="Y11" s="149"/>
      <c r="Z11" s="149"/>
      <c r="AA11" s="174" t="str">
        <f t="shared" ref="AA11:AA69" si="1">+CONCATENATE(X11," ",Y11," ",Z11)</f>
        <v xml:space="preserve">  </v>
      </c>
      <c r="AB11" s="126" t="str">
        <f t="shared" si="0"/>
        <v/>
      </c>
      <c r="AC11" s="127"/>
      <c r="AD11" s="127"/>
      <c r="AE11" s="128" t="str">
        <f t="shared" ref="AE11:AE15" si="2">IF(AND(AC11="Preventivo",AD11="Automático"),"50%",IF(AND(AC11="Preventivo",AD11="Manual"),"40%",IF(AND(AC11="Detectivo",AD11="Automático"),"40%",IF(AND(AC11="Detectivo",AD11="Manual"),"30%",IF(AND(AC11="Correctivo",AD11="Automático"),"35%",IF(AND(AC11="Correctivo",AD11="Manual"),"25%",""))))))</f>
        <v/>
      </c>
      <c r="AF11" s="127"/>
      <c r="AG11" s="127"/>
      <c r="AH11" s="127"/>
      <c r="AI11" s="129" t="str">
        <f>IFERROR(IF(AND(AB10="Probabilidad",AB11="Probabilidad"),(AK10-(+AK10*AE11)),IF(AB11="Probabilidad",(Q10-(+Q10*AE11)),IF(AB11="Impacto",AK10,""))),"")</f>
        <v/>
      </c>
      <c r="AJ11" s="130" t="str">
        <f t="shared" ref="AJ11:AJ69" si="3">IFERROR(IF(AI11="","",IF(AI11&lt;=0.2,"Muy Baja",IF(AI11&lt;=0.4,"Baja",IF(AI11&lt;=0.6,"Media",IF(AI11&lt;=0.8,"Alta","Muy Alta"))))),"")</f>
        <v/>
      </c>
      <c r="AK11" s="128" t="str">
        <f t="shared" ref="AK11:AK15" si="4">+AI11</f>
        <v/>
      </c>
      <c r="AL11" s="130" t="str">
        <f t="shared" ref="AL11:AL69" si="5">IFERROR(IF(AM11="","",IF(AM11&lt;=0.2,"Leve",IF(AM11&lt;=0.4,"Menor",IF(AM11&lt;=0.6,"Moderado",IF(AM11&lt;=0.8,"Mayor","Catastrófico"))))),"")</f>
        <v/>
      </c>
      <c r="AM11" s="128" t="str">
        <f>IFERROR(IF(AND(AB10="Impacto",AB11="Impacto"),(AM10-(+AM10*AE11)),IF(AB11="Impacto",($U$10-(+$U$10*AE11)),IF(AB11="Probabilidad",AM10,""))),"")</f>
        <v/>
      </c>
      <c r="AN11" s="131" t="str">
        <f t="shared" ref="AN11:AN15" si="6">IFERROR(IF(OR(AND(AJ11="Muy Baja",AL11="Leve"),AND(AJ11="Muy Baja",AL11="Menor"),AND(AJ11="Baja",AL11="Leve")),"Bajo",IF(OR(AND(AJ11="Muy baja",AL11="Moderado"),AND(AJ11="Baja",AL11="Menor"),AND(AJ11="Baja",AL11="Moderado"),AND(AJ11="Media",AL11="Leve"),AND(AJ11="Media",AL11="Menor"),AND(AJ11="Media",AL11="Moderado"),AND(AJ11="Alta",AL11="Leve"),AND(AJ11="Alta",AL11="Menor")),"Moderado",IF(OR(AND(AJ11="Muy Baja",AL11="Mayor"),AND(AJ11="Baja",AL11="Mayor"),AND(AJ11="Media",AL11="Mayor"),AND(AJ11="Alta",AL11="Moderado"),AND(AJ11="Alta",AL11="Mayor"),AND(AJ11="Muy Alta",AL11="Leve"),AND(AJ11="Muy Alta",AL11="Menor"),AND(AJ11="Muy Alta",AL11="Moderado"),AND(AJ11="Muy Alta",AL11="Mayor")),"Alto",IF(OR(AND(AJ11="Muy Baja",AL11="Catastrófico"),AND(AJ11="Baja",AL11="Catastrófico"),AND(AJ11="Media",AL11="Catastrófico"),AND(AJ11="Alta",AL11="Catastrófico"),AND(AJ11="Muy Alta",AL11="Catastrófico")),"Extremo","")))),"")</f>
        <v/>
      </c>
      <c r="AO11" s="132"/>
      <c r="AP11" s="125"/>
      <c r="AQ11" s="133"/>
      <c r="AR11" s="125"/>
      <c r="AS11" s="134"/>
      <c r="AT11" s="400"/>
      <c r="AU11" s="400"/>
      <c r="AV11" s="400"/>
    </row>
    <row r="12" spans="1:276" hidden="1" x14ac:dyDescent="0.2">
      <c r="A12" s="398"/>
      <c r="B12" s="400"/>
      <c r="C12" s="400"/>
      <c r="D12" s="400"/>
      <c r="E12" s="400"/>
      <c r="F12" s="400"/>
      <c r="G12" s="401"/>
      <c r="H12" s="400"/>
      <c r="I12" s="403"/>
      <c r="J12" s="403"/>
      <c r="K12" s="403"/>
      <c r="L12" s="403"/>
      <c r="M12" s="403"/>
      <c r="N12" s="403"/>
      <c r="O12" s="416"/>
      <c r="P12" s="417"/>
      <c r="Q12" s="405"/>
      <c r="R12" s="406"/>
      <c r="S12" s="713"/>
      <c r="T12" s="417"/>
      <c r="U12" s="405"/>
      <c r="V12" s="418"/>
      <c r="W12" s="149">
        <v>3</v>
      </c>
      <c r="X12" s="182"/>
      <c r="Y12" s="149"/>
      <c r="Z12" s="149"/>
      <c r="AA12" s="174" t="str">
        <f t="shared" si="1"/>
        <v xml:space="preserve">  </v>
      </c>
      <c r="AB12" s="126" t="str">
        <f t="shared" si="0"/>
        <v/>
      </c>
      <c r="AC12" s="127"/>
      <c r="AD12" s="127"/>
      <c r="AE12" s="128" t="str">
        <f t="shared" si="2"/>
        <v/>
      </c>
      <c r="AF12" s="127"/>
      <c r="AG12" s="127"/>
      <c r="AH12" s="127"/>
      <c r="AI12" s="129" t="str">
        <f>IFERROR(IF(AND(AB11="Probabilidad",AB12="Probabilidad"),(AK11-(+AK11*AE12)),IF(AND(AB11="Impacto",AB12="Probabilidad"),(AK10-(+AK10*AE12)),IF(AB12="Impacto",AK11,""))),"")</f>
        <v/>
      </c>
      <c r="AJ12" s="130" t="str">
        <f t="shared" si="3"/>
        <v/>
      </c>
      <c r="AK12" s="128" t="str">
        <f t="shared" si="4"/>
        <v/>
      </c>
      <c r="AL12" s="130" t="str">
        <f t="shared" si="5"/>
        <v/>
      </c>
      <c r="AM12" s="128" t="str">
        <f>IFERROR(IF(AND(AB11="Impacto",AB12="Impacto"),(AM11-(+AM11*AE12)),IF(AND(AB11="Probabilidad",AB12="Impacto"),(AM10-(+AM10*AE12)),IF(AB12="Probabilidad",AM11,""))),"")</f>
        <v/>
      </c>
      <c r="AN12" s="131" t="str">
        <f t="shared" si="6"/>
        <v/>
      </c>
      <c r="AO12" s="132"/>
      <c r="AP12" s="125"/>
      <c r="AQ12" s="133"/>
      <c r="AR12" s="133"/>
      <c r="AS12" s="134"/>
      <c r="AT12" s="400"/>
      <c r="AU12" s="400"/>
      <c r="AV12" s="400"/>
    </row>
    <row r="13" spans="1:276" hidden="1" x14ac:dyDescent="0.2">
      <c r="A13" s="398"/>
      <c r="B13" s="400"/>
      <c r="C13" s="400"/>
      <c r="D13" s="400"/>
      <c r="E13" s="400"/>
      <c r="F13" s="400"/>
      <c r="G13" s="401"/>
      <c r="H13" s="400"/>
      <c r="I13" s="403"/>
      <c r="J13" s="403"/>
      <c r="K13" s="403"/>
      <c r="L13" s="403"/>
      <c r="M13" s="403"/>
      <c r="N13" s="403"/>
      <c r="O13" s="416"/>
      <c r="P13" s="417"/>
      <c r="Q13" s="405"/>
      <c r="R13" s="406"/>
      <c r="S13" s="713"/>
      <c r="T13" s="417"/>
      <c r="U13" s="405"/>
      <c r="V13" s="418"/>
      <c r="W13" s="149">
        <v>4</v>
      </c>
      <c r="X13" s="182"/>
      <c r="Y13" s="149"/>
      <c r="Z13" s="149"/>
      <c r="AA13" s="174" t="str">
        <f t="shared" si="1"/>
        <v xml:space="preserve">  </v>
      </c>
      <c r="AB13" s="126" t="str">
        <f t="shared" si="0"/>
        <v/>
      </c>
      <c r="AC13" s="127"/>
      <c r="AD13" s="127"/>
      <c r="AE13" s="128" t="str">
        <f t="shared" si="2"/>
        <v/>
      </c>
      <c r="AF13" s="127"/>
      <c r="AG13" s="127"/>
      <c r="AH13" s="127"/>
      <c r="AI13" s="129" t="str">
        <f t="shared" ref="AI13:AI15" si="7">IFERROR(IF(AND(AB12="Probabilidad",AB13="Probabilidad"),(AK12-(+AK12*AE13)),IF(AND(AB12="Impacto",AB13="Probabilidad"),(AK11-(+AK11*AE13)),IF(AB13="Impacto",AK12,""))),"")</f>
        <v/>
      </c>
      <c r="AJ13" s="130" t="str">
        <f t="shared" si="3"/>
        <v/>
      </c>
      <c r="AK13" s="128" t="str">
        <f t="shared" si="4"/>
        <v/>
      </c>
      <c r="AL13" s="130" t="str">
        <f t="shared" si="5"/>
        <v/>
      </c>
      <c r="AM13" s="128" t="str">
        <f t="shared" ref="AM13:AM15" si="8">IFERROR(IF(AND(AB12="Impacto",AB13="Impacto"),(AM12-(+AM12*AE13)),IF(AND(AB12="Probabilidad",AB13="Impacto"),(AM11-(+AM11*AE13)),IF(AB13="Probabilidad",AM12,""))),"")</f>
        <v/>
      </c>
      <c r="AN13" s="131" t="str">
        <f>IFERROR(IF(OR(AND(AJ13="Muy Baja",AL13="Leve"),AND(AJ13="Muy Baja",AL13="Menor"),AND(AJ13="Baja",AL13="Leve")),"Bajo",IF(OR(AND(AJ13="Muy baja",AL13="Moderado"),AND(AJ13="Baja",AL13="Menor"),AND(AJ13="Baja",AL13="Moderado"),AND(AJ13="Media",AL13="Leve"),AND(AJ13="Media",AL13="Menor"),AND(AJ13="Media",AL13="Moderado"),AND(AJ13="Alta",AL13="Leve"),AND(AJ13="Alta",AL13="Menor")),"Moderado",IF(OR(AND(AJ13="Muy Baja",AL13="Mayor"),AND(AJ13="Baja",AL13="Mayor"),AND(AJ13="Media",AL13="Mayor"),AND(AJ13="Alta",AL13="Moderado"),AND(AJ13="Alta",AL13="Mayor"),AND(AJ13="Muy Alta",AL13="Leve"),AND(AJ13="Muy Alta",AL13="Menor"),AND(AJ13="Muy Alta",AL13="Moderado"),AND(AJ13="Muy Alta",AL13="Mayor")),"Alto",IF(OR(AND(AJ13="Muy Baja",AL13="Catastrófico"),AND(AJ13="Baja",AL13="Catastrófico"),AND(AJ13="Media",AL13="Catastrófico"),AND(AJ13="Alta",AL13="Catastrófico"),AND(AJ13="Muy Alta",AL13="Catastrófico")),"Extremo","")))),"")</f>
        <v/>
      </c>
      <c r="AO13" s="132"/>
      <c r="AP13" s="125"/>
      <c r="AQ13" s="133"/>
      <c r="AR13" s="133"/>
      <c r="AS13" s="134"/>
      <c r="AT13" s="400"/>
      <c r="AU13" s="400"/>
      <c r="AV13" s="400"/>
    </row>
    <row r="14" spans="1:276" hidden="1" x14ac:dyDescent="0.2">
      <c r="A14" s="398"/>
      <c r="B14" s="400"/>
      <c r="C14" s="400"/>
      <c r="D14" s="400"/>
      <c r="E14" s="400"/>
      <c r="F14" s="400"/>
      <c r="G14" s="401"/>
      <c r="H14" s="400"/>
      <c r="I14" s="403"/>
      <c r="J14" s="403"/>
      <c r="K14" s="403"/>
      <c r="L14" s="403"/>
      <c r="M14" s="403"/>
      <c r="N14" s="403"/>
      <c r="O14" s="416"/>
      <c r="P14" s="417"/>
      <c r="Q14" s="405"/>
      <c r="R14" s="406"/>
      <c r="S14" s="713"/>
      <c r="T14" s="417"/>
      <c r="U14" s="405"/>
      <c r="V14" s="418"/>
      <c r="W14" s="149">
        <v>5</v>
      </c>
      <c r="X14" s="182"/>
      <c r="Y14" s="149"/>
      <c r="Z14" s="149"/>
      <c r="AA14" s="174" t="str">
        <f t="shared" si="1"/>
        <v xml:space="preserve">  </v>
      </c>
      <c r="AB14" s="126" t="str">
        <f t="shared" si="0"/>
        <v/>
      </c>
      <c r="AC14" s="127"/>
      <c r="AD14" s="127"/>
      <c r="AE14" s="128" t="str">
        <f t="shared" si="2"/>
        <v/>
      </c>
      <c r="AF14" s="127"/>
      <c r="AG14" s="127"/>
      <c r="AH14" s="127"/>
      <c r="AI14" s="129" t="str">
        <f t="shared" si="7"/>
        <v/>
      </c>
      <c r="AJ14" s="130" t="str">
        <f t="shared" si="3"/>
        <v/>
      </c>
      <c r="AK14" s="128" t="str">
        <f t="shared" si="4"/>
        <v/>
      </c>
      <c r="AL14" s="130" t="str">
        <f t="shared" si="5"/>
        <v/>
      </c>
      <c r="AM14" s="128" t="str">
        <f t="shared" si="8"/>
        <v/>
      </c>
      <c r="AN14" s="131" t="str">
        <f t="shared" si="6"/>
        <v/>
      </c>
      <c r="AO14" s="132"/>
      <c r="AP14" s="125"/>
      <c r="AQ14" s="133"/>
      <c r="AR14" s="133"/>
      <c r="AS14" s="134"/>
      <c r="AT14" s="400"/>
      <c r="AU14" s="400"/>
      <c r="AV14" s="400"/>
    </row>
    <row r="15" spans="1:276" hidden="1" x14ac:dyDescent="0.2">
      <c r="A15" s="398"/>
      <c r="B15" s="400"/>
      <c r="C15" s="400"/>
      <c r="D15" s="400"/>
      <c r="E15" s="400"/>
      <c r="F15" s="400"/>
      <c r="G15" s="401"/>
      <c r="H15" s="400"/>
      <c r="I15" s="404"/>
      <c r="J15" s="404"/>
      <c r="K15" s="404"/>
      <c r="L15" s="404"/>
      <c r="M15" s="404"/>
      <c r="N15" s="404"/>
      <c r="O15" s="416"/>
      <c r="P15" s="417"/>
      <c r="Q15" s="405"/>
      <c r="R15" s="406"/>
      <c r="S15" s="713"/>
      <c r="T15" s="417"/>
      <c r="U15" s="405"/>
      <c r="V15" s="418"/>
      <c r="W15" s="149">
        <v>6</v>
      </c>
      <c r="X15" s="182"/>
      <c r="Y15" s="149"/>
      <c r="Z15" s="149"/>
      <c r="AA15" s="174" t="str">
        <f t="shared" si="1"/>
        <v xml:space="preserve">  </v>
      </c>
      <c r="AB15" s="126" t="str">
        <f t="shared" si="0"/>
        <v/>
      </c>
      <c r="AC15" s="127"/>
      <c r="AD15" s="127"/>
      <c r="AE15" s="128" t="str">
        <f t="shared" si="2"/>
        <v/>
      </c>
      <c r="AF15" s="127"/>
      <c r="AG15" s="127"/>
      <c r="AH15" s="127"/>
      <c r="AI15" s="129" t="str">
        <f t="shared" si="7"/>
        <v/>
      </c>
      <c r="AJ15" s="130" t="str">
        <f t="shared" si="3"/>
        <v/>
      </c>
      <c r="AK15" s="128" t="str">
        <f t="shared" si="4"/>
        <v/>
      </c>
      <c r="AL15" s="130" t="str">
        <f t="shared" si="5"/>
        <v/>
      </c>
      <c r="AM15" s="128" t="str">
        <f t="shared" si="8"/>
        <v/>
      </c>
      <c r="AN15" s="131" t="str">
        <f t="shared" si="6"/>
        <v/>
      </c>
      <c r="AO15" s="132"/>
      <c r="AP15" s="125"/>
      <c r="AQ15" s="133"/>
      <c r="AR15" s="133"/>
      <c r="AS15" s="134"/>
      <c r="AT15" s="400"/>
      <c r="AU15" s="400"/>
      <c r="AV15" s="400"/>
    </row>
    <row r="16" spans="1:276" ht="181.5" customHeight="1" x14ac:dyDescent="0.2">
      <c r="A16" s="398">
        <v>2</v>
      </c>
      <c r="B16" s="400" t="s">
        <v>560</v>
      </c>
      <c r="C16" s="400" t="s">
        <v>36</v>
      </c>
      <c r="D16" s="400" t="s">
        <v>1176</v>
      </c>
      <c r="E16" s="400" t="s">
        <v>1177</v>
      </c>
      <c r="F16" s="400" t="s">
        <v>1178</v>
      </c>
      <c r="G16" s="401" t="str">
        <f t="shared" ref="G16" si="9">+CONCATENATE(C16," ",D16," ",E16)</f>
        <v>Posibilidad de afectación económica Por contratar o ceder a proveedores sancionados por el Consejo de Seguridad de las Naciones Unidas o que estén incluidos en otras listas restrictivas. Debido a la no aplicación de los procesos de debida diligencia</v>
      </c>
      <c r="H16" s="400" t="s">
        <v>94</v>
      </c>
      <c r="I16" s="402" t="s">
        <v>62</v>
      </c>
      <c r="J16" s="402" t="s">
        <v>1179</v>
      </c>
      <c r="K16" s="402" t="s">
        <v>1180</v>
      </c>
      <c r="L16" s="402" t="s">
        <v>1181</v>
      </c>
      <c r="M16" s="402" t="s">
        <v>63</v>
      </c>
      <c r="N16" s="402" t="s">
        <v>42</v>
      </c>
      <c r="O16" s="416">
        <v>500</v>
      </c>
      <c r="P16" s="417" t="str">
        <f>IF(O16&lt;=0,"",IF(O16&lt;=2,"Muy Baja",IF(O16&lt;=24,"Baja",IF(O16&lt;=500,"Media",IF(O16&lt;=5000,"Alta","Muy Alta")))))</f>
        <v>Media</v>
      </c>
      <c r="Q16" s="405">
        <f>IF(P16="","",IF(P16="Muy Baja",0.2,IF(P16="Baja",0.4,IF(P16="Media",0.6,IF(P16="Alta",0.8,IF(P16="Muy Alta",1,))))))</f>
        <v>0.6</v>
      </c>
      <c r="R16" s="406" t="s">
        <v>481</v>
      </c>
      <c r="S16" s="405" t="str">
        <f>IF(NOT(ISERROR(MATCH(R16,'[3]Tabla Impacto'!$B$245:$B$249,0))),'[3]Tabla Impacto'!$F$224&amp;"Por favor no seleccionar los criterios de impacto(Reputacional, Operativo, Legal, ni Contagio)",R16)</f>
        <v>Causado por un proveedor, contratista o funcionario de la entidad</v>
      </c>
      <c r="T16" s="417" t="str">
        <f>IFERROR(VLOOKUP(S16,'[3]Tabla Impacto'!F241:$I$263,2,FALSE),"")</f>
        <v>Moderado</v>
      </c>
      <c r="U16" s="405">
        <f>IF(T16="","",IF(T16="Leve",0.2,IF(T16="Menor",0.4,IF(T16="Moderado",0.6,IF(T16="Mayor",0.8,IF(T16="Catastrófico",1,))))))</f>
        <v>0.6</v>
      </c>
      <c r="V16" s="418" t="str">
        <f>IF(OR(AND(P16="Muy Baja",T16="Leve"),AND(P16="Muy Baja",T16="Menor"),AND(P16="Baja",T16="Leve")),"Bajo",IF(OR(AND(P16="Muy baja",T16="Moderado"),AND(P16="Baja",T16="Menor"),AND(P16="Baja",T16="Moderado"),AND(P16="Media",T16="Leve"),AND(P16="Media",T16="Menor"),AND(P16="Media",T16="Moderado"),AND(P16="Alta",T16="Leve"),AND(P16="Alta",T16="Menor")),"Moderado",IF(OR(AND(P16="Muy Baja",T16="Mayor"),AND(P16="Baja",T16="Mayor"),AND(P16="Media",T16="Mayor"),AND(P16="Alta",T16="Moderado"),AND(P16="Alta",T16="Mayor"),AND(P16="Muy Alta",T16="Leve"),AND(P16="Muy Alta",T16="Menor"),AND(P16="Muy Alta",T16="Moderado"),AND(P16="Muy Alta",T16="Mayor")),"Alto",IF(OR(AND(P16="Muy Baja",T16="Catastrófico"),AND(P16="Baja",T16="Catastrófico"),AND(P16="Media",T16="Catastrófico"),AND(P16="Alta",T16="Catastrófico"),AND(P16="Muy Alta",T16="Catastrófico")),"Extremo",""))))</f>
        <v>Moderado</v>
      </c>
      <c r="W16" s="149">
        <v>1</v>
      </c>
      <c r="X16" s="182" t="s">
        <v>1182</v>
      </c>
      <c r="Y16" s="182" t="s">
        <v>37</v>
      </c>
      <c r="Z16" s="182" t="s">
        <v>1183</v>
      </c>
      <c r="AA16" s="174" t="str">
        <f t="shared" si="1"/>
        <v>El profesional designado por la Gerencia de Contratación Verifica cada vez que se reciben propuestas que la carta de presentación de oferta cumpla con los requisitos relacionados en esta, evidenciando que los bienes y recursos destinados para suplir la necesidad de la entidad, son de origen licito; así como, la composición accionaria de la persona jurídica o de los integrantes del proponente plural.
Evidencia: Informe de evaluación de requisitos juridicos.
En caso de no aportar la carta de presentación de la oferta o ésta no este completamente diligenciada se solicita al proponente la aclare o diligencie en su totalidad.</v>
      </c>
      <c r="AB16" s="126" t="str">
        <f>IF(OR(AC16="Preventivo",AC16="Detectivo"),"Probabilidad",IF(AC16="Correctivo","Impacto",""))</f>
        <v>Probabilidad</v>
      </c>
      <c r="AC16" s="127" t="s">
        <v>398</v>
      </c>
      <c r="AD16" s="127" t="s">
        <v>394</v>
      </c>
      <c r="AE16" s="128" t="str">
        <f>IF(AND(AC16="Preventivo",AD16="Automático"),"50%",IF(AND(AC16="Preventivo",AD16="Manual"),"40%",IF(AND(AC16="Detectivo",AD16="Automático"),"40%",IF(AND(AC16="Detectivo",AD16="Manual"),"30%",IF(AND(AC16="Correctivo",AD16="Automático"),"35%",IF(AND(AC16="Correctivo",AD16="Manual"),"25%",""))))))</f>
        <v>40%</v>
      </c>
      <c r="AF16" s="127" t="s">
        <v>395</v>
      </c>
      <c r="AG16" s="127" t="s">
        <v>396</v>
      </c>
      <c r="AH16" s="127" t="s">
        <v>397</v>
      </c>
      <c r="AI16" s="129">
        <f>IFERROR(IF(AB16="Probabilidad",(Q16-(+Q16*AE16)),IF(AB16="Impacto",Q16,"")),"")</f>
        <v>0.36</v>
      </c>
      <c r="AJ16" s="130" t="str">
        <f>IFERROR(IF(AI16="","",IF(AI16&lt;=0.2,"Muy Baja",IF(AI16&lt;=0.4,"Baja",IF(AI16&lt;=0.6,"Media",IF(AI16&lt;=0.8,"Alta","Muy Alta"))))),"")</f>
        <v>Baja</v>
      </c>
      <c r="AK16" s="128">
        <f>+AI16</f>
        <v>0.36</v>
      </c>
      <c r="AL16" s="130" t="str">
        <f>IFERROR(IF(AM16="","",IF(AM16&lt;=0.2,"Leve",IF(AM16&lt;=0.4,"Menor",IF(AM16&lt;=0.6,"Moderado",IF(AM16&lt;=0.8,"Mayor","Catastrófico"))))),"")</f>
        <v>Moderado</v>
      </c>
      <c r="AM16" s="128">
        <f t="shared" ref="AM16" si="10">IFERROR(IF(AB16="Impacto",(U16-(+U16*AE16)),IF(AB16="Probabilidad",U16,"")),"")</f>
        <v>0.6</v>
      </c>
      <c r="AN16" s="131" t="str">
        <f>IFERROR(IF(OR(AND(AJ16="Muy Baja",AL16="Leve"),AND(AJ16="Muy Baja",AL16="Menor"),AND(AJ16="Baja",AL16="Leve")),"Bajo",IF(OR(AND(AJ16="Muy baja",AL16="Moderado"),AND(AJ16="Baja",AL16="Menor"),AND(AJ16="Baja",AL16="Moderado"),AND(AJ16="Media",AL16="Leve"),AND(AJ16="Media",AL16="Menor"),AND(AJ16="Media",AL16="Moderado"),AND(AJ16="Alta",AL16="Leve"),AND(AJ16="Alta",AL16="Menor")),"Moderado",IF(OR(AND(AJ16="Muy Baja",AL16="Mayor"),AND(AJ16="Baja",AL16="Mayor"),AND(AJ16="Media",AL16="Mayor"),AND(AJ16="Alta",AL16="Moderado"),AND(AJ16="Alta",AL16="Mayor"),AND(AJ16="Muy Alta",AL16="Leve"),AND(AJ16="Muy Alta",AL16="Menor"),AND(AJ16="Muy Alta",AL16="Moderado"),AND(AJ16="Muy Alta",AL16="Mayor")),"Alto",IF(OR(AND(AJ16="Muy Baja",AL16="Catastrófico"),AND(AJ16="Baja",AL16="Catastrófico"),AND(AJ16="Media",AL16="Catastrófico"),AND(AJ16="Alta",AL16="Catastrófico"),AND(AJ16="Muy Alta",AL16="Catastrófico")),"Extremo","")))),"")</f>
        <v>Moderado</v>
      </c>
      <c r="AO16" s="132" t="s">
        <v>43</v>
      </c>
      <c r="AP16" s="125" t="s">
        <v>1184</v>
      </c>
      <c r="AQ16" s="125" t="s">
        <v>1185</v>
      </c>
      <c r="AR16" s="125" t="s">
        <v>1186</v>
      </c>
      <c r="AS16" s="134">
        <v>46022</v>
      </c>
      <c r="AT16" s="400" t="s">
        <v>1187</v>
      </c>
      <c r="AU16" s="400" t="s">
        <v>1188</v>
      </c>
      <c r="AV16" s="400" t="s">
        <v>1189</v>
      </c>
    </row>
    <row r="17" spans="1:48" x14ac:dyDescent="0.2">
      <c r="A17" s="398"/>
      <c r="B17" s="400"/>
      <c r="C17" s="400"/>
      <c r="D17" s="400"/>
      <c r="E17" s="400"/>
      <c r="F17" s="400"/>
      <c r="G17" s="401"/>
      <c r="H17" s="400"/>
      <c r="I17" s="403"/>
      <c r="J17" s="403"/>
      <c r="K17" s="403"/>
      <c r="L17" s="403"/>
      <c r="M17" s="403"/>
      <c r="N17" s="403"/>
      <c r="O17" s="416"/>
      <c r="P17" s="417"/>
      <c r="Q17" s="405"/>
      <c r="R17" s="406"/>
      <c r="S17" s="405"/>
      <c r="T17" s="417"/>
      <c r="U17" s="405"/>
      <c r="V17" s="418"/>
      <c r="W17" s="149">
        <v>2</v>
      </c>
      <c r="X17" s="182"/>
      <c r="Y17" s="149"/>
      <c r="Z17" s="149"/>
      <c r="AA17" s="174" t="str">
        <f t="shared" si="1"/>
        <v xml:space="preserve">  </v>
      </c>
      <c r="AB17" s="126" t="str">
        <f>IF(OR(AC17="Preventivo",AC17="Detectivo"),"Probabilidad",IF(AC17="Correctivo","Impacto",""))</f>
        <v/>
      </c>
      <c r="AC17" s="127"/>
      <c r="AD17" s="127"/>
      <c r="AE17" s="128" t="str">
        <f t="shared" ref="AE17:AE21" si="11">IF(AND(AC17="Preventivo",AD17="Automático"),"50%",IF(AND(AC17="Preventivo",AD17="Manual"),"40%",IF(AND(AC17="Detectivo",AD17="Automático"),"40%",IF(AND(AC17="Detectivo",AD17="Manual"),"30%",IF(AND(AC17="Correctivo",AD17="Automático"),"35%",IF(AND(AC17="Correctivo",AD17="Manual"),"25%",""))))))</f>
        <v/>
      </c>
      <c r="AF17" s="127"/>
      <c r="AG17" s="127"/>
      <c r="AH17" s="127"/>
      <c r="AI17" s="129" t="str">
        <f>IFERROR(IF(AND(AB16="Probabilidad",AB17="Probabilidad"),(AK16-(+AK16*AE17)),IF(AB17="Probabilidad",(Q16-(+Q16*AE17)),IF(AB17="Impacto",AK16,""))),"")</f>
        <v/>
      </c>
      <c r="AJ17" s="130" t="str">
        <f t="shared" si="3"/>
        <v/>
      </c>
      <c r="AK17" s="128" t="str">
        <f t="shared" ref="AK17:AK21" si="12">+AI17</f>
        <v/>
      </c>
      <c r="AL17" s="130" t="str">
        <f t="shared" si="5"/>
        <v/>
      </c>
      <c r="AM17" s="128" t="str">
        <f t="shared" ref="AM17" si="13">IFERROR(IF(AND(AB16="Impacto",AB17="Impacto"),(AM16-(+AM16*AE17)),IF(AB17="Impacto",($U$10-(+$U$10*AE17)),IF(AB17="Probabilidad",AM16,""))),"")</f>
        <v/>
      </c>
      <c r="AN17" s="131" t="str">
        <f t="shared" ref="AN17:AN18" si="14">IFERROR(IF(OR(AND(AJ17="Muy Baja",AL17="Leve"),AND(AJ17="Muy Baja",AL17="Menor"),AND(AJ17="Baja",AL17="Leve")),"Bajo",IF(OR(AND(AJ17="Muy baja",AL17="Moderado"),AND(AJ17="Baja",AL17="Menor"),AND(AJ17="Baja",AL17="Moderado"),AND(AJ17="Media",AL17="Leve"),AND(AJ17="Media",AL17="Menor"),AND(AJ17="Media",AL17="Moderado"),AND(AJ17="Alta",AL17="Leve"),AND(AJ17="Alta",AL17="Menor")),"Moderado",IF(OR(AND(AJ17="Muy Baja",AL17="Mayor"),AND(AJ17="Baja",AL17="Mayor"),AND(AJ17="Media",AL17="Mayor"),AND(AJ17="Alta",AL17="Moderado"),AND(AJ17="Alta",AL17="Mayor"),AND(AJ17="Muy Alta",AL17="Leve"),AND(AJ17="Muy Alta",AL17="Menor"),AND(AJ17="Muy Alta",AL17="Moderado"),AND(AJ17="Muy Alta",AL17="Mayor")),"Alto",IF(OR(AND(AJ17="Muy Baja",AL17="Catastrófico"),AND(AJ17="Baja",AL17="Catastrófico"),AND(AJ17="Media",AL17="Catastrófico"),AND(AJ17="Alta",AL17="Catastrófico"),AND(AJ17="Muy Alta",AL17="Catastrófico")),"Extremo","")))),"")</f>
        <v/>
      </c>
      <c r="AO17" s="132"/>
      <c r="AP17" s="125"/>
      <c r="AQ17" s="133"/>
      <c r="AR17" s="125"/>
      <c r="AS17" s="134"/>
      <c r="AT17" s="400"/>
      <c r="AU17" s="400"/>
      <c r="AV17" s="400"/>
    </row>
    <row r="18" spans="1:48" x14ac:dyDescent="0.2">
      <c r="A18" s="398"/>
      <c r="B18" s="400"/>
      <c r="C18" s="400"/>
      <c r="D18" s="400"/>
      <c r="E18" s="400"/>
      <c r="F18" s="400"/>
      <c r="G18" s="401"/>
      <c r="H18" s="400"/>
      <c r="I18" s="403"/>
      <c r="J18" s="403"/>
      <c r="K18" s="403"/>
      <c r="L18" s="403"/>
      <c r="M18" s="403"/>
      <c r="N18" s="403"/>
      <c r="O18" s="416"/>
      <c r="P18" s="417"/>
      <c r="Q18" s="405"/>
      <c r="R18" s="406"/>
      <c r="S18" s="405"/>
      <c r="T18" s="417"/>
      <c r="U18" s="405"/>
      <c r="V18" s="418"/>
      <c r="W18" s="149">
        <v>3</v>
      </c>
      <c r="X18" s="182"/>
      <c r="Y18" s="149"/>
      <c r="Z18" s="149"/>
      <c r="AA18" s="174" t="str">
        <f t="shared" si="1"/>
        <v xml:space="preserve">  </v>
      </c>
      <c r="AB18" s="126" t="str">
        <f>IF(OR(AC18="Preventivo",AC18="Detectivo"),"Probabilidad",IF(AC18="Correctivo","Impacto",""))</f>
        <v/>
      </c>
      <c r="AC18" s="127"/>
      <c r="AD18" s="127"/>
      <c r="AE18" s="128" t="str">
        <f t="shared" si="11"/>
        <v/>
      </c>
      <c r="AF18" s="127"/>
      <c r="AG18" s="127"/>
      <c r="AH18" s="127"/>
      <c r="AI18" s="129" t="str">
        <f>IFERROR(IF(AND(AB17="Probabilidad",AB18="Probabilidad"),(AK17-(+AK17*AE18)),IF(AND(AB17="Impacto",AB18="Probabilidad"),(AK16-(+AK16*AE18)),IF(AB18="Impacto",AK17,""))),"")</f>
        <v/>
      </c>
      <c r="AJ18" s="130" t="str">
        <f t="shared" si="3"/>
        <v/>
      </c>
      <c r="AK18" s="128" t="str">
        <f t="shared" si="12"/>
        <v/>
      </c>
      <c r="AL18" s="130" t="str">
        <f t="shared" si="5"/>
        <v/>
      </c>
      <c r="AM18" s="128" t="str">
        <f t="shared" ref="AM18:AM69" si="15">IFERROR(IF(AND(AB17="Impacto",AB18="Impacto"),(AM17-(+AM17*AE18)),IF(AND(AB17="Probabilidad",AB18="Impacto"),(AM16-(+AM16*AE18)),IF(AB18="Probabilidad",AM17,""))),"")</f>
        <v/>
      </c>
      <c r="AN18" s="131" t="str">
        <f t="shared" si="14"/>
        <v/>
      </c>
      <c r="AO18" s="132"/>
      <c r="AP18" s="125"/>
      <c r="AQ18" s="133"/>
      <c r="AR18" s="133"/>
      <c r="AS18" s="134"/>
      <c r="AT18" s="400"/>
      <c r="AU18" s="400"/>
      <c r="AV18" s="400"/>
    </row>
    <row r="19" spans="1:48" x14ac:dyDescent="0.2">
      <c r="A19" s="398"/>
      <c r="B19" s="400"/>
      <c r="C19" s="400"/>
      <c r="D19" s="400"/>
      <c r="E19" s="400"/>
      <c r="F19" s="400"/>
      <c r="G19" s="401"/>
      <c r="H19" s="400"/>
      <c r="I19" s="403"/>
      <c r="J19" s="403"/>
      <c r="K19" s="403"/>
      <c r="L19" s="403"/>
      <c r="M19" s="403"/>
      <c r="N19" s="403"/>
      <c r="O19" s="416"/>
      <c r="P19" s="417"/>
      <c r="Q19" s="405"/>
      <c r="R19" s="406"/>
      <c r="S19" s="405"/>
      <c r="T19" s="417"/>
      <c r="U19" s="405"/>
      <c r="V19" s="418"/>
      <c r="W19" s="149">
        <v>4</v>
      </c>
      <c r="X19" s="182"/>
      <c r="Y19" s="149"/>
      <c r="Z19" s="149"/>
      <c r="AA19" s="174" t="str">
        <f t="shared" si="1"/>
        <v xml:space="preserve">  </v>
      </c>
      <c r="AB19" s="126" t="str">
        <f t="shared" ref="AB19:AB27" si="16">IF(OR(AC19="Preventivo",AC19="Detectivo"),"Probabilidad",IF(AC19="Correctivo","Impacto",""))</f>
        <v/>
      </c>
      <c r="AC19" s="127"/>
      <c r="AD19" s="127"/>
      <c r="AE19" s="128" t="str">
        <f t="shared" si="11"/>
        <v/>
      </c>
      <c r="AF19" s="127"/>
      <c r="AG19" s="127"/>
      <c r="AH19" s="127"/>
      <c r="AI19" s="129" t="str">
        <f t="shared" ref="AI19:AI21" si="17">IFERROR(IF(AND(AB18="Probabilidad",AB19="Probabilidad"),(AK18-(+AK18*AE19)),IF(AND(AB18="Impacto",AB19="Probabilidad"),(AK17-(+AK17*AE19)),IF(AB19="Impacto",AK18,""))),"")</f>
        <v/>
      </c>
      <c r="AJ19" s="130" t="str">
        <f t="shared" si="3"/>
        <v/>
      </c>
      <c r="AK19" s="128" t="str">
        <f t="shared" si="12"/>
        <v/>
      </c>
      <c r="AL19" s="130" t="str">
        <f t="shared" si="5"/>
        <v/>
      </c>
      <c r="AM19" s="128" t="str">
        <f t="shared" si="15"/>
        <v/>
      </c>
      <c r="AN19" s="131" t="str">
        <f>IFERROR(IF(OR(AND(AJ19="Muy Baja",AL19="Leve"),AND(AJ19="Muy Baja",AL19="Menor"),AND(AJ19="Baja",AL19="Leve")),"Bajo",IF(OR(AND(AJ19="Muy baja",AL19="Moderado"),AND(AJ19="Baja",AL19="Menor"),AND(AJ19="Baja",AL19="Moderado"),AND(AJ19="Media",AL19="Leve"),AND(AJ19="Media",AL19="Menor"),AND(AJ19="Media",AL19="Moderado"),AND(AJ19="Alta",AL19="Leve"),AND(AJ19="Alta",AL19="Menor")),"Moderado",IF(OR(AND(AJ19="Muy Baja",AL19="Mayor"),AND(AJ19="Baja",AL19="Mayor"),AND(AJ19="Media",AL19="Mayor"),AND(AJ19="Alta",AL19="Moderado"),AND(AJ19="Alta",AL19="Mayor"),AND(AJ19="Muy Alta",AL19="Leve"),AND(AJ19="Muy Alta",AL19="Menor"),AND(AJ19="Muy Alta",AL19="Moderado"),AND(AJ19="Muy Alta",AL19="Mayor")),"Alto",IF(OR(AND(AJ19="Muy Baja",AL19="Catastrófico"),AND(AJ19="Baja",AL19="Catastrófico"),AND(AJ19="Media",AL19="Catastrófico"),AND(AJ19="Alta",AL19="Catastrófico"),AND(AJ19="Muy Alta",AL19="Catastrófico")),"Extremo","")))),"")</f>
        <v/>
      </c>
      <c r="AO19" s="132"/>
      <c r="AP19" s="125"/>
      <c r="AQ19" s="133"/>
      <c r="AR19" s="133"/>
      <c r="AS19" s="134"/>
      <c r="AT19" s="400"/>
      <c r="AU19" s="400"/>
      <c r="AV19" s="400"/>
    </row>
    <row r="20" spans="1:48" x14ac:dyDescent="0.2">
      <c r="A20" s="398"/>
      <c r="B20" s="400"/>
      <c r="C20" s="400"/>
      <c r="D20" s="400"/>
      <c r="E20" s="400"/>
      <c r="F20" s="400"/>
      <c r="G20" s="401"/>
      <c r="H20" s="400"/>
      <c r="I20" s="403"/>
      <c r="J20" s="403"/>
      <c r="K20" s="403"/>
      <c r="L20" s="403"/>
      <c r="M20" s="403"/>
      <c r="N20" s="403"/>
      <c r="O20" s="416"/>
      <c r="P20" s="417"/>
      <c r="Q20" s="405"/>
      <c r="R20" s="406"/>
      <c r="S20" s="405"/>
      <c r="T20" s="417"/>
      <c r="U20" s="405"/>
      <c r="V20" s="418"/>
      <c r="W20" s="149">
        <v>5</v>
      </c>
      <c r="X20" s="182"/>
      <c r="Y20" s="149"/>
      <c r="Z20" s="149"/>
      <c r="AA20" s="174" t="str">
        <f t="shared" si="1"/>
        <v xml:space="preserve">  </v>
      </c>
      <c r="AB20" s="126" t="str">
        <f t="shared" si="16"/>
        <v/>
      </c>
      <c r="AC20" s="127"/>
      <c r="AD20" s="127"/>
      <c r="AE20" s="128" t="str">
        <f t="shared" si="11"/>
        <v/>
      </c>
      <c r="AF20" s="127"/>
      <c r="AG20" s="127"/>
      <c r="AH20" s="127"/>
      <c r="AI20" s="129" t="str">
        <f t="shared" si="17"/>
        <v/>
      </c>
      <c r="AJ20" s="130" t="str">
        <f t="shared" si="3"/>
        <v/>
      </c>
      <c r="AK20" s="128" t="str">
        <f t="shared" si="12"/>
        <v/>
      </c>
      <c r="AL20" s="130" t="str">
        <f t="shared" si="5"/>
        <v/>
      </c>
      <c r="AM20" s="128" t="str">
        <f t="shared" si="15"/>
        <v/>
      </c>
      <c r="AN20" s="131" t="str">
        <f t="shared" ref="AN20:AN21" si="18">IFERROR(IF(OR(AND(AJ20="Muy Baja",AL20="Leve"),AND(AJ20="Muy Baja",AL20="Menor"),AND(AJ20="Baja",AL20="Leve")),"Bajo",IF(OR(AND(AJ20="Muy baja",AL20="Moderado"),AND(AJ20="Baja",AL20="Menor"),AND(AJ20="Baja",AL20="Moderado"),AND(AJ20="Media",AL20="Leve"),AND(AJ20="Media",AL20="Menor"),AND(AJ20="Media",AL20="Moderado"),AND(AJ20="Alta",AL20="Leve"),AND(AJ20="Alta",AL20="Menor")),"Moderado",IF(OR(AND(AJ20="Muy Baja",AL20="Mayor"),AND(AJ20="Baja",AL20="Mayor"),AND(AJ20="Media",AL20="Mayor"),AND(AJ20="Alta",AL20="Moderado"),AND(AJ20="Alta",AL20="Mayor"),AND(AJ20="Muy Alta",AL20="Leve"),AND(AJ20="Muy Alta",AL20="Menor"),AND(AJ20="Muy Alta",AL20="Moderado"),AND(AJ20="Muy Alta",AL20="Mayor")),"Alto",IF(OR(AND(AJ20="Muy Baja",AL20="Catastrófico"),AND(AJ20="Baja",AL20="Catastrófico"),AND(AJ20="Media",AL20="Catastrófico"),AND(AJ20="Alta",AL20="Catastrófico"),AND(AJ20="Muy Alta",AL20="Catastrófico")),"Extremo","")))),"")</f>
        <v/>
      </c>
      <c r="AO20" s="132"/>
      <c r="AP20" s="125"/>
      <c r="AQ20" s="133"/>
      <c r="AR20" s="133"/>
      <c r="AS20" s="134"/>
      <c r="AT20" s="400"/>
      <c r="AU20" s="400"/>
      <c r="AV20" s="400"/>
    </row>
    <row r="21" spans="1:48" x14ac:dyDescent="0.2">
      <c r="A21" s="398"/>
      <c r="B21" s="400"/>
      <c r="C21" s="400"/>
      <c r="D21" s="400"/>
      <c r="E21" s="400"/>
      <c r="F21" s="400"/>
      <c r="G21" s="401"/>
      <c r="H21" s="400"/>
      <c r="I21" s="404"/>
      <c r="J21" s="404"/>
      <c r="K21" s="404"/>
      <c r="L21" s="404"/>
      <c r="M21" s="404"/>
      <c r="N21" s="404"/>
      <c r="O21" s="416"/>
      <c r="P21" s="417"/>
      <c r="Q21" s="405"/>
      <c r="R21" s="406"/>
      <c r="S21" s="405"/>
      <c r="T21" s="417"/>
      <c r="U21" s="405"/>
      <c r="V21" s="418"/>
      <c r="W21" s="149">
        <v>6</v>
      </c>
      <c r="X21" s="149"/>
      <c r="Y21" s="149"/>
      <c r="Z21" s="149"/>
      <c r="AA21" s="174" t="str">
        <f t="shared" si="1"/>
        <v xml:space="preserve">  </v>
      </c>
      <c r="AB21" s="126" t="str">
        <f t="shared" si="16"/>
        <v/>
      </c>
      <c r="AC21" s="127"/>
      <c r="AD21" s="127"/>
      <c r="AE21" s="128" t="str">
        <f t="shared" si="11"/>
        <v/>
      </c>
      <c r="AF21" s="127"/>
      <c r="AG21" s="127"/>
      <c r="AH21" s="127"/>
      <c r="AI21" s="129" t="str">
        <f t="shared" si="17"/>
        <v/>
      </c>
      <c r="AJ21" s="130" t="str">
        <f t="shared" si="3"/>
        <v/>
      </c>
      <c r="AK21" s="128" t="str">
        <f t="shared" si="12"/>
        <v/>
      </c>
      <c r="AL21" s="130" t="str">
        <f t="shared" si="5"/>
        <v/>
      </c>
      <c r="AM21" s="128" t="str">
        <f t="shared" si="15"/>
        <v/>
      </c>
      <c r="AN21" s="131" t="str">
        <f t="shared" si="18"/>
        <v/>
      </c>
      <c r="AO21" s="132"/>
      <c r="AP21" s="125"/>
      <c r="AQ21" s="133"/>
      <c r="AR21" s="133"/>
      <c r="AS21" s="134"/>
      <c r="AT21" s="400"/>
      <c r="AU21" s="400"/>
      <c r="AV21" s="400"/>
    </row>
    <row r="22" spans="1:48" ht="109.5" customHeight="1" x14ac:dyDescent="0.2">
      <c r="A22" s="398">
        <v>3</v>
      </c>
      <c r="B22" s="400" t="s">
        <v>562</v>
      </c>
      <c r="C22" s="400" t="s">
        <v>40</v>
      </c>
      <c r="D22" s="402" t="s">
        <v>1219</v>
      </c>
      <c r="E22" s="402" t="s">
        <v>1046</v>
      </c>
      <c r="F22" s="492" t="s">
        <v>1207</v>
      </c>
      <c r="G22" s="401" t="str">
        <f>+CONCATENATE(C22," ",D22," ",E22)</f>
        <v>Posibilidad de afectación reputacional por vincular a un servidor público en cargo provisional o de libre nombramiento y remoción que presente anotaciones en las certificaciones de antecedentes fiscales, judiciales y disciplinarios Debido a la no aplicación de los procesos de debida diligencia.</v>
      </c>
      <c r="H22" s="400" t="s">
        <v>91</v>
      </c>
      <c r="I22" s="402" t="s">
        <v>62</v>
      </c>
      <c r="J22" s="402" t="s">
        <v>1220</v>
      </c>
      <c r="K22" s="402" t="s">
        <v>1221</v>
      </c>
      <c r="L22" s="402" t="s">
        <v>1222</v>
      </c>
      <c r="M22" s="402"/>
      <c r="N22" s="402" t="s">
        <v>46</v>
      </c>
      <c r="O22" s="416">
        <v>20</v>
      </c>
      <c r="P22" s="417" t="str">
        <f>IF(O22&lt;=0,"",IF(O22&lt;=2,"Muy Baja",IF(O22&lt;=24,"Baja",IF(O22&lt;=500,"Media",IF(O22&lt;=5000,"Alta","Muy Alta")))))</f>
        <v>Baja</v>
      </c>
      <c r="Q22" s="405">
        <f>IF(P22="","",IF(P22="Muy Baja",0.2,IF(P22="Baja",0.4,IF(P22="Media",0.6,IF(P22="Alta",0.8,IF(P22="Muy Alta",1,))))))</f>
        <v>0.4</v>
      </c>
      <c r="R22" s="714" t="s">
        <v>478</v>
      </c>
      <c r="S22" s="713" t="str">
        <f>IF(NOT(ISERROR(MATCH(R22,'[7]Tabla Impacto'!$B$245:$B$249,0))),'[7]Tabla Impacto'!$F$224&amp;"Por favor no seleccionar los criterios de impacto(Reputacional, Operativo, Legal, ni Contagio)",R22)</f>
        <v>EL riesgo afecta la imagen de   la entidad con algunos usuarios de relevancia frente al logro de los objetivos</v>
      </c>
      <c r="T22" s="717" t="s">
        <v>406</v>
      </c>
      <c r="U22" s="718">
        <v>0.6</v>
      </c>
      <c r="V22" s="719" t="s">
        <v>406</v>
      </c>
      <c r="W22" s="149">
        <v>1</v>
      </c>
      <c r="X22" s="182" t="s">
        <v>1211</v>
      </c>
      <c r="Y22" s="182" t="s">
        <v>37</v>
      </c>
      <c r="Z22" s="182" t="s">
        <v>1223</v>
      </c>
      <c r="AA22" s="174" t="str">
        <f>+CONCATENATE(X22," ",Y22," ",Z22)</f>
        <v>El profesional especializado o el colaborador designado del proceso de Gestión del Talento Humano Verifica Cada vez que se vaya a vincular a un Servidor Público en un cargo de provisionalidad o de libre nombramiento y remoción, TH verifica los antecedentes disciplinarios, fiscales y judiciales, mediante el formato GTHU-FM-054 Formato verificación de estudios, conocimiento y experiencia, adicionalmente descarga las certificaciones aportándolos al expediente.
EVIDENCIA: Formato diligenciado con la descripción de la verificación realizada.
En el caso de que se evidencie alguna anotación en las consultas no se realiza el nombramiento</v>
      </c>
      <c r="AB22" s="126" t="str">
        <f t="shared" si="16"/>
        <v>Probabilidad</v>
      </c>
      <c r="AC22" s="127" t="s">
        <v>398</v>
      </c>
      <c r="AD22" s="127" t="s">
        <v>394</v>
      </c>
      <c r="AE22" s="128" t="str">
        <f>IF(AND(AC22="Preventivo",AD22="Automático"),"50%",IF(AND(AC22="Preventivo",AD22="Manual"),"40%",IF(AND(AC22="Detectivo",AD22="Automático"),"40%",IF(AND(AC22="Detectivo",AD22="Manual"),"30%",IF(AND(AC22="Correctivo",AD22="Automático"),"35%",IF(AND(AC22="Correctivo",AD22="Manual"),"25%",""))))))</f>
        <v>40%</v>
      </c>
      <c r="AF22" s="127" t="s">
        <v>395</v>
      </c>
      <c r="AG22" s="127" t="s">
        <v>396</v>
      </c>
      <c r="AH22" s="127" t="s">
        <v>397</v>
      </c>
      <c r="AI22" s="129">
        <f>IFERROR(IF(AB22="Probabilidad",(Q22-(+Q22*AE22)),IF(AB22="Impacto",Q22,"")),"")</f>
        <v>0.24</v>
      </c>
      <c r="AJ22" s="130" t="str">
        <f>IFERROR(IF(AI22="","",IF(AI22&lt;=0.2,"Muy Baja",IF(AI22&lt;=0.4,"Baja",IF(AI22&lt;=0.6,"Media",IF(AI22&lt;=0.8,"Alta","Muy Alta"))))),"")</f>
        <v>Baja</v>
      </c>
      <c r="AK22" s="128">
        <f>+AI22</f>
        <v>0.24</v>
      </c>
      <c r="AL22" s="130" t="str">
        <f>IFERROR(IF(AM22="","",IF(AM22&lt;=0.2,"Leve",IF(AM22&lt;=0.4,"Menor",IF(AM22&lt;=0.6,"Moderado",IF(AM22&lt;=0.8,"Mayor","Catastrófico"))))),"")</f>
        <v>Moderado</v>
      </c>
      <c r="AM22" s="128">
        <f>IFERROR(IF(AB22="Impacto",(U22-(+U22*AE22)),IF(AB22="Probabilidad",U22,"")),"")</f>
        <v>0.6</v>
      </c>
      <c r="AN22" s="131" t="str">
        <f>IFERROR(IF(OR(AND(AJ22="Muy Baja",AL22="Leve"),AND(AJ22="Muy Baja",AL22="Menor"),AND(AJ22="Baja",AL22="Leve")),"Bajo",IF(OR(AND(AJ22="Muy baja",AL22="Moderado"),AND(AJ22="Baja",AL22="Menor"),AND(AJ22="Baja",AL22="Moderado"),AND(AJ22="Media",AL22="Leve"),AND(AJ22="Media",AL22="Menor"),AND(AJ22="Media",AL22="Moderado"),AND(AJ22="Alta",AL22="Leve"),AND(AJ22="Alta",AL22="Menor")),"Moderado",IF(OR(AND(AJ22="Muy Baja",AL22="Mayor"),AND(AJ22="Baja",AL22="Mayor"),AND(AJ22="Media",AL22="Mayor"),AND(AJ22="Alta",AL22="Moderado"),AND(AJ22="Alta",AL22="Mayor"),AND(AJ22="Muy Alta",AL22="Leve"),AND(AJ22="Muy Alta",AL22="Menor"),AND(AJ22="Muy Alta",AL22="Moderado"),AND(AJ22="Muy Alta",AL22="Mayor")),"Alto",IF(OR(AND(AJ22="Muy Baja",AL22="Catastrófico"),AND(AJ22="Baja",AL22="Catastrófico"),AND(AJ22="Media",AL22="Catastrófico"),AND(AJ22="Alta",AL22="Catastrófico"),AND(AJ22="Muy Alta",AL22="Catastrófico")),"Extremo","")))),"")</f>
        <v>Moderado</v>
      </c>
      <c r="AO22" s="132" t="s">
        <v>43</v>
      </c>
      <c r="AP22" s="125" t="s">
        <v>1224</v>
      </c>
      <c r="AQ22" s="125" t="s">
        <v>1215</v>
      </c>
      <c r="AR22" s="125" t="s">
        <v>1225</v>
      </c>
      <c r="AS22" s="134">
        <v>46022</v>
      </c>
      <c r="AT22" s="400" t="s">
        <v>1187</v>
      </c>
      <c r="AU22" s="400" t="s">
        <v>1009</v>
      </c>
      <c r="AV22" s="400" t="s">
        <v>791</v>
      </c>
    </row>
    <row r="23" spans="1:48" ht="15" customHeight="1" x14ac:dyDescent="0.2">
      <c r="A23" s="398"/>
      <c r="B23" s="400"/>
      <c r="C23" s="400"/>
      <c r="D23" s="403"/>
      <c r="E23" s="403"/>
      <c r="F23" s="493"/>
      <c r="G23" s="401"/>
      <c r="H23" s="400"/>
      <c r="I23" s="403"/>
      <c r="J23" s="403"/>
      <c r="K23" s="403"/>
      <c r="L23" s="403"/>
      <c r="M23" s="403"/>
      <c r="N23" s="403"/>
      <c r="O23" s="416"/>
      <c r="P23" s="417"/>
      <c r="Q23" s="405"/>
      <c r="R23" s="715"/>
      <c r="S23" s="713"/>
      <c r="T23" s="717"/>
      <c r="U23" s="718"/>
      <c r="V23" s="719"/>
      <c r="W23" s="149">
        <v>2</v>
      </c>
      <c r="X23" s="182"/>
      <c r="Y23" s="149"/>
      <c r="Z23" s="149"/>
      <c r="AA23" s="174" t="str">
        <f t="shared" ref="AA23:AA27" si="19">+CONCATENATE(X23," ",Y23," ",Z23)</f>
        <v xml:space="preserve">  </v>
      </c>
      <c r="AB23" s="126" t="str">
        <f t="shared" si="16"/>
        <v/>
      </c>
      <c r="AC23" s="127"/>
      <c r="AD23" s="127"/>
      <c r="AE23" s="128" t="str">
        <f t="shared" ref="AE23:AE27" si="20">IF(AND(AC23="Preventivo",AD23="Automático"),"50%",IF(AND(AC23="Preventivo",AD23="Manual"),"40%",IF(AND(AC23="Detectivo",AD23="Automático"),"40%",IF(AND(AC23="Detectivo",AD23="Manual"),"30%",IF(AND(AC23="Correctivo",AD23="Automático"),"35%",IF(AND(AC23="Correctivo",AD23="Manual"),"25%",""))))))</f>
        <v/>
      </c>
      <c r="AF23" s="127"/>
      <c r="AG23" s="127"/>
      <c r="AH23" s="127"/>
      <c r="AI23" s="129" t="str">
        <f>IFERROR(IF(AND(AB22="Probabilidad",AB23="Probabilidad"),(AK22-(+AK22*AE23)),IF(AB23="Probabilidad",(Q22-(+Q22*AE23)),IF(AB23="Impacto",AK22,""))),"")</f>
        <v/>
      </c>
      <c r="AJ23" s="130" t="str">
        <f t="shared" ref="AJ23:AJ27" si="21">IFERROR(IF(AI23="","",IF(AI23&lt;=0.2,"Muy Baja",IF(AI23&lt;=0.4,"Baja",IF(AI23&lt;=0.6,"Media",IF(AI23&lt;=0.8,"Alta","Muy Alta"))))),"")</f>
        <v/>
      </c>
      <c r="AK23" s="128" t="str">
        <f t="shared" ref="AK23:AK27" si="22">+AI23</f>
        <v/>
      </c>
      <c r="AL23" s="130" t="str">
        <f t="shared" ref="AL23:AL27" si="23">IFERROR(IF(AM23="","",IF(AM23&lt;=0.2,"Leve",IF(AM23&lt;=0.4,"Menor",IF(AM23&lt;=0.6,"Moderado",IF(AM23&lt;=0.8,"Mayor","Catastrófico"))))),"")</f>
        <v/>
      </c>
      <c r="AM23" s="128" t="str">
        <f>IFERROR(IF(AND(AB22="Impacto",AB23="Impacto"),(AM22-(+AM22*AE23)),IF(AB23="Impacto",($T$13-(+$T$13*AE23)),IF(AB23="Probabilidad",AM22,""))),"")</f>
        <v/>
      </c>
      <c r="AN23" s="131" t="str">
        <f t="shared" ref="AN23:AN27" si="24">IFERROR(IF(OR(AND(AJ23="Muy Baja",AL23="Leve"),AND(AJ23="Muy Baja",AL23="Menor"),AND(AJ23="Baja",AL23="Leve")),"Bajo",IF(OR(AND(AJ23="Muy baja",AL23="Moderado"),AND(AJ23="Baja",AL23="Menor"),AND(AJ23="Baja",AL23="Moderado"),AND(AJ23="Media",AL23="Leve"),AND(AJ23="Media",AL23="Menor"),AND(AJ23="Media",AL23="Moderado"),AND(AJ23="Alta",AL23="Leve"),AND(AJ23="Alta",AL23="Menor")),"Moderado",IF(OR(AND(AJ23="Muy Baja",AL23="Mayor"),AND(AJ23="Baja",AL23="Mayor"),AND(AJ23="Media",AL23="Mayor"),AND(AJ23="Alta",AL23="Moderado"),AND(AJ23="Alta",AL23="Mayor"),AND(AJ23="Muy Alta",AL23="Leve"),AND(AJ23="Muy Alta",AL23="Menor"),AND(AJ23="Muy Alta",AL23="Moderado"),AND(AJ23="Muy Alta",AL23="Mayor")),"Alto",IF(OR(AND(AJ23="Muy Baja",AL23="Catastrófico"),AND(AJ23="Baja",AL23="Catastrófico"),AND(AJ23="Media",AL23="Catastrófico"),AND(AJ23="Alta",AL23="Catastrófico"),AND(AJ23="Muy Alta",AL23="Catastrófico")),"Extremo","")))),"")</f>
        <v/>
      </c>
      <c r="AO23" s="132"/>
      <c r="AP23" s="125"/>
      <c r="AQ23" s="133"/>
      <c r="AR23" s="125"/>
      <c r="AS23" s="134"/>
      <c r="AT23" s="400"/>
      <c r="AU23" s="400"/>
      <c r="AV23" s="400"/>
    </row>
    <row r="24" spans="1:48" ht="15" hidden="1" customHeight="1" x14ac:dyDescent="0.2">
      <c r="A24" s="398"/>
      <c r="B24" s="400"/>
      <c r="C24" s="400"/>
      <c r="D24" s="403"/>
      <c r="E24" s="403"/>
      <c r="F24" s="493"/>
      <c r="G24" s="401"/>
      <c r="H24" s="400"/>
      <c r="I24" s="403"/>
      <c r="J24" s="403"/>
      <c r="K24" s="403"/>
      <c r="L24" s="403"/>
      <c r="M24" s="403"/>
      <c r="N24" s="403"/>
      <c r="O24" s="416"/>
      <c r="P24" s="417"/>
      <c r="Q24" s="405"/>
      <c r="R24" s="715"/>
      <c r="S24" s="713"/>
      <c r="T24" s="717"/>
      <c r="U24" s="718"/>
      <c r="V24" s="719"/>
      <c r="W24" s="149">
        <v>3</v>
      </c>
      <c r="X24" s="182"/>
      <c r="Y24" s="149"/>
      <c r="Z24" s="149"/>
      <c r="AA24" s="174" t="str">
        <f t="shared" si="19"/>
        <v xml:space="preserve">  </v>
      </c>
      <c r="AB24" s="126" t="str">
        <f t="shared" si="16"/>
        <v/>
      </c>
      <c r="AC24" s="127"/>
      <c r="AD24" s="127"/>
      <c r="AE24" s="128" t="str">
        <f t="shared" si="20"/>
        <v/>
      </c>
      <c r="AF24" s="127"/>
      <c r="AG24" s="127"/>
      <c r="AH24" s="127"/>
      <c r="AI24" s="129" t="str">
        <f>IFERROR(IF(AND(AB23="Probabilidad",AB24="Probabilidad"),(AK23-(+AK23*AE24)),IF(AND(AB23="Impacto",AB24="Probabilidad"),(AK22-(+AK22*AE24)),IF(AB24="Impacto",AK23,""))),"")</f>
        <v/>
      </c>
      <c r="AJ24" s="130" t="str">
        <f t="shared" si="21"/>
        <v/>
      </c>
      <c r="AK24" s="128" t="str">
        <f t="shared" si="22"/>
        <v/>
      </c>
      <c r="AL24" s="130" t="str">
        <f t="shared" si="23"/>
        <v/>
      </c>
      <c r="AM24" s="128" t="str">
        <f>IFERROR(IF(AND(AB23="Impacto",AB24="Impacto"),(AM23-(+AM23*AE24)),IF(AND(AB23="Probabilidad",AB24="Impacto"),(AM22-(+AM22*AE24)),IF(AB24="Probabilidad",AM23,""))),"")</f>
        <v/>
      </c>
      <c r="AN24" s="131" t="str">
        <f t="shared" si="24"/>
        <v/>
      </c>
      <c r="AO24" s="132"/>
      <c r="AP24" s="125"/>
      <c r="AQ24" s="133"/>
      <c r="AR24" s="133"/>
      <c r="AS24" s="134"/>
      <c r="AT24" s="400"/>
      <c r="AU24" s="400"/>
      <c r="AV24" s="400"/>
    </row>
    <row r="25" spans="1:48" ht="15" hidden="1" customHeight="1" x14ac:dyDescent="0.2">
      <c r="A25" s="398"/>
      <c r="B25" s="400"/>
      <c r="C25" s="400"/>
      <c r="D25" s="403"/>
      <c r="E25" s="403"/>
      <c r="F25" s="493"/>
      <c r="G25" s="401"/>
      <c r="H25" s="400"/>
      <c r="I25" s="403"/>
      <c r="J25" s="403"/>
      <c r="K25" s="403"/>
      <c r="L25" s="403"/>
      <c r="M25" s="403"/>
      <c r="N25" s="403"/>
      <c r="O25" s="416"/>
      <c r="P25" s="417"/>
      <c r="Q25" s="405"/>
      <c r="R25" s="715"/>
      <c r="S25" s="713"/>
      <c r="T25" s="717"/>
      <c r="U25" s="718"/>
      <c r="V25" s="719"/>
      <c r="W25" s="149">
        <v>4</v>
      </c>
      <c r="X25" s="182"/>
      <c r="Y25" s="149"/>
      <c r="Z25" s="149"/>
      <c r="AA25" s="174" t="str">
        <f t="shared" si="19"/>
        <v xml:space="preserve">  </v>
      </c>
      <c r="AB25" s="126" t="str">
        <f t="shared" si="16"/>
        <v/>
      </c>
      <c r="AC25" s="127"/>
      <c r="AD25" s="127"/>
      <c r="AE25" s="128" t="str">
        <f t="shared" si="20"/>
        <v/>
      </c>
      <c r="AF25" s="127"/>
      <c r="AG25" s="127"/>
      <c r="AH25" s="127"/>
      <c r="AI25" s="129" t="str">
        <f t="shared" ref="AI25:AI27" si="25">IFERROR(IF(AND(AB24="Probabilidad",AB25="Probabilidad"),(AK24-(+AK24*AE25)),IF(AND(AB24="Impacto",AB25="Probabilidad"),(AK23-(+AK23*AE25)),IF(AB25="Impacto",AK24,""))),"")</f>
        <v/>
      </c>
      <c r="AJ25" s="130" t="str">
        <f t="shared" si="21"/>
        <v/>
      </c>
      <c r="AK25" s="128" t="str">
        <f t="shared" si="22"/>
        <v/>
      </c>
      <c r="AL25" s="130" t="str">
        <f t="shared" si="23"/>
        <v/>
      </c>
      <c r="AM25" s="128" t="str">
        <f t="shared" ref="AM25:AM27" si="26">IFERROR(IF(AND(AB24="Impacto",AB25="Impacto"),(AM24-(+AM24*AE25)),IF(AND(AB24="Probabilidad",AB25="Impacto"),(AM23-(+AM23*AE25)),IF(AB25="Probabilidad",AM24,""))),"")</f>
        <v/>
      </c>
      <c r="AN25" s="131" t="str">
        <f>IFERROR(IF(OR(AND(AJ25="Muy Baja",AL25="Leve"),AND(AJ25="Muy Baja",AL25="Menor"),AND(AJ25="Baja",AL25="Leve")),"Bajo",IF(OR(AND(AJ25="Muy baja",AL25="Moderado"),AND(AJ25="Baja",AL25="Menor"),AND(AJ25="Baja",AL25="Moderado"),AND(AJ25="Media",AL25="Leve"),AND(AJ25="Media",AL25="Menor"),AND(AJ25="Media",AL25="Moderado"),AND(AJ25="Alta",AL25="Leve"),AND(AJ25="Alta",AL25="Menor")),"Moderado",IF(OR(AND(AJ25="Muy Baja",AL25="Mayor"),AND(AJ25="Baja",AL25="Mayor"),AND(AJ25="Media",AL25="Mayor"),AND(AJ25="Alta",AL25="Moderado"),AND(AJ25="Alta",AL25="Mayor"),AND(AJ25="Muy Alta",AL25="Leve"),AND(AJ25="Muy Alta",AL25="Menor"),AND(AJ25="Muy Alta",AL25="Moderado"),AND(AJ25="Muy Alta",AL25="Mayor")),"Alto",IF(OR(AND(AJ25="Muy Baja",AL25="Catastrófico"),AND(AJ25="Baja",AL25="Catastrófico"),AND(AJ25="Media",AL25="Catastrófico"),AND(AJ25="Alta",AL25="Catastrófico"),AND(AJ25="Muy Alta",AL25="Catastrófico")),"Extremo","")))),"")</f>
        <v/>
      </c>
      <c r="AO25" s="132"/>
      <c r="AP25" s="125"/>
      <c r="AQ25" s="133"/>
      <c r="AR25" s="133"/>
      <c r="AS25" s="134"/>
      <c r="AT25" s="400"/>
      <c r="AU25" s="400"/>
      <c r="AV25" s="400"/>
    </row>
    <row r="26" spans="1:48" ht="15" hidden="1" customHeight="1" x14ac:dyDescent="0.2">
      <c r="A26" s="398"/>
      <c r="B26" s="400"/>
      <c r="C26" s="400"/>
      <c r="D26" s="403"/>
      <c r="E26" s="403"/>
      <c r="F26" s="493"/>
      <c r="G26" s="401"/>
      <c r="H26" s="400"/>
      <c r="I26" s="403"/>
      <c r="J26" s="403"/>
      <c r="K26" s="403"/>
      <c r="L26" s="403"/>
      <c r="M26" s="403"/>
      <c r="N26" s="403"/>
      <c r="O26" s="416"/>
      <c r="P26" s="417"/>
      <c r="Q26" s="405"/>
      <c r="R26" s="715"/>
      <c r="S26" s="713"/>
      <c r="T26" s="717"/>
      <c r="U26" s="718"/>
      <c r="V26" s="719"/>
      <c r="W26" s="149">
        <v>5</v>
      </c>
      <c r="X26" s="182"/>
      <c r="Y26" s="149"/>
      <c r="Z26" s="149"/>
      <c r="AA26" s="174" t="str">
        <f t="shared" si="19"/>
        <v xml:space="preserve">  </v>
      </c>
      <c r="AB26" s="126" t="str">
        <f t="shared" si="16"/>
        <v/>
      </c>
      <c r="AC26" s="127"/>
      <c r="AD26" s="127"/>
      <c r="AE26" s="128" t="str">
        <f t="shared" si="20"/>
        <v/>
      </c>
      <c r="AF26" s="127"/>
      <c r="AG26" s="127"/>
      <c r="AH26" s="127"/>
      <c r="AI26" s="129" t="str">
        <f t="shared" si="25"/>
        <v/>
      </c>
      <c r="AJ26" s="130" t="str">
        <f t="shared" si="21"/>
        <v/>
      </c>
      <c r="AK26" s="128" t="str">
        <f t="shared" si="22"/>
        <v/>
      </c>
      <c r="AL26" s="130" t="str">
        <f t="shared" si="23"/>
        <v/>
      </c>
      <c r="AM26" s="128" t="str">
        <f t="shared" si="26"/>
        <v/>
      </c>
      <c r="AN26" s="131" t="str">
        <f t="shared" si="24"/>
        <v/>
      </c>
      <c r="AO26" s="132"/>
      <c r="AP26" s="125"/>
      <c r="AQ26" s="133"/>
      <c r="AR26" s="133"/>
      <c r="AS26" s="134"/>
      <c r="AT26" s="400"/>
      <c r="AU26" s="400"/>
      <c r="AV26" s="400"/>
    </row>
    <row r="27" spans="1:48" ht="15" hidden="1" customHeight="1" x14ac:dyDescent="0.2">
      <c r="A27" s="398"/>
      <c r="B27" s="400"/>
      <c r="C27" s="400"/>
      <c r="D27" s="404"/>
      <c r="E27" s="404"/>
      <c r="F27" s="494"/>
      <c r="G27" s="401"/>
      <c r="H27" s="400"/>
      <c r="I27" s="404"/>
      <c r="J27" s="404"/>
      <c r="K27" s="404"/>
      <c r="L27" s="404"/>
      <c r="M27" s="404"/>
      <c r="N27" s="404"/>
      <c r="O27" s="416"/>
      <c r="P27" s="417"/>
      <c r="Q27" s="405"/>
      <c r="R27" s="716"/>
      <c r="S27" s="713"/>
      <c r="T27" s="717"/>
      <c r="U27" s="718"/>
      <c r="V27" s="719"/>
      <c r="W27" s="149">
        <v>6</v>
      </c>
      <c r="X27" s="182"/>
      <c r="Y27" s="149"/>
      <c r="Z27" s="149"/>
      <c r="AA27" s="174" t="str">
        <f t="shared" si="19"/>
        <v xml:space="preserve">  </v>
      </c>
      <c r="AB27" s="126" t="str">
        <f t="shared" si="16"/>
        <v/>
      </c>
      <c r="AC27" s="127"/>
      <c r="AD27" s="127"/>
      <c r="AE27" s="128" t="str">
        <f t="shared" si="20"/>
        <v/>
      </c>
      <c r="AF27" s="127"/>
      <c r="AG27" s="127"/>
      <c r="AH27" s="127"/>
      <c r="AI27" s="129" t="str">
        <f t="shared" si="25"/>
        <v/>
      </c>
      <c r="AJ27" s="130" t="str">
        <f t="shared" si="21"/>
        <v/>
      </c>
      <c r="AK27" s="128" t="str">
        <f t="shared" si="22"/>
        <v/>
      </c>
      <c r="AL27" s="130" t="str">
        <f t="shared" si="23"/>
        <v/>
      </c>
      <c r="AM27" s="128" t="str">
        <f t="shared" si="26"/>
        <v/>
      </c>
      <c r="AN27" s="131" t="str">
        <f t="shared" si="24"/>
        <v/>
      </c>
      <c r="AO27" s="132"/>
      <c r="AP27" s="125"/>
      <c r="AQ27" s="133"/>
      <c r="AR27" s="133"/>
      <c r="AS27" s="134"/>
      <c r="AT27" s="400"/>
      <c r="AU27" s="400"/>
      <c r="AV27" s="400"/>
    </row>
    <row r="28" spans="1:48" x14ac:dyDescent="0.2">
      <c r="A28" s="398">
        <v>4</v>
      </c>
      <c r="B28" s="697"/>
      <c r="C28" s="400"/>
      <c r="D28" s="400"/>
      <c r="E28" s="400"/>
      <c r="F28" s="400"/>
      <c r="G28" s="401" t="str">
        <f t="shared" ref="G28" si="27">+CONCATENATE(C28," ",D28," ",E28)</f>
        <v xml:space="preserve">  </v>
      </c>
      <c r="H28" s="400"/>
      <c r="I28" s="402"/>
      <c r="J28" s="402"/>
      <c r="K28" s="402"/>
      <c r="L28" s="402"/>
      <c r="M28" s="402"/>
      <c r="N28" s="402"/>
      <c r="O28" s="416"/>
      <c r="P28" s="417" t="str">
        <f>IF(O28&lt;=0,"",IF(O28&lt;=2,"Muy Baja",IF(O28&lt;=24,"Baja",IF(O28&lt;=500,"Media",IF(O28&lt;=5000,"Alta","Muy Alta")))))</f>
        <v/>
      </c>
      <c r="Q28" s="405" t="str">
        <f>IF(P28="","",IF(P28="Muy Baja",0.2,IF(P28="Baja",0.4,IF(P28="Media",0.6,IF(P28="Alta",0.8,IF(P28="Muy Alta",1,))))))</f>
        <v/>
      </c>
      <c r="R28" s="406"/>
      <c r="S28" s="713">
        <f>IF(NOT(ISERROR(MATCH(R28,'[7]Tabla Impacto'!$B$245:$B$249,0))),'[7]Tabla Impacto'!$F$224&amp;"Por favor no seleccionar los criterios de impacto(Reputacional, Operativo, Legal, ni Contagio)",R28)</f>
        <v>0</v>
      </c>
      <c r="T28" s="417" t="str">
        <f>IF(OR(S28='[3]Tabla Impacto'!$C$12,S28='[3]Tabla Impacto'!$D$12),"Leve",IF(OR(S28='[3]Tabla Impacto'!$C$13,S28='[3]Tabla Impacto'!$D$13),"Menor",IF(OR(S28='[3]Tabla Impacto'!$C$14,S28='[3]Tabla Impacto'!$D$14),"Moderado",IF(OR(S28='[3]Tabla Impacto'!$C$15,S28='[3]Tabla Impacto'!$D$15),"Mayor",IF(OR(S28='[3]Tabla Impacto'!$C$16,S28='[3]Tabla Impacto'!$D$16),"Catastrófico","")))))</f>
        <v/>
      </c>
      <c r="U28" s="405" t="str">
        <f>IF(T28="","",IF(T28="Leve",0.2,IF(T28="Menor",0.4,IF(T28="Moderado",0.6,IF(T28="Mayor",0.8,IF(T28="Catastrófico",1,))))))</f>
        <v/>
      </c>
      <c r="V28" s="418" t="str">
        <f>IF(OR(AND(P28="Muy Baja",T28="Leve"),AND(P28="Muy Baja",T28="Menor"),AND(P28="Baja",T28="Leve")),"Bajo",IF(OR(AND(P28="Muy baja",T28="Moderado"),AND(P28="Baja",T28="Menor"),AND(P28="Baja",T28="Moderado"),AND(P28="Media",T28="Leve"),AND(P28="Media",T28="Menor"),AND(P28="Media",T28="Moderado"),AND(P28="Alta",T28="Leve"),AND(P28="Alta",T28="Menor")),"Moderado",IF(OR(AND(P28="Muy Baja",T28="Mayor"),AND(P28="Baja",T28="Mayor"),AND(P28="Media",T28="Mayor"),AND(P28="Alta",T28="Moderado"),AND(P28="Alta",T28="Mayor"),AND(P28="Muy Alta",T28="Leve"),AND(P28="Muy Alta",T28="Menor"),AND(P28="Muy Alta",T28="Moderado"),AND(P28="Muy Alta",T28="Mayor")),"Alto",IF(OR(AND(P28="Muy Baja",T28="Catastrófico"),AND(P28="Baja",T28="Catastrófico"),AND(P28="Media",T28="Catastrófico"),AND(P28="Alta",T28="Catastrófico"),AND(P28="Muy Alta",T28="Catastrófico")),"Extremo",""))))</f>
        <v/>
      </c>
      <c r="W28" s="149">
        <v>1</v>
      </c>
      <c r="X28" s="149"/>
      <c r="Y28" s="149"/>
      <c r="Z28" s="149"/>
      <c r="AA28" s="174" t="str">
        <f t="shared" si="1"/>
        <v xml:space="preserve">  </v>
      </c>
      <c r="AB28" s="126" t="str">
        <f>IF(OR(AC28="Preventivo",AC28="Detectivo"),"Probabilidad",IF(AC28="Correctivo","Impacto",""))</f>
        <v/>
      </c>
      <c r="AC28" s="127"/>
      <c r="AD28" s="127"/>
      <c r="AE28" s="128" t="str">
        <f>IF(AND(AC28="Preventivo",AD28="Automático"),"50%",IF(AND(AC28="Preventivo",AD28="Manual"),"40%",IF(AND(AC28="Detectivo",AD28="Automático"),"40%",IF(AND(AC28="Detectivo",AD28="Manual"),"30%",IF(AND(AC28="Correctivo",AD28="Automático"),"35%",IF(AND(AC28="Correctivo",AD28="Manual"),"25%",""))))))</f>
        <v/>
      </c>
      <c r="AF28" s="127"/>
      <c r="AG28" s="127"/>
      <c r="AH28" s="127"/>
      <c r="AI28" s="129" t="str">
        <f>IFERROR(IF(AB28="Probabilidad",(Q28-(+Q28*AE28)),IF(AB28="Impacto",Q28,"")),"")</f>
        <v/>
      </c>
      <c r="AJ28" s="130" t="str">
        <f>IFERROR(IF(AI28="","",IF(AI28&lt;=0.2,"Muy Baja",IF(AI28&lt;=0.4,"Baja",IF(AI28&lt;=0.6,"Media",IF(AI28&lt;=0.8,"Alta","Muy Alta"))))),"")</f>
        <v/>
      </c>
      <c r="AK28" s="128" t="str">
        <f>+AI28</f>
        <v/>
      </c>
      <c r="AL28" s="130" t="str">
        <f>IFERROR(IF(AM28="","",IF(AM28&lt;=0.2,"Leve",IF(AM28&lt;=0.4,"Menor",IF(AM28&lt;=0.6,"Moderado",IF(AM28&lt;=0.8,"Mayor","Catastrófico"))))),"")</f>
        <v/>
      </c>
      <c r="AM28" s="128" t="str">
        <f t="shared" ref="AM28" si="28">IFERROR(IF(AB28="Impacto",(U28-(+U28*AE28)),IF(AB28="Probabilidad",U28,"")),"")</f>
        <v/>
      </c>
      <c r="AN28" s="131" t="str">
        <f>IFERROR(IF(OR(AND(AJ28="Muy Baja",AL28="Leve"),AND(AJ28="Muy Baja",AL28="Menor"),AND(AJ28="Baja",AL28="Leve")),"Bajo",IF(OR(AND(AJ28="Muy baja",AL28="Moderado"),AND(AJ28="Baja",AL28="Menor"),AND(AJ28="Baja",AL28="Moderado"),AND(AJ28="Media",AL28="Leve"),AND(AJ28="Media",AL28="Menor"),AND(AJ28="Media",AL28="Moderado"),AND(AJ28="Alta",AL28="Leve"),AND(AJ28="Alta",AL28="Menor")),"Moderado",IF(OR(AND(AJ28="Muy Baja",AL28="Mayor"),AND(AJ28="Baja",AL28="Mayor"),AND(AJ28="Media",AL28="Mayor"),AND(AJ28="Alta",AL28="Moderado"),AND(AJ28="Alta",AL28="Mayor"),AND(AJ28="Muy Alta",AL28="Leve"),AND(AJ28="Muy Alta",AL28="Menor"),AND(AJ28="Muy Alta",AL28="Moderado"),AND(AJ28="Muy Alta",AL28="Mayor")),"Alto",IF(OR(AND(AJ28="Muy Baja",AL28="Catastrófico"),AND(AJ28="Baja",AL28="Catastrófico"),AND(AJ28="Media",AL28="Catastrófico"),AND(AJ28="Alta",AL28="Catastrófico"),AND(AJ28="Muy Alta",AL28="Catastrófico")),"Extremo","")))),"")</f>
        <v/>
      </c>
      <c r="AO28" s="132"/>
      <c r="AP28" s="125"/>
      <c r="AQ28" s="133"/>
      <c r="AR28" s="133"/>
      <c r="AS28" s="134"/>
      <c r="AT28" s="416"/>
      <c r="AU28" s="416"/>
      <c r="AV28" s="416"/>
    </row>
    <row r="29" spans="1:48" x14ac:dyDescent="0.2">
      <c r="A29" s="398"/>
      <c r="B29" s="697"/>
      <c r="C29" s="400"/>
      <c r="D29" s="400"/>
      <c r="E29" s="400"/>
      <c r="F29" s="400"/>
      <c r="G29" s="401"/>
      <c r="H29" s="400"/>
      <c r="I29" s="403"/>
      <c r="J29" s="403"/>
      <c r="K29" s="403"/>
      <c r="L29" s="403"/>
      <c r="M29" s="403"/>
      <c r="N29" s="403"/>
      <c r="O29" s="416"/>
      <c r="P29" s="417"/>
      <c r="Q29" s="405"/>
      <c r="R29" s="406"/>
      <c r="S29" s="713"/>
      <c r="T29" s="417"/>
      <c r="U29" s="405"/>
      <c r="V29" s="418"/>
      <c r="W29" s="149">
        <v>2</v>
      </c>
      <c r="X29" s="149"/>
      <c r="Y29" s="149"/>
      <c r="Z29" s="149"/>
      <c r="AA29" s="174" t="str">
        <f t="shared" si="1"/>
        <v xml:space="preserve">  </v>
      </c>
      <c r="AB29" s="126" t="str">
        <f>IF(OR(AC29="Preventivo",AC29="Detectivo"),"Probabilidad",IF(AC29="Correctivo","Impacto",""))</f>
        <v/>
      </c>
      <c r="AC29" s="127"/>
      <c r="AD29" s="127"/>
      <c r="AE29" s="128" t="str">
        <f t="shared" ref="AE29:AE33" si="29">IF(AND(AC29="Preventivo",AD29="Automático"),"50%",IF(AND(AC29="Preventivo",AD29="Manual"),"40%",IF(AND(AC29="Detectivo",AD29="Automático"),"40%",IF(AND(AC29="Detectivo",AD29="Manual"),"30%",IF(AND(AC29="Correctivo",AD29="Automático"),"35%",IF(AND(AC29="Correctivo",AD29="Manual"),"25%",""))))))</f>
        <v/>
      </c>
      <c r="AF29" s="127"/>
      <c r="AG29" s="127"/>
      <c r="AH29" s="127"/>
      <c r="AI29" s="129" t="str">
        <f>IFERROR(IF(AND(AB28="Probabilidad",AB29="Probabilidad"),(AK28-(+AK28*AE29)),IF(AB29="Probabilidad",(Q28-(+Q28*AE29)),IF(AB29="Impacto",AK28,""))),"")</f>
        <v/>
      </c>
      <c r="AJ29" s="130" t="str">
        <f t="shared" si="3"/>
        <v/>
      </c>
      <c r="AK29" s="128" t="str">
        <f t="shared" ref="AK29:AK33" si="30">+AI29</f>
        <v/>
      </c>
      <c r="AL29" s="130" t="str">
        <f t="shared" si="5"/>
        <v/>
      </c>
      <c r="AM29" s="128" t="str">
        <f t="shared" ref="AM29" si="31">IFERROR(IF(AND(AB28="Impacto",AB29="Impacto"),(AM28-(+AM28*AE29)),IF(AB29="Impacto",($U$10-(+$U$10*AE29)),IF(AB29="Probabilidad",AM28,""))),"")</f>
        <v/>
      </c>
      <c r="AN29" s="131" t="str">
        <f t="shared" ref="AN29:AN30" si="32">IFERROR(IF(OR(AND(AJ29="Muy Baja",AL29="Leve"),AND(AJ29="Muy Baja",AL29="Menor"),AND(AJ29="Baja",AL29="Leve")),"Bajo",IF(OR(AND(AJ29="Muy baja",AL29="Moderado"),AND(AJ29="Baja",AL29="Menor"),AND(AJ29="Baja",AL29="Moderado"),AND(AJ29="Media",AL29="Leve"),AND(AJ29="Media",AL29="Menor"),AND(AJ29="Media",AL29="Moderado"),AND(AJ29="Alta",AL29="Leve"),AND(AJ29="Alta",AL29="Menor")),"Moderado",IF(OR(AND(AJ29="Muy Baja",AL29="Mayor"),AND(AJ29="Baja",AL29="Mayor"),AND(AJ29="Media",AL29="Mayor"),AND(AJ29="Alta",AL29="Moderado"),AND(AJ29="Alta",AL29="Mayor"),AND(AJ29="Muy Alta",AL29="Leve"),AND(AJ29="Muy Alta",AL29="Menor"),AND(AJ29="Muy Alta",AL29="Moderado"),AND(AJ29="Muy Alta",AL29="Mayor")),"Alto",IF(OR(AND(AJ29="Muy Baja",AL29="Catastrófico"),AND(AJ29="Baja",AL29="Catastrófico"),AND(AJ29="Media",AL29="Catastrófico"),AND(AJ29="Alta",AL29="Catastrófico"),AND(AJ29="Muy Alta",AL29="Catastrófico")),"Extremo","")))),"")</f>
        <v/>
      </c>
      <c r="AO29" s="132"/>
      <c r="AP29" s="125"/>
      <c r="AQ29" s="133"/>
      <c r="AR29" s="133"/>
      <c r="AS29" s="134"/>
      <c r="AT29" s="416"/>
      <c r="AU29" s="416"/>
      <c r="AV29" s="416"/>
    </row>
    <row r="30" spans="1:48" x14ac:dyDescent="0.2">
      <c r="A30" s="398"/>
      <c r="B30" s="697"/>
      <c r="C30" s="400"/>
      <c r="D30" s="400"/>
      <c r="E30" s="400"/>
      <c r="F30" s="400"/>
      <c r="G30" s="401"/>
      <c r="H30" s="400"/>
      <c r="I30" s="403"/>
      <c r="J30" s="403"/>
      <c r="K30" s="403"/>
      <c r="L30" s="403"/>
      <c r="M30" s="403"/>
      <c r="N30" s="403"/>
      <c r="O30" s="416"/>
      <c r="P30" s="417"/>
      <c r="Q30" s="405"/>
      <c r="R30" s="406"/>
      <c r="S30" s="713"/>
      <c r="T30" s="417"/>
      <c r="U30" s="405"/>
      <c r="V30" s="418"/>
      <c r="W30" s="149">
        <v>3</v>
      </c>
      <c r="X30" s="149"/>
      <c r="Y30" s="149"/>
      <c r="Z30" s="149"/>
      <c r="AA30" s="174" t="str">
        <f t="shared" si="1"/>
        <v xml:space="preserve">  </v>
      </c>
      <c r="AB30" s="126" t="str">
        <f>IF(OR(AC30="Preventivo",AC30="Detectivo"),"Probabilidad",IF(AC30="Correctivo","Impacto",""))</f>
        <v/>
      </c>
      <c r="AC30" s="127"/>
      <c r="AD30" s="127"/>
      <c r="AE30" s="128" t="str">
        <f t="shared" si="29"/>
        <v/>
      </c>
      <c r="AF30" s="127"/>
      <c r="AG30" s="127"/>
      <c r="AH30" s="127"/>
      <c r="AI30" s="129" t="str">
        <f>IFERROR(IF(AND(AB29="Probabilidad",AB30="Probabilidad"),(AK29-(+AK29*AE30)),IF(AND(AB29="Impacto",AB30="Probabilidad"),(AK28-(+AK28*AE30)),IF(AB30="Impacto",AK29,""))),"")</f>
        <v/>
      </c>
      <c r="AJ30" s="130" t="str">
        <f t="shared" si="3"/>
        <v/>
      </c>
      <c r="AK30" s="128" t="str">
        <f t="shared" si="30"/>
        <v/>
      </c>
      <c r="AL30" s="130" t="str">
        <f t="shared" si="5"/>
        <v/>
      </c>
      <c r="AM30" s="128" t="str">
        <f t="shared" ref="AM30" si="33">IFERROR(IF(AND(AB29="Impacto",AB30="Impacto"),(AM29-(+AM29*AE30)),IF(AND(AB29="Probabilidad",AB30="Impacto"),(AM28-(+AM28*AE30)),IF(AB30="Probabilidad",AM29,""))),"")</f>
        <v/>
      </c>
      <c r="AN30" s="131" t="str">
        <f t="shared" si="32"/>
        <v/>
      </c>
      <c r="AO30" s="132"/>
      <c r="AP30" s="125"/>
      <c r="AQ30" s="133"/>
      <c r="AR30" s="133"/>
      <c r="AS30" s="134"/>
      <c r="AT30" s="416"/>
      <c r="AU30" s="416"/>
      <c r="AV30" s="416"/>
    </row>
    <row r="31" spans="1:48" x14ac:dyDescent="0.2">
      <c r="A31" s="398"/>
      <c r="B31" s="697"/>
      <c r="C31" s="400"/>
      <c r="D31" s="400"/>
      <c r="E31" s="400"/>
      <c r="F31" s="400"/>
      <c r="G31" s="401"/>
      <c r="H31" s="400"/>
      <c r="I31" s="403"/>
      <c r="J31" s="403"/>
      <c r="K31" s="403"/>
      <c r="L31" s="403"/>
      <c r="M31" s="403"/>
      <c r="N31" s="403"/>
      <c r="O31" s="416"/>
      <c r="P31" s="417"/>
      <c r="Q31" s="405"/>
      <c r="R31" s="406"/>
      <c r="S31" s="713"/>
      <c r="T31" s="417"/>
      <c r="U31" s="405"/>
      <c r="V31" s="418"/>
      <c r="W31" s="149">
        <v>4</v>
      </c>
      <c r="X31" s="149"/>
      <c r="Y31" s="149"/>
      <c r="Z31" s="149"/>
      <c r="AA31" s="174" t="str">
        <f t="shared" si="1"/>
        <v xml:space="preserve">  </v>
      </c>
      <c r="AB31" s="126" t="str">
        <f t="shared" ref="AB31:AB33" si="34">IF(OR(AC31="Preventivo",AC31="Detectivo"),"Probabilidad",IF(AC31="Correctivo","Impacto",""))</f>
        <v/>
      </c>
      <c r="AC31" s="127"/>
      <c r="AD31" s="127"/>
      <c r="AE31" s="128" t="str">
        <f t="shared" si="29"/>
        <v/>
      </c>
      <c r="AF31" s="127"/>
      <c r="AG31" s="127"/>
      <c r="AH31" s="127"/>
      <c r="AI31" s="129" t="str">
        <f t="shared" ref="AI31:AI33" si="35">IFERROR(IF(AND(AB30="Probabilidad",AB31="Probabilidad"),(AK30-(+AK30*AE31)),IF(AND(AB30="Impacto",AB31="Probabilidad"),(AK29-(+AK29*AE31)),IF(AB31="Impacto",AK30,""))),"")</f>
        <v/>
      </c>
      <c r="AJ31" s="130" t="str">
        <f t="shared" si="3"/>
        <v/>
      </c>
      <c r="AK31" s="128" t="str">
        <f t="shared" si="30"/>
        <v/>
      </c>
      <c r="AL31" s="130" t="str">
        <f t="shared" si="5"/>
        <v/>
      </c>
      <c r="AM31" s="128" t="str">
        <f t="shared" si="15"/>
        <v/>
      </c>
      <c r="AN31" s="131" t="str">
        <f>IFERROR(IF(OR(AND(AJ31="Muy Baja",AL31="Leve"),AND(AJ31="Muy Baja",AL31="Menor"),AND(AJ31="Baja",AL31="Leve")),"Bajo",IF(OR(AND(AJ31="Muy baja",AL31="Moderado"),AND(AJ31="Baja",AL31="Menor"),AND(AJ31="Baja",AL31="Moderado"),AND(AJ31="Media",AL31="Leve"),AND(AJ31="Media",AL31="Menor"),AND(AJ31="Media",AL31="Moderado"),AND(AJ31="Alta",AL31="Leve"),AND(AJ31="Alta",AL31="Menor")),"Moderado",IF(OR(AND(AJ31="Muy Baja",AL31="Mayor"),AND(AJ31="Baja",AL31="Mayor"),AND(AJ31="Media",AL31="Mayor"),AND(AJ31="Alta",AL31="Moderado"),AND(AJ31="Alta",AL31="Mayor"),AND(AJ31="Muy Alta",AL31="Leve"),AND(AJ31="Muy Alta",AL31="Menor"),AND(AJ31="Muy Alta",AL31="Moderado"),AND(AJ31="Muy Alta",AL31="Mayor")),"Alto",IF(OR(AND(AJ31="Muy Baja",AL31="Catastrófico"),AND(AJ31="Baja",AL31="Catastrófico"),AND(AJ31="Media",AL31="Catastrófico"),AND(AJ31="Alta",AL31="Catastrófico"),AND(AJ31="Muy Alta",AL31="Catastrófico")),"Extremo","")))),"")</f>
        <v/>
      </c>
      <c r="AO31" s="132"/>
      <c r="AP31" s="125"/>
      <c r="AQ31" s="133"/>
      <c r="AR31" s="133"/>
      <c r="AS31" s="134"/>
      <c r="AT31" s="416"/>
      <c r="AU31" s="416"/>
      <c r="AV31" s="416"/>
    </row>
    <row r="32" spans="1:48" x14ac:dyDescent="0.2">
      <c r="A32" s="398"/>
      <c r="B32" s="697"/>
      <c r="C32" s="400"/>
      <c r="D32" s="400"/>
      <c r="E32" s="400"/>
      <c r="F32" s="400"/>
      <c r="G32" s="401"/>
      <c r="H32" s="400"/>
      <c r="I32" s="403"/>
      <c r="J32" s="403"/>
      <c r="K32" s="403"/>
      <c r="L32" s="403"/>
      <c r="M32" s="403"/>
      <c r="N32" s="403"/>
      <c r="O32" s="416"/>
      <c r="P32" s="417"/>
      <c r="Q32" s="405"/>
      <c r="R32" s="406"/>
      <c r="S32" s="713"/>
      <c r="T32" s="417"/>
      <c r="U32" s="405"/>
      <c r="V32" s="418"/>
      <c r="W32" s="149">
        <v>5</v>
      </c>
      <c r="X32" s="149"/>
      <c r="Y32" s="149"/>
      <c r="Z32" s="149"/>
      <c r="AA32" s="174" t="str">
        <f t="shared" si="1"/>
        <v xml:space="preserve">  </v>
      </c>
      <c r="AB32" s="126" t="str">
        <f t="shared" si="34"/>
        <v/>
      </c>
      <c r="AC32" s="127"/>
      <c r="AD32" s="127"/>
      <c r="AE32" s="128" t="str">
        <f t="shared" si="29"/>
        <v/>
      </c>
      <c r="AF32" s="127"/>
      <c r="AG32" s="127"/>
      <c r="AH32" s="127"/>
      <c r="AI32" s="129" t="str">
        <f t="shared" si="35"/>
        <v/>
      </c>
      <c r="AJ32" s="130" t="str">
        <f>IFERROR(IF(AI32="","",IF(AI32&lt;=0.2,"Muy Baja",IF(AI32&lt;=0.4,"Baja",IF(AI32&lt;=0.6,"Media",IF(AI32&lt;=0.8,"Alta","Muy Alta"))))),"")</f>
        <v/>
      </c>
      <c r="AK32" s="128" t="str">
        <f t="shared" si="30"/>
        <v/>
      </c>
      <c r="AL32" s="130" t="str">
        <f t="shared" si="5"/>
        <v/>
      </c>
      <c r="AM32" s="128" t="str">
        <f t="shared" si="15"/>
        <v/>
      </c>
      <c r="AN32" s="131" t="str">
        <f t="shared" ref="AN32:AN33" si="36">IFERROR(IF(OR(AND(AJ32="Muy Baja",AL32="Leve"),AND(AJ32="Muy Baja",AL32="Menor"),AND(AJ32="Baja",AL32="Leve")),"Bajo",IF(OR(AND(AJ32="Muy baja",AL32="Moderado"),AND(AJ32="Baja",AL32="Menor"),AND(AJ32="Baja",AL32="Moderado"),AND(AJ32="Media",AL32="Leve"),AND(AJ32="Media",AL32="Menor"),AND(AJ32="Media",AL32="Moderado"),AND(AJ32="Alta",AL32="Leve"),AND(AJ32="Alta",AL32="Menor")),"Moderado",IF(OR(AND(AJ32="Muy Baja",AL32="Mayor"),AND(AJ32="Baja",AL32="Mayor"),AND(AJ32="Media",AL32="Mayor"),AND(AJ32="Alta",AL32="Moderado"),AND(AJ32="Alta",AL32="Mayor"),AND(AJ32="Muy Alta",AL32="Leve"),AND(AJ32="Muy Alta",AL32="Menor"),AND(AJ32="Muy Alta",AL32="Moderado"),AND(AJ32="Muy Alta",AL32="Mayor")),"Alto",IF(OR(AND(AJ32="Muy Baja",AL32="Catastrófico"),AND(AJ32="Baja",AL32="Catastrófico"),AND(AJ32="Media",AL32="Catastrófico"),AND(AJ32="Alta",AL32="Catastrófico"),AND(AJ32="Muy Alta",AL32="Catastrófico")),"Extremo","")))),"")</f>
        <v/>
      </c>
      <c r="AO32" s="132"/>
      <c r="AP32" s="125"/>
      <c r="AQ32" s="133"/>
      <c r="AR32" s="133"/>
      <c r="AS32" s="134"/>
      <c r="AT32" s="416"/>
      <c r="AU32" s="416"/>
      <c r="AV32" s="416"/>
    </row>
    <row r="33" spans="1:48" x14ac:dyDescent="0.2">
      <c r="A33" s="398"/>
      <c r="B33" s="697"/>
      <c r="C33" s="400"/>
      <c r="D33" s="400"/>
      <c r="E33" s="400"/>
      <c r="F33" s="400"/>
      <c r="G33" s="401"/>
      <c r="H33" s="400"/>
      <c r="I33" s="404"/>
      <c r="J33" s="404"/>
      <c r="K33" s="404"/>
      <c r="L33" s="404"/>
      <c r="M33" s="404"/>
      <c r="N33" s="404"/>
      <c r="O33" s="416"/>
      <c r="P33" s="417"/>
      <c r="Q33" s="405"/>
      <c r="R33" s="406"/>
      <c r="S33" s="713"/>
      <c r="T33" s="417"/>
      <c r="U33" s="405"/>
      <c r="V33" s="418"/>
      <c r="W33" s="149">
        <v>6</v>
      </c>
      <c r="X33" s="149"/>
      <c r="Y33" s="149"/>
      <c r="Z33" s="149"/>
      <c r="AA33" s="174" t="str">
        <f t="shared" si="1"/>
        <v xml:space="preserve">  </v>
      </c>
      <c r="AB33" s="126" t="str">
        <f t="shared" si="34"/>
        <v/>
      </c>
      <c r="AC33" s="127"/>
      <c r="AD33" s="127"/>
      <c r="AE33" s="128" t="str">
        <f t="shared" si="29"/>
        <v/>
      </c>
      <c r="AF33" s="127"/>
      <c r="AG33" s="127"/>
      <c r="AH33" s="127"/>
      <c r="AI33" s="129" t="str">
        <f t="shared" si="35"/>
        <v/>
      </c>
      <c r="AJ33" s="130" t="str">
        <f t="shared" si="3"/>
        <v/>
      </c>
      <c r="AK33" s="128" t="str">
        <f t="shared" si="30"/>
        <v/>
      </c>
      <c r="AL33" s="130" t="str">
        <f t="shared" si="5"/>
        <v/>
      </c>
      <c r="AM33" s="128" t="str">
        <f t="shared" si="15"/>
        <v/>
      </c>
      <c r="AN33" s="131" t="str">
        <f t="shared" si="36"/>
        <v/>
      </c>
      <c r="AO33" s="132"/>
      <c r="AP33" s="125"/>
      <c r="AQ33" s="133"/>
      <c r="AR33" s="133"/>
      <c r="AS33" s="134"/>
      <c r="AT33" s="416"/>
      <c r="AU33" s="416"/>
      <c r="AV33" s="416"/>
    </row>
    <row r="34" spans="1:48" x14ac:dyDescent="0.2">
      <c r="A34" s="398">
        <v>5</v>
      </c>
      <c r="B34" s="697"/>
      <c r="C34" s="400"/>
      <c r="D34" s="400"/>
      <c r="E34" s="400"/>
      <c r="F34" s="400"/>
      <c r="G34" s="401" t="str">
        <f t="shared" ref="G34" si="37">+CONCATENATE(C34," ",D34," ",E34)</f>
        <v xml:space="preserve">  </v>
      </c>
      <c r="H34" s="400"/>
      <c r="I34" s="402"/>
      <c r="J34" s="402"/>
      <c r="K34" s="402"/>
      <c r="L34" s="402"/>
      <c r="M34" s="402"/>
      <c r="N34" s="402"/>
      <c r="O34" s="416"/>
      <c r="P34" s="417" t="str">
        <f>IF(O34&lt;=0,"",IF(O34&lt;=2,"Muy Baja",IF(O34&lt;=24,"Baja",IF(O34&lt;=500,"Media",IF(O34&lt;=5000,"Alta","Muy Alta")))))</f>
        <v/>
      </c>
      <c r="Q34" s="405" t="str">
        <f>IF(P34="","",IF(P34="Muy Baja",0.2,IF(P34="Baja",0.4,IF(P34="Media",0.6,IF(P34="Alta",0.8,IF(P34="Muy Alta",1,))))))</f>
        <v/>
      </c>
      <c r="R34" s="406"/>
      <c r="S34" s="405">
        <f>IF(NOT(ISERROR(MATCH(R34,'[3]Tabla Impacto'!$B$245:$B$249,0))),'[3]Tabla Impacto'!$F$224&amp;"Por favor no seleccionar los criterios de impacto(Reputacional, Operativo, Legal, ni Contagio)",R34)</f>
        <v>0</v>
      </c>
      <c r="T34" s="417" t="str">
        <f>IF(OR(S34='[3]Tabla Impacto'!$C$12,S34='[3]Tabla Impacto'!$D$12),"Leve",IF(OR(S34='[3]Tabla Impacto'!$C$13,S34='[3]Tabla Impacto'!$D$13),"Menor",IF(OR(S34='[3]Tabla Impacto'!$C$14,S34='[3]Tabla Impacto'!$D$14),"Moderado",IF(OR(S34='[3]Tabla Impacto'!$C$15,S34='[3]Tabla Impacto'!$D$15),"Mayor",IF(OR(S34='[3]Tabla Impacto'!$C$16,S34='[3]Tabla Impacto'!$D$16),"Catastrófico","")))))</f>
        <v/>
      </c>
      <c r="U34" s="405" t="str">
        <f>IF(T34="","",IF(T34="Leve",0.2,IF(T34="Menor",0.4,IF(T34="Moderado",0.6,IF(T34="Mayor",0.8,IF(T34="Catastrófico",1,))))))</f>
        <v/>
      </c>
      <c r="V34" s="418" t="str">
        <f>IF(OR(AND(P34="Muy Baja",T34="Leve"),AND(P34="Muy Baja",T34="Menor"),AND(P34="Baja",T34="Leve")),"Bajo",IF(OR(AND(P34="Muy baja",T34="Moderado"),AND(P34="Baja",T34="Menor"),AND(P34="Baja",T34="Moderado"),AND(P34="Media",T34="Leve"),AND(P34="Media",T34="Menor"),AND(P34="Media",T34="Moderado"),AND(P34="Alta",T34="Leve"),AND(P34="Alta",T34="Menor")),"Moderado",IF(OR(AND(P34="Muy Baja",T34="Mayor"),AND(P34="Baja",T34="Mayor"),AND(P34="Media",T34="Mayor"),AND(P34="Alta",T34="Moderado"),AND(P34="Alta",T34="Mayor"),AND(P34="Muy Alta",T34="Leve"),AND(P34="Muy Alta",T34="Menor"),AND(P34="Muy Alta",T34="Moderado"),AND(P34="Muy Alta",T34="Mayor")),"Alto",IF(OR(AND(P34="Muy Baja",T34="Catastrófico"),AND(P34="Baja",T34="Catastrófico"),AND(P34="Media",T34="Catastrófico"),AND(P34="Alta",T34="Catastrófico"),AND(P34="Muy Alta",T34="Catastrófico")),"Extremo",""))))</f>
        <v/>
      </c>
      <c r="W34" s="149">
        <v>1</v>
      </c>
      <c r="X34" s="149"/>
      <c r="Y34" s="149"/>
      <c r="Z34" s="149"/>
      <c r="AA34" s="174" t="str">
        <f t="shared" si="1"/>
        <v xml:space="preserve">  </v>
      </c>
      <c r="AB34" s="126" t="str">
        <f>IF(OR(AC34="Preventivo",AC34="Detectivo"),"Probabilidad",IF(AC34="Correctivo","Impacto",""))</f>
        <v/>
      </c>
      <c r="AC34" s="127"/>
      <c r="AD34" s="127"/>
      <c r="AE34" s="128" t="str">
        <f>IF(AND(AC34="Preventivo",AD34="Automático"),"50%",IF(AND(AC34="Preventivo",AD34="Manual"),"40%",IF(AND(AC34="Detectivo",AD34="Automático"),"40%",IF(AND(AC34="Detectivo",AD34="Manual"),"30%",IF(AND(AC34="Correctivo",AD34="Automático"),"35%",IF(AND(AC34="Correctivo",AD34="Manual"),"25%",""))))))</f>
        <v/>
      </c>
      <c r="AF34" s="127"/>
      <c r="AG34" s="127"/>
      <c r="AH34" s="127"/>
      <c r="AI34" s="129" t="str">
        <f>IFERROR(IF(AB34="Probabilidad",(Q34-(+Q34*AE34)),IF(AB34="Impacto",Q34,"")),"")</f>
        <v/>
      </c>
      <c r="AJ34" s="130" t="str">
        <f>IFERROR(IF(AI34="","",IF(AI34&lt;=0.2,"Muy Baja",IF(AI34&lt;=0.4,"Baja",IF(AI34&lt;=0.6,"Media",IF(AI34&lt;=0.8,"Alta","Muy Alta"))))),"")</f>
        <v/>
      </c>
      <c r="AK34" s="128" t="str">
        <f>+AI34</f>
        <v/>
      </c>
      <c r="AL34" s="130" t="str">
        <f>IFERROR(IF(AM34="","",IF(AM34&lt;=0.2,"Leve",IF(AM34&lt;=0.4,"Menor",IF(AM34&lt;=0.6,"Moderado",IF(AM34&lt;=0.8,"Mayor","Catastrófico"))))),"")</f>
        <v/>
      </c>
      <c r="AM34" s="128" t="str">
        <f t="shared" ref="AM34" si="38">IFERROR(IF(AB34="Impacto",(U34-(+U34*AE34)),IF(AB34="Probabilidad",U34,"")),"")</f>
        <v/>
      </c>
      <c r="AN34" s="131" t="str">
        <f>IFERROR(IF(OR(AND(AJ34="Muy Baja",AL34="Leve"),AND(AJ34="Muy Baja",AL34="Menor"),AND(AJ34="Baja",AL34="Leve")),"Bajo",IF(OR(AND(AJ34="Muy baja",AL34="Moderado"),AND(AJ34="Baja",AL34="Menor"),AND(AJ34="Baja",AL34="Moderado"),AND(AJ34="Media",AL34="Leve"),AND(AJ34="Media",AL34="Menor"),AND(AJ34="Media",AL34="Moderado"),AND(AJ34="Alta",AL34="Leve"),AND(AJ34="Alta",AL34="Menor")),"Moderado",IF(OR(AND(AJ34="Muy Baja",AL34="Mayor"),AND(AJ34="Baja",AL34="Mayor"),AND(AJ34="Media",AL34="Mayor"),AND(AJ34="Alta",AL34="Moderado"),AND(AJ34="Alta",AL34="Mayor"),AND(AJ34="Muy Alta",AL34="Leve"),AND(AJ34="Muy Alta",AL34="Menor"),AND(AJ34="Muy Alta",AL34="Moderado"),AND(AJ34="Muy Alta",AL34="Mayor")),"Alto",IF(OR(AND(AJ34="Muy Baja",AL34="Catastrófico"),AND(AJ34="Baja",AL34="Catastrófico"),AND(AJ34="Media",AL34="Catastrófico"),AND(AJ34="Alta",AL34="Catastrófico"),AND(AJ34="Muy Alta",AL34="Catastrófico")),"Extremo","")))),"")</f>
        <v/>
      </c>
      <c r="AO34" s="132"/>
      <c r="AP34" s="125"/>
      <c r="AQ34" s="133"/>
      <c r="AR34" s="133"/>
      <c r="AS34" s="134"/>
      <c r="AT34" s="416"/>
      <c r="AU34" s="416"/>
      <c r="AV34" s="416"/>
    </row>
    <row r="35" spans="1:48" x14ac:dyDescent="0.2">
      <c r="A35" s="398"/>
      <c r="B35" s="697"/>
      <c r="C35" s="400"/>
      <c r="D35" s="400"/>
      <c r="E35" s="400"/>
      <c r="F35" s="400"/>
      <c r="G35" s="401"/>
      <c r="H35" s="400"/>
      <c r="I35" s="403"/>
      <c r="J35" s="403"/>
      <c r="K35" s="403"/>
      <c r="L35" s="403"/>
      <c r="M35" s="403"/>
      <c r="N35" s="403"/>
      <c r="O35" s="416"/>
      <c r="P35" s="417"/>
      <c r="Q35" s="405"/>
      <c r="R35" s="406"/>
      <c r="S35" s="405"/>
      <c r="T35" s="417"/>
      <c r="U35" s="405"/>
      <c r="V35" s="418"/>
      <c r="W35" s="149">
        <v>2</v>
      </c>
      <c r="X35" s="149"/>
      <c r="Y35" s="149"/>
      <c r="Z35" s="149"/>
      <c r="AA35" s="174" t="str">
        <f t="shared" si="1"/>
        <v xml:space="preserve">  </v>
      </c>
      <c r="AB35" s="126" t="str">
        <f>IF(OR(AC35="Preventivo",AC35="Detectivo"),"Probabilidad",IF(AC35="Correctivo","Impacto",""))</f>
        <v/>
      </c>
      <c r="AC35" s="127"/>
      <c r="AD35" s="127"/>
      <c r="AE35" s="128" t="str">
        <f t="shared" ref="AE35:AE39" si="39">IF(AND(AC35="Preventivo",AD35="Automático"),"50%",IF(AND(AC35="Preventivo",AD35="Manual"),"40%",IF(AND(AC35="Detectivo",AD35="Automático"),"40%",IF(AND(AC35="Detectivo",AD35="Manual"),"30%",IF(AND(AC35="Correctivo",AD35="Automático"),"35%",IF(AND(AC35="Correctivo",AD35="Manual"),"25%",""))))))</f>
        <v/>
      </c>
      <c r="AF35" s="127"/>
      <c r="AG35" s="127"/>
      <c r="AH35" s="127"/>
      <c r="AI35" s="129" t="str">
        <f>IFERROR(IF(AND(AB34="Probabilidad",AB35="Probabilidad"),(AK34-(+AK34*AE35)),IF(AB35="Probabilidad",(Q34-(+Q34*AE35)),IF(AB35="Impacto",AK34,""))),"")</f>
        <v/>
      </c>
      <c r="AJ35" s="130" t="str">
        <f t="shared" si="3"/>
        <v/>
      </c>
      <c r="AK35" s="128" t="str">
        <f t="shared" ref="AK35:AK39" si="40">+AI35</f>
        <v/>
      </c>
      <c r="AL35" s="130" t="str">
        <f t="shared" si="5"/>
        <v/>
      </c>
      <c r="AM35" s="128" t="str">
        <f t="shared" ref="AM35" si="41">IFERROR(IF(AND(AB34="Impacto",AB35="Impacto"),(AM34-(+AM34*AE35)),IF(AB35="Impacto",($U$10-(+$U$10*AE35)),IF(AB35="Probabilidad",AM34,""))),"")</f>
        <v/>
      </c>
      <c r="AN35" s="131" t="str">
        <f t="shared" ref="AN35:AN36" si="42">IFERROR(IF(OR(AND(AJ35="Muy Baja",AL35="Leve"),AND(AJ35="Muy Baja",AL35="Menor"),AND(AJ35="Baja",AL35="Leve")),"Bajo",IF(OR(AND(AJ35="Muy baja",AL35="Moderado"),AND(AJ35="Baja",AL35="Menor"),AND(AJ35="Baja",AL35="Moderado"),AND(AJ35="Media",AL35="Leve"),AND(AJ35="Media",AL35="Menor"),AND(AJ35="Media",AL35="Moderado"),AND(AJ35="Alta",AL35="Leve"),AND(AJ35="Alta",AL35="Menor")),"Moderado",IF(OR(AND(AJ35="Muy Baja",AL35="Mayor"),AND(AJ35="Baja",AL35="Mayor"),AND(AJ35="Media",AL35="Mayor"),AND(AJ35="Alta",AL35="Moderado"),AND(AJ35="Alta",AL35="Mayor"),AND(AJ35="Muy Alta",AL35="Leve"),AND(AJ35="Muy Alta",AL35="Menor"),AND(AJ35="Muy Alta",AL35="Moderado"),AND(AJ35="Muy Alta",AL35="Mayor")),"Alto",IF(OR(AND(AJ35="Muy Baja",AL35="Catastrófico"),AND(AJ35="Baja",AL35="Catastrófico"),AND(AJ35="Media",AL35="Catastrófico"),AND(AJ35="Alta",AL35="Catastrófico"),AND(AJ35="Muy Alta",AL35="Catastrófico")),"Extremo","")))),"")</f>
        <v/>
      </c>
      <c r="AO35" s="132"/>
      <c r="AP35" s="125"/>
      <c r="AQ35" s="133"/>
      <c r="AR35" s="133"/>
      <c r="AS35" s="134"/>
      <c r="AT35" s="416"/>
      <c r="AU35" s="416"/>
      <c r="AV35" s="416"/>
    </row>
    <row r="36" spans="1:48" x14ac:dyDescent="0.2">
      <c r="A36" s="398"/>
      <c r="B36" s="697"/>
      <c r="C36" s="400"/>
      <c r="D36" s="400"/>
      <c r="E36" s="400"/>
      <c r="F36" s="400"/>
      <c r="G36" s="401"/>
      <c r="H36" s="400"/>
      <c r="I36" s="403"/>
      <c r="J36" s="403"/>
      <c r="K36" s="403"/>
      <c r="L36" s="403"/>
      <c r="M36" s="403"/>
      <c r="N36" s="403"/>
      <c r="O36" s="416"/>
      <c r="P36" s="417"/>
      <c r="Q36" s="405"/>
      <c r="R36" s="406"/>
      <c r="S36" s="405"/>
      <c r="T36" s="417"/>
      <c r="U36" s="405"/>
      <c r="V36" s="418"/>
      <c r="W36" s="149">
        <v>3</v>
      </c>
      <c r="X36" s="149"/>
      <c r="Y36" s="149"/>
      <c r="Z36" s="149"/>
      <c r="AA36" s="174" t="str">
        <f t="shared" si="1"/>
        <v xml:space="preserve">  </v>
      </c>
      <c r="AB36" s="126" t="str">
        <f>IF(OR(AC36="Preventivo",AC36="Detectivo"),"Probabilidad",IF(AC36="Correctivo","Impacto",""))</f>
        <v/>
      </c>
      <c r="AC36" s="127"/>
      <c r="AD36" s="127"/>
      <c r="AE36" s="128" t="str">
        <f t="shared" si="39"/>
        <v/>
      </c>
      <c r="AF36" s="127"/>
      <c r="AG36" s="127"/>
      <c r="AH36" s="127"/>
      <c r="AI36" s="129" t="str">
        <f>IFERROR(IF(AND(AB35="Probabilidad",AB36="Probabilidad"),(AK35-(+AK35*AE36)),IF(AND(AB35="Impacto",AB36="Probabilidad"),(AK34-(+AK34*AE36)),IF(AB36="Impacto",AK35,""))),"")</f>
        <v/>
      </c>
      <c r="AJ36" s="130" t="str">
        <f t="shared" si="3"/>
        <v/>
      </c>
      <c r="AK36" s="128" t="str">
        <f t="shared" si="40"/>
        <v/>
      </c>
      <c r="AL36" s="130" t="str">
        <f t="shared" si="5"/>
        <v/>
      </c>
      <c r="AM36" s="128" t="str">
        <f t="shared" ref="AM36" si="43">IFERROR(IF(AND(AB35="Impacto",AB36="Impacto"),(AM35-(+AM35*AE36)),IF(AND(AB35="Probabilidad",AB36="Impacto"),(AM34-(+AM34*AE36)),IF(AB36="Probabilidad",AM35,""))),"")</f>
        <v/>
      </c>
      <c r="AN36" s="131" t="str">
        <f t="shared" si="42"/>
        <v/>
      </c>
      <c r="AO36" s="132"/>
      <c r="AP36" s="125"/>
      <c r="AQ36" s="133"/>
      <c r="AR36" s="133"/>
      <c r="AS36" s="134"/>
      <c r="AT36" s="416"/>
      <c r="AU36" s="416"/>
      <c r="AV36" s="416"/>
    </row>
    <row r="37" spans="1:48" x14ac:dyDescent="0.2">
      <c r="A37" s="398"/>
      <c r="B37" s="697"/>
      <c r="C37" s="400"/>
      <c r="D37" s="400"/>
      <c r="E37" s="400"/>
      <c r="F37" s="400"/>
      <c r="G37" s="401"/>
      <c r="H37" s="400"/>
      <c r="I37" s="403"/>
      <c r="J37" s="403"/>
      <c r="K37" s="403"/>
      <c r="L37" s="403"/>
      <c r="M37" s="403"/>
      <c r="N37" s="403"/>
      <c r="O37" s="416"/>
      <c r="P37" s="417"/>
      <c r="Q37" s="405"/>
      <c r="R37" s="406"/>
      <c r="S37" s="405"/>
      <c r="T37" s="417"/>
      <c r="U37" s="405"/>
      <c r="V37" s="418"/>
      <c r="W37" s="149">
        <v>4</v>
      </c>
      <c r="X37" s="149"/>
      <c r="Y37" s="149"/>
      <c r="Z37" s="149"/>
      <c r="AA37" s="174" t="str">
        <f t="shared" si="1"/>
        <v xml:space="preserve">  </v>
      </c>
      <c r="AB37" s="126" t="str">
        <f t="shared" ref="AB37:AB39" si="44">IF(OR(AC37="Preventivo",AC37="Detectivo"),"Probabilidad",IF(AC37="Correctivo","Impacto",""))</f>
        <v/>
      </c>
      <c r="AC37" s="127"/>
      <c r="AD37" s="127"/>
      <c r="AE37" s="128" t="str">
        <f t="shared" si="39"/>
        <v/>
      </c>
      <c r="AF37" s="127"/>
      <c r="AG37" s="127"/>
      <c r="AH37" s="127"/>
      <c r="AI37" s="129" t="str">
        <f t="shared" ref="AI37:AI39" si="45">IFERROR(IF(AND(AB36="Probabilidad",AB37="Probabilidad"),(AK36-(+AK36*AE37)),IF(AND(AB36="Impacto",AB37="Probabilidad"),(AK35-(+AK35*AE37)),IF(AB37="Impacto",AK36,""))),"")</f>
        <v/>
      </c>
      <c r="AJ37" s="130" t="str">
        <f t="shared" si="3"/>
        <v/>
      </c>
      <c r="AK37" s="128" t="str">
        <f t="shared" si="40"/>
        <v/>
      </c>
      <c r="AL37" s="130" t="str">
        <f t="shared" si="5"/>
        <v/>
      </c>
      <c r="AM37" s="128" t="str">
        <f t="shared" si="15"/>
        <v/>
      </c>
      <c r="AN37" s="131" t="str">
        <f>IFERROR(IF(OR(AND(AJ37="Muy Baja",AL37="Leve"),AND(AJ37="Muy Baja",AL37="Menor"),AND(AJ37="Baja",AL37="Leve")),"Bajo",IF(OR(AND(AJ37="Muy baja",AL37="Moderado"),AND(AJ37="Baja",AL37="Menor"),AND(AJ37="Baja",AL37="Moderado"),AND(AJ37="Media",AL37="Leve"),AND(AJ37="Media",AL37="Menor"),AND(AJ37="Media",AL37="Moderado"),AND(AJ37="Alta",AL37="Leve"),AND(AJ37="Alta",AL37="Menor")),"Moderado",IF(OR(AND(AJ37="Muy Baja",AL37="Mayor"),AND(AJ37="Baja",AL37="Mayor"),AND(AJ37="Media",AL37="Mayor"),AND(AJ37="Alta",AL37="Moderado"),AND(AJ37="Alta",AL37="Mayor"),AND(AJ37="Muy Alta",AL37="Leve"),AND(AJ37="Muy Alta",AL37="Menor"),AND(AJ37="Muy Alta",AL37="Moderado"),AND(AJ37="Muy Alta",AL37="Mayor")),"Alto",IF(OR(AND(AJ37="Muy Baja",AL37="Catastrófico"),AND(AJ37="Baja",AL37="Catastrófico"),AND(AJ37="Media",AL37="Catastrófico"),AND(AJ37="Alta",AL37="Catastrófico"),AND(AJ37="Muy Alta",AL37="Catastrófico")),"Extremo","")))),"")</f>
        <v/>
      </c>
      <c r="AO37" s="132"/>
      <c r="AP37" s="125"/>
      <c r="AQ37" s="133"/>
      <c r="AR37" s="133"/>
      <c r="AS37" s="134"/>
      <c r="AT37" s="416"/>
      <c r="AU37" s="416"/>
      <c r="AV37" s="416"/>
    </row>
    <row r="38" spans="1:48" x14ac:dyDescent="0.2">
      <c r="A38" s="398"/>
      <c r="B38" s="697"/>
      <c r="C38" s="400"/>
      <c r="D38" s="400"/>
      <c r="E38" s="400"/>
      <c r="F38" s="400"/>
      <c r="G38" s="401"/>
      <c r="H38" s="400"/>
      <c r="I38" s="403"/>
      <c r="J38" s="403"/>
      <c r="K38" s="403"/>
      <c r="L38" s="403"/>
      <c r="M38" s="403"/>
      <c r="N38" s="403"/>
      <c r="O38" s="416"/>
      <c r="P38" s="417"/>
      <c r="Q38" s="405"/>
      <c r="R38" s="406"/>
      <c r="S38" s="405"/>
      <c r="T38" s="417"/>
      <c r="U38" s="405"/>
      <c r="V38" s="418"/>
      <c r="W38" s="149">
        <v>5</v>
      </c>
      <c r="X38" s="149"/>
      <c r="Y38" s="149"/>
      <c r="Z38" s="149"/>
      <c r="AA38" s="174" t="str">
        <f t="shared" si="1"/>
        <v xml:space="preserve">  </v>
      </c>
      <c r="AB38" s="126" t="str">
        <f t="shared" si="44"/>
        <v/>
      </c>
      <c r="AC38" s="127"/>
      <c r="AD38" s="127"/>
      <c r="AE38" s="128" t="str">
        <f t="shared" si="39"/>
        <v/>
      </c>
      <c r="AF38" s="127"/>
      <c r="AG38" s="127"/>
      <c r="AH38" s="127"/>
      <c r="AI38" s="129" t="str">
        <f t="shared" si="45"/>
        <v/>
      </c>
      <c r="AJ38" s="130" t="str">
        <f t="shared" si="3"/>
        <v/>
      </c>
      <c r="AK38" s="128" t="str">
        <f t="shared" si="40"/>
        <v/>
      </c>
      <c r="AL38" s="130" t="str">
        <f t="shared" si="5"/>
        <v/>
      </c>
      <c r="AM38" s="128" t="str">
        <f t="shared" si="15"/>
        <v/>
      </c>
      <c r="AN38" s="131" t="str">
        <f t="shared" ref="AN38:AN39" si="46">IFERROR(IF(OR(AND(AJ38="Muy Baja",AL38="Leve"),AND(AJ38="Muy Baja",AL38="Menor"),AND(AJ38="Baja",AL38="Leve")),"Bajo",IF(OR(AND(AJ38="Muy baja",AL38="Moderado"),AND(AJ38="Baja",AL38="Menor"),AND(AJ38="Baja",AL38="Moderado"),AND(AJ38="Media",AL38="Leve"),AND(AJ38="Media",AL38="Menor"),AND(AJ38="Media",AL38="Moderado"),AND(AJ38="Alta",AL38="Leve"),AND(AJ38="Alta",AL38="Menor")),"Moderado",IF(OR(AND(AJ38="Muy Baja",AL38="Mayor"),AND(AJ38="Baja",AL38="Mayor"),AND(AJ38="Media",AL38="Mayor"),AND(AJ38="Alta",AL38="Moderado"),AND(AJ38="Alta",AL38="Mayor"),AND(AJ38="Muy Alta",AL38="Leve"),AND(AJ38="Muy Alta",AL38="Menor"),AND(AJ38="Muy Alta",AL38="Moderado"),AND(AJ38="Muy Alta",AL38="Mayor")),"Alto",IF(OR(AND(AJ38="Muy Baja",AL38="Catastrófico"),AND(AJ38="Baja",AL38="Catastrófico"),AND(AJ38="Media",AL38="Catastrófico"),AND(AJ38="Alta",AL38="Catastrófico"),AND(AJ38="Muy Alta",AL38="Catastrófico")),"Extremo","")))),"")</f>
        <v/>
      </c>
      <c r="AO38" s="132"/>
      <c r="AP38" s="125"/>
      <c r="AQ38" s="133"/>
      <c r="AR38" s="133"/>
      <c r="AS38" s="134"/>
      <c r="AT38" s="416"/>
      <c r="AU38" s="416"/>
      <c r="AV38" s="416"/>
    </row>
    <row r="39" spans="1:48" x14ac:dyDescent="0.2">
      <c r="A39" s="398"/>
      <c r="B39" s="697"/>
      <c r="C39" s="400"/>
      <c r="D39" s="400"/>
      <c r="E39" s="400"/>
      <c r="F39" s="400"/>
      <c r="G39" s="401"/>
      <c r="H39" s="400"/>
      <c r="I39" s="404"/>
      <c r="J39" s="404"/>
      <c r="K39" s="404"/>
      <c r="L39" s="404"/>
      <c r="M39" s="404"/>
      <c r="N39" s="404"/>
      <c r="O39" s="416"/>
      <c r="P39" s="417"/>
      <c r="Q39" s="405"/>
      <c r="R39" s="406"/>
      <c r="S39" s="405"/>
      <c r="T39" s="417"/>
      <c r="U39" s="405"/>
      <c r="V39" s="418"/>
      <c r="W39" s="149">
        <v>6</v>
      </c>
      <c r="X39" s="149"/>
      <c r="Y39" s="149"/>
      <c r="Z39" s="149"/>
      <c r="AA39" s="174" t="str">
        <f t="shared" si="1"/>
        <v xml:space="preserve">  </v>
      </c>
      <c r="AB39" s="126" t="str">
        <f t="shared" si="44"/>
        <v/>
      </c>
      <c r="AC39" s="127"/>
      <c r="AD39" s="127"/>
      <c r="AE39" s="128" t="str">
        <f t="shared" si="39"/>
        <v/>
      </c>
      <c r="AF39" s="127"/>
      <c r="AG39" s="127"/>
      <c r="AH39" s="127"/>
      <c r="AI39" s="129" t="str">
        <f t="shared" si="45"/>
        <v/>
      </c>
      <c r="AJ39" s="130" t="str">
        <f t="shared" si="3"/>
        <v/>
      </c>
      <c r="AK39" s="128" t="str">
        <f t="shared" si="40"/>
        <v/>
      </c>
      <c r="AL39" s="130" t="str">
        <f t="shared" si="5"/>
        <v/>
      </c>
      <c r="AM39" s="128" t="str">
        <f t="shared" si="15"/>
        <v/>
      </c>
      <c r="AN39" s="131" t="str">
        <f t="shared" si="46"/>
        <v/>
      </c>
      <c r="AO39" s="132"/>
      <c r="AP39" s="125"/>
      <c r="AQ39" s="133"/>
      <c r="AR39" s="133"/>
      <c r="AS39" s="134"/>
      <c r="AT39" s="416"/>
      <c r="AU39" s="416"/>
      <c r="AV39" s="416"/>
    </row>
    <row r="40" spans="1:48" x14ac:dyDescent="0.2">
      <c r="A40" s="398">
        <v>6</v>
      </c>
      <c r="B40" s="697"/>
      <c r="C40" s="400"/>
      <c r="D40" s="400"/>
      <c r="E40" s="400"/>
      <c r="F40" s="400"/>
      <c r="G40" s="401" t="str">
        <f t="shared" ref="G40" si="47">+CONCATENATE(C40," ",D40," ",E40)</f>
        <v xml:space="preserve">  </v>
      </c>
      <c r="H40" s="400"/>
      <c r="I40" s="402"/>
      <c r="J40" s="402"/>
      <c r="K40" s="402"/>
      <c r="L40" s="402"/>
      <c r="M40" s="402"/>
      <c r="N40" s="402"/>
      <c r="O40" s="416"/>
      <c r="P40" s="417" t="str">
        <f>IF(O40&lt;=0,"",IF(O40&lt;=2,"Muy Baja",IF(O40&lt;=24,"Baja",IF(O40&lt;=500,"Media",IF(O40&lt;=5000,"Alta","Muy Alta")))))</f>
        <v/>
      </c>
      <c r="Q40" s="405" t="str">
        <f>IF(P40="","",IF(P40="Muy Baja",0.2,IF(P40="Baja",0.4,IF(P40="Media",0.6,IF(P40="Alta",0.8,IF(P40="Muy Alta",1,))))))</f>
        <v/>
      </c>
      <c r="R40" s="406"/>
      <c r="S40" s="405">
        <f>IF(NOT(ISERROR(MATCH(R40,'[3]Tabla Impacto'!$B$245:$B$249,0))),'[3]Tabla Impacto'!$F$224&amp;"Por favor no seleccionar los criterios de impacto(Reputacional, Operativo, Legal, ni Contagio)",R40)</f>
        <v>0</v>
      </c>
      <c r="T40" s="417" t="str">
        <f>IF(OR(S40='[3]Tabla Impacto'!$C$12,S40='[3]Tabla Impacto'!$D$12),"Leve",IF(OR(S40='[3]Tabla Impacto'!$C$13,S40='[3]Tabla Impacto'!$D$13),"Menor",IF(OR(S40='[3]Tabla Impacto'!$C$14,S40='[3]Tabla Impacto'!$D$14),"Moderado",IF(OR(S40='[3]Tabla Impacto'!$C$15,S40='[3]Tabla Impacto'!$D$15),"Mayor",IF(OR(S40='[3]Tabla Impacto'!$C$16,S40='[3]Tabla Impacto'!$D$16),"Catastrófico","")))))</f>
        <v/>
      </c>
      <c r="U40" s="405" t="str">
        <f>IF(T40="","",IF(T40="Leve",0.2,IF(T40="Menor",0.4,IF(T40="Moderado",0.6,IF(T40="Mayor",0.8,IF(T40="Catastrófico",1,))))))</f>
        <v/>
      </c>
      <c r="V40" s="418" t="str">
        <f>IF(OR(AND(P40="Muy Baja",T40="Leve"),AND(P40="Muy Baja",T40="Menor"),AND(P40="Baja",T40="Leve")),"Bajo",IF(OR(AND(P40="Muy baja",T40="Moderado"),AND(P40="Baja",T40="Menor"),AND(P40="Baja",T40="Moderado"),AND(P40="Media",T40="Leve"),AND(P40="Media",T40="Menor"),AND(P40="Media",T40="Moderado"),AND(P40="Alta",T40="Leve"),AND(P40="Alta",T40="Menor")),"Moderado",IF(OR(AND(P40="Muy Baja",T40="Mayor"),AND(P40="Baja",T40="Mayor"),AND(P40="Media",T40="Mayor"),AND(P40="Alta",T40="Moderado"),AND(P40="Alta",T40="Mayor"),AND(P40="Muy Alta",T40="Leve"),AND(P40="Muy Alta",T40="Menor"),AND(P40="Muy Alta",T40="Moderado"),AND(P40="Muy Alta",T40="Mayor")),"Alto",IF(OR(AND(P40="Muy Baja",T40="Catastrófico"),AND(P40="Baja",T40="Catastrófico"),AND(P40="Media",T40="Catastrófico"),AND(P40="Alta",T40="Catastrófico"),AND(P40="Muy Alta",T40="Catastrófico")),"Extremo",""))))</f>
        <v/>
      </c>
      <c r="W40" s="149">
        <v>1</v>
      </c>
      <c r="X40" s="149"/>
      <c r="Y40" s="149"/>
      <c r="Z40" s="149"/>
      <c r="AA40" s="174" t="str">
        <f t="shared" si="1"/>
        <v xml:space="preserve">  </v>
      </c>
      <c r="AB40" s="126" t="str">
        <f>IF(OR(AC40="Preventivo",AC40="Detectivo"),"Probabilidad",IF(AC40="Correctivo","Impacto",""))</f>
        <v/>
      </c>
      <c r="AC40" s="127"/>
      <c r="AD40" s="127"/>
      <c r="AE40" s="128" t="str">
        <f>IF(AND(AC40="Preventivo",AD40="Automático"),"50%",IF(AND(AC40="Preventivo",AD40="Manual"),"40%",IF(AND(AC40="Detectivo",AD40="Automático"),"40%",IF(AND(AC40="Detectivo",AD40="Manual"),"30%",IF(AND(AC40="Correctivo",AD40="Automático"),"35%",IF(AND(AC40="Correctivo",AD40="Manual"),"25%",""))))))</f>
        <v/>
      </c>
      <c r="AF40" s="127"/>
      <c r="AG40" s="127"/>
      <c r="AH40" s="127"/>
      <c r="AI40" s="129" t="str">
        <f>IFERROR(IF(AB40="Probabilidad",(Q40-(+Q40*AE40)),IF(AB40="Impacto",Q40,"")),"")</f>
        <v/>
      </c>
      <c r="AJ40" s="130" t="str">
        <f>IFERROR(IF(AI40="","",IF(AI40&lt;=0.2,"Muy Baja",IF(AI40&lt;=0.4,"Baja",IF(AI40&lt;=0.6,"Media",IF(AI40&lt;=0.8,"Alta","Muy Alta"))))),"")</f>
        <v/>
      </c>
      <c r="AK40" s="128" t="str">
        <f>+AI40</f>
        <v/>
      </c>
      <c r="AL40" s="130" t="str">
        <f>IFERROR(IF(AM40="","",IF(AM40&lt;=0.2,"Leve",IF(AM40&lt;=0.4,"Menor",IF(AM40&lt;=0.6,"Moderado",IF(AM40&lt;=0.8,"Mayor","Catastrófico"))))),"")</f>
        <v/>
      </c>
      <c r="AM40" s="128" t="str">
        <f t="shared" ref="AM40" si="48">IFERROR(IF(AB40="Impacto",(U40-(+U40*AE40)),IF(AB40="Probabilidad",U40,"")),"")</f>
        <v/>
      </c>
      <c r="AN40" s="131" t="str">
        <f>IFERROR(IF(OR(AND(AJ40="Muy Baja",AL40="Leve"),AND(AJ40="Muy Baja",AL40="Menor"),AND(AJ40="Baja",AL40="Leve")),"Bajo",IF(OR(AND(AJ40="Muy baja",AL40="Moderado"),AND(AJ40="Baja",AL40="Menor"),AND(AJ40="Baja",AL40="Moderado"),AND(AJ40="Media",AL40="Leve"),AND(AJ40="Media",AL40="Menor"),AND(AJ40="Media",AL40="Moderado"),AND(AJ40="Alta",AL40="Leve"),AND(AJ40="Alta",AL40="Menor")),"Moderado",IF(OR(AND(AJ40="Muy Baja",AL40="Mayor"),AND(AJ40="Baja",AL40="Mayor"),AND(AJ40="Media",AL40="Mayor"),AND(AJ40="Alta",AL40="Moderado"),AND(AJ40="Alta",AL40="Mayor"),AND(AJ40="Muy Alta",AL40="Leve"),AND(AJ40="Muy Alta",AL40="Menor"),AND(AJ40="Muy Alta",AL40="Moderado"),AND(AJ40="Muy Alta",AL40="Mayor")),"Alto",IF(OR(AND(AJ40="Muy Baja",AL40="Catastrófico"),AND(AJ40="Baja",AL40="Catastrófico"),AND(AJ40="Media",AL40="Catastrófico"),AND(AJ40="Alta",AL40="Catastrófico"),AND(AJ40="Muy Alta",AL40="Catastrófico")),"Extremo","")))),"")</f>
        <v/>
      </c>
      <c r="AO40" s="127"/>
      <c r="AP40" s="125"/>
      <c r="AQ40" s="133"/>
      <c r="AR40" s="133"/>
      <c r="AS40" s="134"/>
      <c r="AT40" s="416"/>
      <c r="AU40" s="416"/>
      <c r="AV40" s="416"/>
    </row>
    <row r="41" spans="1:48" x14ac:dyDescent="0.2">
      <c r="A41" s="398"/>
      <c r="B41" s="697"/>
      <c r="C41" s="400"/>
      <c r="D41" s="400"/>
      <c r="E41" s="400"/>
      <c r="F41" s="400"/>
      <c r="G41" s="401"/>
      <c r="H41" s="400"/>
      <c r="I41" s="403"/>
      <c r="J41" s="403"/>
      <c r="K41" s="403"/>
      <c r="L41" s="403"/>
      <c r="M41" s="403"/>
      <c r="N41" s="403"/>
      <c r="O41" s="416"/>
      <c r="P41" s="417"/>
      <c r="Q41" s="405"/>
      <c r="R41" s="406"/>
      <c r="S41" s="405"/>
      <c r="T41" s="417"/>
      <c r="U41" s="405"/>
      <c r="V41" s="418"/>
      <c r="W41" s="149">
        <v>2</v>
      </c>
      <c r="X41" s="149"/>
      <c r="Y41" s="149"/>
      <c r="Z41" s="149"/>
      <c r="AA41" s="174" t="str">
        <f t="shared" si="1"/>
        <v xml:space="preserve">  </v>
      </c>
      <c r="AB41" s="126" t="str">
        <f>IF(OR(AC41="Preventivo",AC41="Detectivo"),"Probabilidad",IF(AC41="Correctivo","Impacto",""))</f>
        <v/>
      </c>
      <c r="AC41" s="127"/>
      <c r="AD41" s="127"/>
      <c r="AE41" s="128" t="str">
        <f t="shared" ref="AE41:AE45" si="49">IF(AND(AC41="Preventivo",AD41="Automático"),"50%",IF(AND(AC41="Preventivo",AD41="Manual"),"40%",IF(AND(AC41="Detectivo",AD41="Automático"),"40%",IF(AND(AC41="Detectivo",AD41="Manual"),"30%",IF(AND(AC41="Correctivo",AD41="Automático"),"35%",IF(AND(AC41="Correctivo",AD41="Manual"),"25%",""))))))</f>
        <v/>
      </c>
      <c r="AF41" s="127"/>
      <c r="AG41" s="127"/>
      <c r="AH41" s="127"/>
      <c r="AI41" s="129" t="str">
        <f>IFERROR(IF(AND(AB40="Probabilidad",AB41="Probabilidad"),(AK40-(+AK40*AE41)),IF(AB41="Probabilidad",(Q40-(+Q40*AE41)),IF(AB41="Impacto",AK40,""))),"")</f>
        <v/>
      </c>
      <c r="AJ41" s="130" t="str">
        <f t="shared" si="3"/>
        <v/>
      </c>
      <c r="AK41" s="128" t="str">
        <f t="shared" ref="AK41:AK45" si="50">+AI41</f>
        <v/>
      </c>
      <c r="AL41" s="130" t="str">
        <f t="shared" si="5"/>
        <v/>
      </c>
      <c r="AM41" s="128" t="str">
        <f t="shared" ref="AM41" si="51">IFERROR(IF(AND(AB40="Impacto",AB41="Impacto"),(AM40-(+AM40*AE41)),IF(AB41="Impacto",($U$10-(+$U$10*AE41)),IF(AB41="Probabilidad",AM40,""))),"")</f>
        <v/>
      </c>
      <c r="AN41" s="131" t="str">
        <f t="shared" ref="AN41:AN42" si="52">IFERROR(IF(OR(AND(AJ41="Muy Baja",AL41="Leve"),AND(AJ41="Muy Baja",AL41="Menor"),AND(AJ41="Baja",AL41="Leve")),"Bajo",IF(OR(AND(AJ41="Muy baja",AL41="Moderado"),AND(AJ41="Baja",AL41="Menor"),AND(AJ41="Baja",AL41="Moderado"),AND(AJ41="Media",AL41="Leve"),AND(AJ41="Media",AL41="Menor"),AND(AJ41="Media",AL41="Moderado"),AND(AJ41="Alta",AL41="Leve"),AND(AJ41="Alta",AL41="Menor")),"Moderado",IF(OR(AND(AJ41="Muy Baja",AL41="Mayor"),AND(AJ41="Baja",AL41="Mayor"),AND(AJ41="Media",AL41="Mayor"),AND(AJ41="Alta",AL41="Moderado"),AND(AJ41="Alta",AL41="Mayor"),AND(AJ41="Muy Alta",AL41="Leve"),AND(AJ41="Muy Alta",AL41="Menor"),AND(AJ41="Muy Alta",AL41="Moderado"),AND(AJ41="Muy Alta",AL41="Mayor")),"Alto",IF(OR(AND(AJ41="Muy Baja",AL41="Catastrófico"),AND(AJ41="Baja",AL41="Catastrófico"),AND(AJ41="Media",AL41="Catastrófico"),AND(AJ41="Alta",AL41="Catastrófico"),AND(AJ41="Muy Alta",AL41="Catastrófico")),"Extremo","")))),"")</f>
        <v/>
      </c>
      <c r="AO41" s="132"/>
      <c r="AP41" s="125"/>
      <c r="AQ41" s="133"/>
      <c r="AR41" s="133"/>
      <c r="AS41" s="134"/>
      <c r="AT41" s="416"/>
      <c r="AU41" s="416"/>
      <c r="AV41" s="416"/>
    </row>
    <row r="42" spans="1:48" x14ac:dyDescent="0.2">
      <c r="A42" s="398"/>
      <c r="B42" s="697"/>
      <c r="C42" s="400"/>
      <c r="D42" s="400"/>
      <c r="E42" s="400"/>
      <c r="F42" s="400"/>
      <c r="G42" s="401"/>
      <c r="H42" s="400"/>
      <c r="I42" s="403"/>
      <c r="J42" s="403"/>
      <c r="K42" s="403"/>
      <c r="L42" s="403"/>
      <c r="M42" s="403"/>
      <c r="N42" s="403"/>
      <c r="O42" s="416"/>
      <c r="P42" s="417"/>
      <c r="Q42" s="405"/>
      <c r="R42" s="406"/>
      <c r="S42" s="405"/>
      <c r="T42" s="417"/>
      <c r="U42" s="405"/>
      <c r="V42" s="418"/>
      <c r="W42" s="149">
        <v>3</v>
      </c>
      <c r="X42" s="149"/>
      <c r="Y42" s="149"/>
      <c r="Z42" s="149"/>
      <c r="AA42" s="174" t="str">
        <f t="shared" si="1"/>
        <v xml:space="preserve">  </v>
      </c>
      <c r="AB42" s="126" t="str">
        <f>IF(OR(AC42="Preventivo",AC42="Detectivo"),"Probabilidad",IF(AC42="Correctivo","Impacto",""))</f>
        <v/>
      </c>
      <c r="AC42" s="127"/>
      <c r="AD42" s="127"/>
      <c r="AE42" s="128" t="str">
        <f t="shared" si="49"/>
        <v/>
      </c>
      <c r="AF42" s="127"/>
      <c r="AG42" s="127"/>
      <c r="AH42" s="127"/>
      <c r="AI42" s="129" t="str">
        <f>IFERROR(IF(AND(AB41="Probabilidad",AB42="Probabilidad"),(AK41-(+AK41*AE42)),IF(AND(AB41="Impacto",AB42="Probabilidad"),(AK40-(+AK40*AE42)),IF(AB42="Impacto",AK41,""))),"")</f>
        <v/>
      </c>
      <c r="AJ42" s="130" t="str">
        <f t="shared" si="3"/>
        <v/>
      </c>
      <c r="AK42" s="128" t="str">
        <f t="shared" si="50"/>
        <v/>
      </c>
      <c r="AL42" s="130" t="str">
        <f t="shared" si="5"/>
        <v/>
      </c>
      <c r="AM42" s="128" t="str">
        <f t="shared" ref="AM42" si="53">IFERROR(IF(AND(AB41="Impacto",AB42="Impacto"),(AM41-(+AM41*AE42)),IF(AND(AB41="Probabilidad",AB42="Impacto"),(AM40-(+AM40*AE42)),IF(AB42="Probabilidad",AM41,""))),"")</f>
        <v/>
      </c>
      <c r="AN42" s="131" t="str">
        <f t="shared" si="52"/>
        <v/>
      </c>
      <c r="AO42" s="132"/>
      <c r="AP42" s="125"/>
      <c r="AQ42" s="133"/>
      <c r="AR42" s="133"/>
      <c r="AS42" s="134"/>
      <c r="AT42" s="416"/>
      <c r="AU42" s="416"/>
      <c r="AV42" s="416"/>
    </row>
    <row r="43" spans="1:48" x14ac:dyDescent="0.2">
      <c r="A43" s="398"/>
      <c r="B43" s="697"/>
      <c r="C43" s="400"/>
      <c r="D43" s="400"/>
      <c r="E43" s="400"/>
      <c r="F43" s="400"/>
      <c r="G43" s="401"/>
      <c r="H43" s="400"/>
      <c r="I43" s="403"/>
      <c r="J43" s="403"/>
      <c r="K43" s="403"/>
      <c r="L43" s="403"/>
      <c r="M43" s="403"/>
      <c r="N43" s="403"/>
      <c r="O43" s="416"/>
      <c r="P43" s="417"/>
      <c r="Q43" s="405"/>
      <c r="R43" s="406"/>
      <c r="S43" s="405"/>
      <c r="T43" s="417"/>
      <c r="U43" s="405"/>
      <c r="V43" s="418"/>
      <c r="W43" s="149">
        <v>4</v>
      </c>
      <c r="X43" s="149"/>
      <c r="Y43" s="149"/>
      <c r="Z43" s="149"/>
      <c r="AA43" s="174" t="str">
        <f t="shared" si="1"/>
        <v xml:space="preserve">  </v>
      </c>
      <c r="AB43" s="126" t="str">
        <f t="shared" ref="AB43:AB45" si="54">IF(OR(AC43="Preventivo",AC43="Detectivo"),"Probabilidad",IF(AC43="Correctivo","Impacto",""))</f>
        <v/>
      </c>
      <c r="AC43" s="127"/>
      <c r="AD43" s="127"/>
      <c r="AE43" s="128" t="str">
        <f t="shared" si="49"/>
        <v/>
      </c>
      <c r="AF43" s="127"/>
      <c r="AG43" s="127"/>
      <c r="AH43" s="127"/>
      <c r="AI43" s="129" t="str">
        <f t="shared" ref="AI43:AI45" si="55">IFERROR(IF(AND(AB42="Probabilidad",AB43="Probabilidad"),(AK42-(+AK42*AE43)),IF(AND(AB42="Impacto",AB43="Probabilidad"),(AK41-(+AK41*AE43)),IF(AB43="Impacto",AK42,""))),"")</f>
        <v/>
      </c>
      <c r="AJ43" s="130" t="str">
        <f t="shared" si="3"/>
        <v/>
      </c>
      <c r="AK43" s="128" t="str">
        <f t="shared" si="50"/>
        <v/>
      </c>
      <c r="AL43" s="130" t="str">
        <f t="shared" si="5"/>
        <v/>
      </c>
      <c r="AM43" s="128" t="str">
        <f t="shared" si="15"/>
        <v/>
      </c>
      <c r="AN43" s="131" t="str">
        <f>IFERROR(IF(OR(AND(AJ43="Muy Baja",AL43="Leve"),AND(AJ43="Muy Baja",AL43="Menor"),AND(AJ43="Baja",AL43="Leve")),"Bajo",IF(OR(AND(AJ43="Muy baja",AL43="Moderado"),AND(AJ43="Baja",AL43="Menor"),AND(AJ43="Baja",AL43="Moderado"),AND(AJ43="Media",AL43="Leve"),AND(AJ43="Media",AL43="Menor"),AND(AJ43="Media",AL43="Moderado"),AND(AJ43="Alta",AL43="Leve"),AND(AJ43="Alta",AL43="Menor")),"Moderado",IF(OR(AND(AJ43="Muy Baja",AL43="Mayor"),AND(AJ43="Baja",AL43="Mayor"),AND(AJ43="Media",AL43="Mayor"),AND(AJ43="Alta",AL43="Moderado"),AND(AJ43="Alta",AL43="Mayor"),AND(AJ43="Muy Alta",AL43="Leve"),AND(AJ43="Muy Alta",AL43="Menor"),AND(AJ43="Muy Alta",AL43="Moderado"),AND(AJ43="Muy Alta",AL43="Mayor")),"Alto",IF(OR(AND(AJ43="Muy Baja",AL43="Catastrófico"),AND(AJ43="Baja",AL43="Catastrófico"),AND(AJ43="Media",AL43="Catastrófico"),AND(AJ43="Alta",AL43="Catastrófico"),AND(AJ43="Muy Alta",AL43="Catastrófico")),"Extremo","")))),"")</f>
        <v/>
      </c>
      <c r="AO43" s="132"/>
      <c r="AP43" s="125"/>
      <c r="AQ43" s="133"/>
      <c r="AR43" s="133"/>
      <c r="AS43" s="134"/>
      <c r="AT43" s="416"/>
      <c r="AU43" s="416"/>
      <c r="AV43" s="416"/>
    </row>
    <row r="44" spans="1:48" x14ac:dyDescent="0.2">
      <c r="A44" s="398"/>
      <c r="B44" s="697"/>
      <c r="C44" s="400"/>
      <c r="D44" s="400"/>
      <c r="E44" s="400"/>
      <c r="F44" s="400"/>
      <c r="G44" s="401"/>
      <c r="H44" s="400"/>
      <c r="I44" s="403"/>
      <c r="J44" s="403"/>
      <c r="K44" s="403"/>
      <c r="L44" s="403"/>
      <c r="M44" s="403"/>
      <c r="N44" s="403"/>
      <c r="O44" s="416"/>
      <c r="P44" s="417"/>
      <c r="Q44" s="405"/>
      <c r="R44" s="406"/>
      <c r="S44" s="405"/>
      <c r="T44" s="417"/>
      <c r="U44" s="405"/>
      <c r="V44" s="418"/>
      <c r="W44" s="149">
        <v>5</v>
      </c>
      <c r="X44" s="149"/>
      <c r="Y44" s="149"/>
      <c r="Z44" s="149"/>
      <c r="AA44" s="174" t="str">
        <f t="shared" si="1"/>
        <v xml:space="preserve">  </v>
      </c>
      <c r="AB44" s="126" t="str">
        <f t="shared" si="54"/>
        <v/>
      </c>
      <c r="AC44" s="127"/>
      <c r="AD44" s="127"/>
      <c r="AE44" s="128" t="str">
        <f t="shared" si="49"/>
        <v/>
      </c>
      <c r="AF44" s="127"/>
      <c r="AG44" s="127"/>
      <c r="AH44" s="127"/>
      <c r="AI44" s="129" t="str">
        <f t="shared" si="55"/>
        <v/>
      </c>
      <c r="AJ44" s="130" t="str">
        <f t="shared" si="3"/>
        <v/>
      </c>
      <c r="AK44" s="128" t="str">
        <f t="shared" si="50"/>
        <v/>
      </c>
      <c r="AL44" s="130" t="str">
        <f t="shared" si="5"/>
        <v/>
      </c>
      <c r="AM44" s="128" t="str">
        <f t="shared" si="15"/>
        <v/>
      </c>
      <c r="AN44" s="131" t="str">
        <f t="shared" ref="AN44" si="56">IFERROR(IF(OR(AND(AJ44="Muy Baja",AL44="Leve"),AND(AJ44="Muy Baja",AL44="Menor"),AND(AJ44="Baja",AL44="Leve")),"Bajo",IF(OR(AND(AJ44="Muy baja",AL44="Moderado"),AND(AJ44="Baja",AL44="Menor"),AND(AJ44="Baja",AL44="Moderado"),AND(AJ44="Media",AL44="Leve"),AND(AJ44="Media",AL44="Menor"),AND(AJ44="Media",AL44="Moderado"),AND(AJ44="Alta",AL44="Leve"),AND(AJ44="Alta",AL44="Menor")),"Moderado",IF(OR(AND(AJ44="Muy Baja",AL44="Mayor"),AND(AJ44="Baja",AL44="Mayor"),AND(AJ44="Media",AL44="Mayor"),AND(AJ44="Alta",AL44="Moderado"),AND(AJ44="Alta",AL44="Mayor"),AND(AJ44="Muy Alta",AL44="Leve"),AND(AJ44="Muy Alta",AL44="Menor"),AND(AJ44="Muy Alta",AL44="Moderado"),AND(AJ44="Muy Alta",AL44="Mayor")),"Alto",IF(OR(AND(AJ44="Muy Baja",AL44="Catastrófico"),AND(AJ44="Baja",AL44="Catastrófico"),AND(AJ44="Media",AL44="Catastrófico"),AND(AJ44="Alta",AL44="Catastrófico"),AND(AJ44="Muy Alta",AL44="Catastrófico")),"Extremo","")))),"")</f>
        <v/>
      </c>
      <c r="AO44" s="132"/>
      <c r="AP44" s="125"/>
      <c r="AQ44" s="133"/>
      <c r="AR44" s="133"/>
      <c r="AS44" s="134"/>
      <c r="AT44" s="416"/>
      <c r="AU44" s="416"/>
      <c r="AV44" s="416"/>
    </row>
    <row r="45" spans="1:48" x14ac:dyDescent="0.2">
      <c r="A45" s="398"/>
      <c r="B45" s="697"/>
      <c r="C45" s="400"/>
      <c r="D45" s="400"/>
      <c r="E45" s="400"/>
      <c r="F45" s="400"/>
      <c r="G45" s="401"/>
      <c r="H45" s="400"/>
      <c r="I45" s="404"/>
      <c r="J45" s="404"/>
      <c r="K45" s="404"/>
      <c r="L45" s="404"/>
      <c r="M45" s="404"/>
      <c r="N45" s="404"/>
      <c r="O45" s="416"/>
      <c r="P45" s="417"/>
      <c r="Q45" s="405"/>
      <c r="R45" s="406"/>
      <c r="S45" s="405"/>
      <c r="T45" s="417"/>
      <c r="U45" s="405"/>
      <c r="V45" s="418"/>
      <c r="W45" s="149">
        <v>6</v>
      </c>
      <c r="X45" s="149"/>
      <c r="Y45" s="149"/>
      <c r="Z45" s="149"/>
      <c r="AA45" s="174" t="str">
        <f t="shared" si="1"/>
        <v xml:space="preserve">  </v>
      </c>
      <c r="AB45" s="126" t="str">
        <f t="shared" si="54"/>
        <v/>
      </c>
      <c r="AC45" s="127"/>
      <c r="AD45" s="127"/>
      <c r="AE45" s="128" t="str">
        <f t="shared" si="49"/>
        <v/>
      </c>
      <c r="AF45" s="127"/>
      <c r="AG45" s="127"/>
      <c r="AH45" s="127"/>
      <c r="AI45" s="129" t="str">
        <f t="shared" si="55"/>
        <v/>
      </c>
      <c r="AJ45" s="130" t="str">
        <f t="shared" si="3"/>
        <v/>
      </c>
      <c r="AK45" s="128" t="str">
        <f t="shared" si="50"/>
        <v/>
      </c>
      <c r="AL45" s="130" t="str">
        <f>IFERROR(IF(AM45="","",IF(AM45&lt;=0.2,"Leve",IF(AM45&lt;=0.4,"Menor",IF(AM45&lt;=0.6,"Moderado",IF(AM45&lt;=0.8,"Mayor","Catastrófico"))))),"")</f>
        <v/>
      </c>
      <c r="AM45" s="128" t="str">
        <f t="shared" si="15"/>
        <v/>
      </c>
      <c r="AN45" s="131" t="str">
        <f>IFERROR(IF(OR(AND(AJ45="Muy Baja",AL45="Leve"),AND(AJ45="Muy Baja",AL45="Menor"),AND(AJ45="Baja",AL45="Leve")),"Bajo",IF(OR(AND(AJ45="Muy baja",AL45="Moderado"),AND(AJ45="Baja",AL45="Menor"),AND(AJ45="Baja",AL45="Moderado"),AND(AJ45="Media",AL45="Leve"),AND(AJ45="Media",AL45="Menor"),AND(AJ45="Media",AL45="Moderado"),AND(AJ45="Alta",AL45="Leve"),AND(AJ45="Alta",AL45="Menor")),"Moderado",IF(OR(AND(AJ45="Muy Baja",AL45="Mayor"),AND(AJ45="Baja",AL45="Mayor"),AND(AJ45="Media",AL45="Mayor"),AND(AJ45="Alta",AL45="Moderado"),AND(AJ45="Alta",AL45="Mayor"),AND(AJ45="Muy Alta",AL45="Leve"),AND(AJ45="Muy Alta",AL45="Menor"),AND(AJ45="Muy Alta",AL45="Moderado"),AND(AJ45="Muy Alta",AL45="Mayor")),"Alto",IF(OR(AND(AJ45="Muy Baja",AL45="Catastrófico"),AND(AJ45="Baja",AL45="Catastrófico"),AND(AJ45="Media",AL45="Catastrófico"),AND(AJ45="Alta",AL45="Catastrófico"),AND(AJ45="Muy Alta",AL45="Catastrófico")),"Extremo","")))),"")</f>
        <v/>
      </c>
      <c r="AO45" s="132"/>
      <c r="AP45" s="125"/>
      <c r="AQ45" s="133"/>
      <c r="AR45" s="133"/>
      <c r="AS45" s="134"/>
      <c r="AT45" s="416"/>
      <c r="AU45" s="416"/>
      <c r="AV45" s="416"/>
    </row>
    <row r="46" spans="1:48" x14ac:dyDescent="0.2">
      <c r="A46" s="398">
        <v>7</v>
      </c>
      <c r="B46" s="697"/>
      <c r="C46" s="400"/>
      <c r="D46" s="400"/>
      <c r="E46" s="698"/>
      <c r="F46" s="698"/>
      <c r="G46" s="401" t="str">
        <f t="shared" ref="G46" si="57">+CONCATENATE(C46," ",D46," ",E46)</f>
        <v xml:space="preserve">  </v>
      </c>
      <c r="H46" s="400"/>
      <c r="I46" s="402"/>
      <c r="J46" s="402"/>
      <c r="K46" s="402"/>
      <c r="L46" s="402"/>
      <c r="M46" s="402"/>
      <c r="N46" s="402"/>
      <c r="O46" s="416"/>
      <c r="P46" s="417" t="str">
        <f>IF(O46&lt;=0,"",IF(O46&lt;=2,"Muy Baja",IF(O46&lt;=24,"Baja",IF(O46&lt;=500,"Media",IF(O46&lt;=5000,"Alta","Muy Alta")))))</f>
        <v/>
      </c>
      <c r="Q46" s="405" t="str">
        <f>IF(P46="","",IF(P46="Muy Baja",0.2,IF(P46="Baja",0.4,IF(P46="Media",0.6,IF(P46="Alta",0.8,IF(P46="Muy Alta",1,))))))</f>
        <v/>
      </c>
      <c r="R46" s="406"/>
      <c r="S46" s="405">
        <f>IF(NOT(ISERROR(MATCH(R46,'[3]Tabla Impacto'!$B$245:$B$249,0))),'[3]Tabla Impacto'!$F$224&amp;"Por favor no seleccionar los criterios de impacto(Reputacional, Operativo, Legal, ni Contagio)",R46)</f>
        <v>0</v>
      </c>
      <c r="T46" s="417" t="str">
        <f>IF(OR(S46='[3]Tabla Impacto'!$C$12,S46='[3]Tabla Impacto'!$D$12),"Leve",IF(OR(S46='[3]Tabla Impacto'!$C$13,S46='[3]Tabla Impacto'!$D$13),"Menor",IF(OR(S46='[3]Tabla Impacto'!$C$14,S46='[3]Tabla Impacto'!$D$14),"Moderado",IF(OR(S46='[3]Tabla Impacto'!$C$15,S46='[3]Tabla Impacto'!$D$15),"Mayor",IF(OR(S46='[3]Tabla Impacto'!$C$16,S46='[3]Tabla Impacto'!$D$16),"Catastrófico","")))))</f>
        <v/>
      </c>
      <c r="U46" s="405" t="str">
        <f>IF(T46="","",IF(T46="Leve",0.2,IF(T46="Menor",0.4,IF(T46="Moderado",0.6,IF(T46="Mayor",0.8,IF(T46="Catastrófico",1,))))))</f>
        <v/>
      </c>
      <c r="V46" s="418" t="str">
        <f>IF(OR(AND(P46="Muy Baja",T46="Leve"),AND(P46="Muy Baja",T46="Menor"),AND(P46="Baja",T46="Leve")),"Bajo",IF(OR(AND(P46="Muy baja",T46="Moderado"),AND(P46="Baja",T46="Menor"),AND(P46="Baja",T46="Moderado"),AND(P46="Media",T46="Leve"),AND(P46="Media",T46="Menor"),AND(P46="Media",T46="Moderado"),AND(P46="Alta",T46="Leve"),AND(P46="Alta",T46="Menor")),"Moderado",IF(OR(AND(P46="Muy Baja",T46="Mayor"),AND(P46="Baja",T46="Mayor"),AND(P46="Media",T46="Mayor"),AND(P46="Alta",T46="Moderado"),AND(P46="Alta",T46="Mayor"),AND(P46="Muy Alta",T46="Leve"),AND(P46="Muy Alta",T46="Menor"),AND(P46="Muy Alta",T46="Moderado"),AND(P46="Muy Alta",T46="Mayor")),"Alto",IF(OR(AND(P46="Muy Baja",T46="Catastrófico"),AND(P46="Baja",T46="Catastrófico"),AND(P46="Media",T46="Catastrófico"),AND(P46="Alta",T46="Catastrófico"),AND(P46="Muy Alta",T46="Catastrófico")),"Extremo",""))))</f>
        <v/>
      </c>
      <c r="W46" s="149">
        <v>1</v>
      </c>
      <c r="X46" s="149"/>
      <c r="Y46" s="149"/>
      <c r="Z46" s="149"/>
      <c r="AA46" s="174" t="str">
        <f t="shared" si="1"/>
        <v xml:space="preserve">  </v>
      </c>
      <c r="AB46" s="126" t="str">
        <f>IF(OR(AC46="Preventivo",AC46="Detectivo"),"Probabilidad",IF(AC46="Correctivo","Impacto",""))</f>
        <v/>
      </c>
      <c r="AC46" s="127"/>
      <c r="AD46" s="127"/>
      <c r="AE46" s="128" t="str">
        <f>IF(AND(AC46="Preventivo",AD46="Automático"),"50%",IF(AND(AC46="Preventivo",AD46="Manual"),"40%",IF(AND(AC46="Detectivo",AD46="Automático"),"40%",IF(AND(AC46="Detectivo",AD46="Manual"),"30%",IF(AND(AC46="Correctivo",AD46="Automático"),"35%",IF(AND(AC46="Correctivo",AD46="Manual"),"25%",""))))))</f>
        <v/>
      </c>
      <c r="AF46" s="127"/>
      <c r="AG46" s="127"/>
      <c r="AH46" s="127"/>
      <c r="AI46" s="129" t="str">
        <f>IFERROR(IF(AB46="Probabilidad",(Q46-(+Q46*AE46)),IF(AB46="Impacto",Q46,"")),"")</f>
        <v/>
      </c>
      <c r="AJ46" s="130" t="str">
        <f>IFERROR(IF(AI46="","",IF(AI46&lt;=0.2,"Muy Baja",IF(AI46&lt;=0.4,"Baja",IF(AI46&lt;=0.6,"Media",IF(AI46&lt;=0.8,"Alta","Muy Alta"))))),"")</f>
        <v/>
      </c>
      <c r="AK46" s="128" t="str">
        <f>+AI46</f>
        <v/>
      </c>
      <c r="AL46" s="130" t="str">
        <f>IFERROR(IF(AM46="","",IF(AM46&lt;=0.2,"Leve",IF(AM46&lt;=0.4,"Menor",IF(AM46&lt;=0.6,"Moderado",IF(AM46&lt;=0.8,"Mayor","Catastrófico"))))),"")</f>
        <v/>
      </c>
      <c r="AM46" s="128" t="str">
        <f t="shared" ref="AM46" si="58">IFERROR(IF(AB46="Impacto",(U46-(+U46*AE46)),IF(AB46="Probabilidad",U46,"")),"")</f>
        <v/>
      </c>
      <c r="AN46" s="131" t="str">
        <f>IFERROR(IF(OR(AND(AJ46="Muy Baja",AL46="Leve"),AND(AJ46="Muy Baja",AL46="Menor"),AND(AJ46="Baja",AL46="Leve")),"Bajo",IF(OR(AND(AJ46="Muy baja",AL46="Moderado"),AND(AJ46="Baja",AL46="Menor"),AND(AJ46="Baja",AL46="Moderado"),AND(AJ46="Media",AL46="Leve"),AND(AJ46="Media",AL46="Menor"),AND(AJ46="Media",AL46="Moderado"),AND(AJ46="Alta",AL46="Leve"),AND(AJ46="Alta",AL46="Menor")),"Moderado",IF(OR(AND(AJ46="Muy Baja",AL46="Mayor"),AND(AJ46="Baja",AL46="Mayor"),AND(AJ46="Media",AL46="Mayor"),AND(AJ46="Alta",AL46="Moderado"),AND(AJ46="Alta",AL46="Mayor"),AND(AJ46="Muy Alta",AL46="Leve"),AND(AJ46="Muy Alta",AL46="Menor"),AND(AJ46="Muy Alta",AL46="Moderado"),AND(AJ46="Muy Alta",AL46="Mayor")),"Alto",IF(OR(AND(AJ46="Muy Baja",AL46="Catastrófico"),AND(AJ46="Baja",AL46="Catastrófico"),AND(AJ46="Media",AL46="Catastrófico"),AND(AJ46="Alta",AL46="Catastrófico"),AND(AJ46="Muy Alta",AL46="Catastrófico")),"Extremo","")))),"")</f>
        <v/>
      </c>
      <c r="AO46" s="132"/>
      <c r="AP46" s="125"/>
      <c r="AQ46" s="133"/>
      <c r="AR46" s="133"/>
      <c r="AS46" s="134"/>
      <c r="AT46" s="416"/>
      <c r="AU46" s="416"/>
      <c r="AV46" s="416"/>
    </row>
    <row r="47" spans="1:48" x14ac:dyDescent="0.2">
      <c r="A47" s="398"/>
      <c r="B47" s="697"/>
      <c r="C47" s="400"/>
      <c r="D47" s="400"/>
      <c r="E47" s="698"/>
      <c r="F47" s="698"/>
      <c r="G47" s="401"/>
      <c r="H47" s="400"/>
      <c r="I47" s="403"/>
      <c r="J47" s="403"/>
      <c r="K47" s="403"/>
      <c r="L47" s="403"/>
      <c r="M47" s="403"/>
      <c r="N47" s="403"/>
      <c r="O47" s="416"/>
      <c r="P47" s="417"/>
      <c r="Q47" s="405"/>
      <c r="R47" s="406"/>
      <c r="S47" s="405"/>
      <c r="T47" s="417"/>
      <c r="U47" s="405"/>
      <c r="V47" s="418"/>
      <c r="W47" s="149">
        <v>2</v>
      </c>
      <c r="X47" s="149"/>
      <c r="Y47" s="149"/>
      <c r="Z47" s="149"/>
      <c r="AA47" s="174" t="str">
        <f t="shared" si="1"/>
        <v xml:space="preserve">  </v>
      </c>
      <c r="AB47" s="126" t="str">
        <f>IF(OR(AC47="Preventivo",AC47="Detectivo"),"Probabilidad",IF(AC47="Correctivo","Impacto",""))</f>
        <v/>
      </c>
      <c r="AC47" s="127"/>
      <c r="AD47" s="127"/>
      <c r="AE47" s="128" t="str">
        <f t="shared" ref="AE47:AE51" si="59">IF(AND(AC47="Preventivo",AD47="Automático"),"50%",IF(AND(AC47="Preventivo",AD47="Manual"),"40%",IF(AND(AC47="Detectivo",AD47="Automático"),"40%",IF(AND(AC47="Detectivo",AD47="Manual"),"30%",IF(AND(AC47="Correctivo",AD47="Automático"),"35%",IF(AND(AC47="Correctivo",AD47="Manual"),"25%",""))))))</f>
        <v/>
      </c>
      <c r="AF47" s="127"/>
      <c r="AG47" s="127"/>
      <c r="AH47" s="127"/>
      <c r="AI47" s="129" t="str">
        <f>IFERROR(IF(AND(AB46="Probabilidad",AB47="Probabilidad"),(AK46-(+AK46*AE47)),IF(AB47="Probabilidad",(Q46-(+Q46*AE47)),IF(AB47="Impacto",AK46,""))),"")</f>
        <v/>
      </c>
      <c r="AJ47" s="130" t="str">
        <f t="shared" si="3"/>
        <v/>
      </c>
      <c r="AK47" s="128" t="str">
        <f t="shared" ref="AK47:AK51" si="60">+AI47</f>
        <v/>
      </c>
      <c r="AL47" s="130" t="str">
        <f t="shared" si="5"/>
        <v/>
      </c>
      <c r="AM47" s="128" t="str">
        <f t="shared" ref="AM47" si="61">IFERROR(IF(AND(AB46="Impacto",AB47="Impacto"),(AM46-(+AM46*AE47)),IF(AB47="Impacto",($U$10-(+$U$10*AE47)),IF(AB47="Probabilidad",AM46,""))),"")</f>
        <v/>
      </c>
      <c r="AN47" s="131" t="str">
        <f t="shared" ref="AN47:AN48" si="62">IFERROR(IF(OR(AND(AJ47="Muy Baja",AL47="Leve"),AND(AJ47="Muy Baja",AL47="Menor"),AND(AJ47="Baja",AL47="Leve")),"Bajo",IF(OR(AND(AJ47="Muy baja",AL47="Moderado"),AND(AJ47="Baja",AL47="Menor"),AND(AJ47="Baja",AL47="Moderado"),AND(AJ47="Media",AL47="Leve"),AND(AJ47="Media",AL47="Menor"),AND(AJ47="Media",AL47="Moderado"),AND(AJ47="Alta",AL47="Leve"),AND(AJ47="Alta",AL47="Menor")),"Moderado",IF(OR(AND(AJ47="Muy Baja",AL47="Mayor"),AND(AJ47="Baja",AL47="Mayor"),AND(AJ47="Media",AL47="Mayor"),AND(AJ47="Alta",AL47="Moderado"),AND(AJ47="Alta",AL47="Mayor"),AND(AJ47="Muy Alta",AL47="Leve"),AND(AJ47="Muy Alta",AL47="Menor"),AND(AJ47="Muy Alta",AL47="Moderado"),AND(AJ47="Muy Alta",AL47="Mayor")),"Alto",IF(OR(AND(AJ47="Muy Baja",AL47="Catastrófico"),AND(AJ47="Baja",AL47="Catastrófico"),AND(AJ47="Media",AL47="Catastrófico"),AND(AJ47="Alta",AL47="Catastrófico"),AND(AJ47="Muy Alta",AL47="Catastrófico")),"Extremo","")))),"")</f>
        <v/>
      </c>
      <c r="AO47" s="132"/>
      <c r="AP47" s="125"/>
      <c r="AQ47" s="133"/>
      <c r="AR47" s="133"/>
      <c r="AS47" s="134"/>
      <c r="AT47" s="416"/>
      <c r="AU47" s="416"/>
      <c r="AV47" s="416"/>
    </row>
    <row r="48" spans="1:48" x14ac:dyDescent="0.2">
      <c r="A48" s="398"/>
      <c r="B48" s="697"/>
      <c r="C48" s="400"/>
      <c r="D48" s="400"/>
      <c r="E48" s="698"/>
      <c r="F48" s="698"/>
      <c r="G48" s="401"/>
      <c r="H48" s="400"/>
      <c r="I48" s="403"/>
      <c r="J48" s="403"/>
      <c r="K48" s="403"/>
      <c r="L48" s="403"/>
      <c r="M48" s="403"/>
      <c r="N48" s="403"/>
      <c r="O48" s="416"/>
      <c r="P48" s="417"/>
      <c r="Q48" s="405"/>
      <c r="R48" s="406"/>
      <c r="S48" s="405"/>
      <c r="T48" s="417"/>
      <c r="U48" s="405"/>
      <c r="V48" s="418"/>
      <c r="W48" s="149">
        <v>3</v>
      </c>
      <c r="X48" s="149"/>
      <c r="Y48" s="149"/>
      <c r="Z48" s="149"/>
      <c r="AA48" s="174" t="str">
        <f t="shared" si="1"/>
        <v xml:space="preserve">  </v>
      </c>
      <c r="AB48" s="126" t="str">
        <f>IF(OR(AC48="Preventivo",AC48="Detectivo"),"Probabilidad",IF(AC48="Correctivo","Impacto",""))</f>
        <v/>
      </c>
      <c r="AC48" s="127"/>
      <c r="AD48" s="127"/>
      <c r="AE48" s="128" t="str">
        <f t="shared" si="59"/>
        <v/>
      </c>
      <c r="AF48" s="127"/>
      <c r="AG48" s="127"/>
      <c r="AH48" s="127"/>
      <c r="AI48" s="129" t="str">
        <f>IFERROR(IF(AND(AB47="Probabilidad",AB48="Probabilidad"),(AK47-(+AK47*AE48)),IF(AND(AB47="Impacto",AB48="Probabilidad"),(AK46-(+AK46*AE48)),IF(AB48="Impacto",AK47,""))),"")</f>
        <v/>
      </c>
      <c r="AJ48" s="130" t="str">
        <f t="shared" si="3"/>
        <v/>
      </c>
      <c r="AK48" s="128" t="str">
        <f t="shared" si="60"/>
        <v/>
      </c>
      <c r="AL48" s="130" t="str">
        <f t="shared" si="5"/>
        <v/>
      </c>
      <c r="AM48" s="128" t="str">
        <f t="shared" ref="AM48" si="63">IFERROR(IF(AND(AB47="Impacto",AB48="Impacto"),(AM47-(+AM47*AE48)),IF(AND(AB47="Probabilidad",AB48="Impacto"),(AM46-(+AM46*AE48)),IF(AB48="Probabilidad",AM47,""))),"")</f>
        <v/>
      </c>
      <c r="AN48" s="131" t="str">
        <f t="shared" si="62"/>
        <v/>
      </c>
      <c r="AO48" s="132"/>
      <c r="AP48" s="125"/>
      <c r="AQ48" s="133"/>
      <c r="AR48" s="133"/>
      <c r="AS48" s="134"/>
      <c r="AT48" s="416"/>
      <c r="AU48" s="416"/>
      <c r="AV48" s="416"/>
    </row>
    <row r="49" spans="1:48" x14ac:dyDescent="0.2">
      <c r="A49" s="398"/>
      <c r="B49" s="697"/>
      <c r="C49" s="400"/>
      <c r="D49" s="400"/>
      <c r="E49" s="698"/>
      <c r="F49" s="698"/>
      <c r="G49" s="401"/>
      <c r="H49" s="400"/>
      <c r="I49" s="403"/>
      <c r="J49" s="403"/>
      <c r="K49" s="403"/>
      <c r="L49" s="403"/>
      <c r="M49" s="403"/>
      <c r="N49" s="403"/>
      <c r="O49" s="416"/>
      <c r="P49" s="417"/>
      <c r="Q49" s="405"/>
      <c r="R49" s="406"/>
      <c r="S49" s="405"/>
      <c r="T49" s="417"/>
      <c r="U49" s="405"/>
      <c r="V49" s="418"/>
      <c r="W49" s="149">
        <v>4</v>
      </c>
      <c r="X49" s="149"/>
      <c r="Y49" s="149"/>
      <c r="Z49" s="149"/>
      <c r="AA49" s="174" t="str">
        <f t="shared" si="1"/>
        <v xml:space="preserve">  </v>
      </c>
      <c r="AB49" s="126" t="str">
        <f t="shared" ref="AB49:AB51" si="64">IF(OR(AC49="Preventivo",AC49="Detectivo"),"Probabilidad",IF(AC49="Correctivo","Impacto",""))</f>
        <v/>
      </c>
      <c r="AC49" s="127"/>
      <c r="AD49" s="127"/>
      <c r="AE49" s="128" t="str">
        <f t="shared" si="59"/>
        <v/>
      </c>
      <c r="AF49" s="127"/>
      <c r="AG49" s="127"/>
      <c r="AH49" s="127"/>
      <c r="AI49" s="129" t="str">
        <f t="shared" ref="AI49:AI51" si="65">IFERROR(IF(AND(AB48="Probabilidad",AB49="Probabilidad"),(AK48-(+AK48*AE49)),IF(AND(AB48="Impacto",AB49="Probabilidad"),(AK47-(+AK47*AE49)),IF(AB49="Impacto",AK48,""))),"")</f>
        <v/>
      </c>
      <c r="AJ49" s="130" t="str">
        <f t="shared" si="3"/>
        <v/>
      </c>
      <c r="AK49" s="128" t="str">
        <f t="shared" si="60"/>
        <v/>
      </c>
      <c r="AL49" s="130" t="str">
        <f t="shared" si="5"/>
        <v/>
      </c>
      <c r="AM49" s="128" t="str">
        <f t="shared" si="15"/>
        <v/>
      </c>
      <c r="AN49" s="131" t="str">
        <f>IFERROR(IF(OR(AND(AJ49="Muy Baja",AL49="Leve"),AND(AJ49="Muy Baja",AL49="Menor"),AND(AJ49="Baja",AL49="Leve")),"Bajo",IF(OR(AND(AJ49="Muy baja",AL49="Moderado"),AND(AJ49="Baja",AL49="Menor"),AND(AJ49="Baja",AL49="Moderado"),AND(AJ49="Media",AL49="Leve"),AND(AJ49="Media",AL49="Menor"),AND(AJ49="Media",AL49="Moderado"),AND(AJ49="Alta",AL49="Leve"),AND(AJ49="Alta",AL49="Menor")),"Moderado",IF(OR(AND(AJ49="Muy Baja",AL49="Mayor"),AND(AJ49="Baja",AL49="Mayor"),AND(AJ49="Media",AL49="Mayor"),AND(AJ49="Alta",AL49="Moderado"),AND(AJ49="Alta",AL49="Mayor"),AND(AJ49="Muy Alta",AL49="Leve"),AND(AJ49="Muy Alta",AL49="Menor"),AND(AJ49="Muy Alta",AL49="Moderado"),AND(AJ49="Muy Alta",AL49="Mayor")),"Alto",IF(OR(AND(AJ49="Muy Baja",AL49="Catastrófico"),AND(AJ49="Baja",AL49="Catastrófico"),AND(AJ49="Media",AL49="Catastrófico"),AND(AJ49="Alta",AL49="Catastrófico"),AND(AJ49="Muy Alta",AL49="Catastrófico")),"Extremo","")))),"")</f>
        <v/>
      </c>
      <c r="AO49" s="132"/>
      <c r="AP49" s="125"/>
      <c r="AQ49" s="133"/>
      <c r="AR49" s="133"/>
      <c r="AS49" s="134"/>
      <c r="AT49" s="416"/>
      <c r="AU49" s="416"/>
      <c r="AV49" s="416"/>
    </row>
    <row r="50" spans="1:48" x14ac:dyDescent="0.2">
      <c r="A50" s="398"/>
      <c r="B50" s="697"/>
      <c r="C50" s="400"/>
      <c r="D50" s="400"/>
      <c r="E50" s="698"/>
      <c r="F50" s="698"/>
      <c r="G50" s="401"/>
      <c r="H50" s="400"/>
      <c r="I50" s="403"/>
      <c r="J50" s="403"/>
      <c r="K50" s="403"/>
      <c r="L50" s="403"/>
      <c r="M50" s="403"/>
      <c r="N50" s="403"/>
      <c r="O50" s="416"/>
      <c r="P50" s="417"/>
      <c r="Q50" s="405"/>
      <c r="R50" s="406"/>
      <c r="S50" s="405"/>
      <c r="T50" s="417"/>
      <c r="U50" s="405"/>
      <c r="V50" s="418"/>
      <c r="W50" s="149">
        <v>5</v>
      </c>
      <c r="X50" s="149"/>
      <c r="Y50" s="149"/>
      <c r="Z50" s="149"/>
      <c r="AA50" s="174" t="str">
        <f t="shared" si="1"/>
        <v xml:space="preserve">  </v>
      </c>
      <c r="AB50" s="126" t="str">
        <f t="shared" si="64"/>
        <v/>
      </c>
      <c r="AC50" s="127"/>
      <c r="AD50" s="127"/>
      <c r="AE50" s="128" t="str">
        <f t="shared" si="59"/>
        <v/>
      </c>
      <c r="AF50" s="127"/>
      <c r="AG50" s="127"/>
      <c r="AH50" s="127"/>
      <c r="AI50" s="129" t="str">
        <f t="shared" si="65"/>
        <v/>
      </c>
      <c r="AJ50" s="130" t="str">
        <f t="shared" si="3"/>
        <v/>
      </c>
      <c r="AK50" s="128" t="str">
        <f t="shared" si="60"/>
        <v/>
      </c>
      <c r="AL50" s="130" t="str">
        <f t="shared" si="5"/>
        <v/>
      </c>
      <c r="AM50" s="128" t="str">
        <f t="shared" si="15"/>
        <v/>
      </c>
      <c r="AN50" s="131" t="str">
        <f t="shared" ref="AN50:AN51" si="66">IFERROR(IF(OR(AND(AJ50="Muy Baja",AL50="Leve"),AND(AJ50="Muy Baja",AL50="Menor"),AND(AJ50="Baja",AL50="Leve")),"Bajo",IF(OR(AND(AJ50="Muy baja",AL50="Moderado"),AND(AJ50="Baja",AL50="Menor"),AND(AJ50="Baja",AL50="Moderado"),AND(AJ50="Media",AL50="Leve"),AND(AJ50="Media",AL50="Menor"),AND(AJ50="Media",AL50="Moderado"),AND(AJ50="Alta",AL50="Leve"),AND(AJ50="Alta",AL50="Menor")),"Moderado",IF(OR(AND(AJ50="Muy Baja",AL50="Mayor"),AND(AJ50="Baja",AL50="Mayor"),AND(AJ50="Media",AL50="Mayor"),AND(AJ50="Alta",AL50="Moderado"),AND(AJ50="Alta",AL50="Mayor"),AND(AJ50="Muy Alta",AL50="Leve"),AND(AJ50="Muy Alta",AL50="Menor"),AND(AJ50="Muy Alta",AL50="Moderado"),AND(AJ50="Muy Alta",AL50="Mayor")),"Alto",IF(OR(AND(AJ50="Muy Baja",AL50="Catastrófico"),AND(AJ50="Baja",AL50="Catastrófico"),AND(AJ50="Media",AL50="Catastrófico"),AND(AJ50="Alta",AL50="Catastrófico"),AND(AJ50="Muy Alta",AL50="Catastrófico")),"Extremo","")))),"")</f>
        <v/>
      </c>
      <c r="AO50" s="132"/>
      <c r="AP50" s="125"/>
      <c r="AQ50" s="133"/>
      <c r="AR50" s="133"/>
      <c r="AS50" s="134"/>
      <c r="AT50" s="416"/>
      <c r="AU50" s="416"/>
      <c r="AV50" s="416"/>
    </row>
    <row r="51" spans="1:48" x14ac:dyDescent="0.2">
      <c r="A51" s="398"/>
      <c r="B51" s="697"/>
      <c r="C51" s="400"/>
      <c r="D51" s="400"/>
      <c r="E51" s="698"/>
      <c r="F51" s="698"/>
      <c r="G51" s="401"/>
      <c r="H51" s="400"/>
      <c r="I51" s="404"/>
      <c r="J51" s="404"/>
      <c r="K51" s="404"/>
      <c r="L51" s="404"/>
      <c r="M51" s="404"/>
      <c r="N51" s="404"/>
      <c r="O51" s="416"/>
      <c r="P51" s="417"/>
      <c r="Q51" s="405"/>
      <c r="R51" s="406"/>
      <c r="S51" s="405"/>
      <c r="T51" s="417"/>
      <c r="U51" s="405"/>
      <c r="V51" s="418"/>
      <c r="W51" s="149">
        <v>6</v>
      </c>
      <c r="X51" s="149"/>
      <c r="Y51" s="149"/>
      <c r="Z51" s="149"/>
      <c r="AA51" s="174" t="str">
        <f t="shared" si="1"/>
        <v xml:space="preserve">  </v>
      </c>
      <c r="AB51" s="126" t="str">
        <f t="shared" si="64"/>
        <v/>
      </c>
      <c r="AC51" s="127"/>
      <c r="AD51" s="127"/>
      <c r="AE51" s="128" t="str">
        <f t="shared" si="59"/>
        <v/>
      </c>
      <c r="AF51" s="127"/>
      <c r="AG51" s="127"/>
      <c r="AH51" s="127"/>
      <c r="AI51" s="129" t="str">
        <f t="shared" si="65"/>
        <v/>
      </c>
      <c r="AJ51" s="130" t="str">
        <f t="shared" si="3"/>
        <v/>
      </c>
      <c r="AK51" s="128" t="str">
        <f t="shared" si="60"/>
        <v/>
      </c>
      <c r="AL51" s="130" t="str">
        <f t="shared" si="5"/>
        <v/>
      </c>
      <c r="AM51" s="128" t="str">
        <f t="shared" si="15"/>
        <v/>
      </c>
      <c r="AN51" s="131" t="str">
        <f t="shared" si="66"/>
        <v/>
      </c>
      <c r="AO51" s="132"/>
      <c r="AP51" s="125"/>
      <c r="AQ51" s="133"/>
      <c r="AR51" s="133"/>
      <c r="AS51" s="134"/>
      <c r="AT51" s="416"/>
      <c r="AU51" s="416"/>
      <c r="AV51" s="416"/>
    </row>
    <row r="52" spans="1:48" x14ac:dyDescent="0.2">
      <c r="A52" s="398">
        <v>8</v>
      </c>
      <c r="B52" s="697"/>
      <c r="C52" s="400"/>
      <c r="D52" s="400"/>
      <c r="E52" s="400"/>
      <c r="F52" s="400"/>
      <c r="G52" s="401" t="str">
        <f t="shared" ref="G52" si="67">+CONCATENATE(C52," ",D52," ",E52)</f>
        <v xml:space="preserve">  </v>
      </c>
      <c r="H52" s="400"/>
      <c r="I52" s="402"/>
      <c r="J52" s="402"/>
      <c r="K52" s="402"/>
      <c r="L52" s="402"/>
      <c r="M52" s="402"/>
      <c r="N52" s="402"/>
      <c r="O52" s="416"/>
      <c r="P52" s="417" t="str">
        <f>IF(O52&lt;=0,"",IF(O52&lt;=2,"Muy Baja",IF(O52&lt;=24,"Baja",IF(O52&lt;=500,"Media",IF(O52&lt;=5000,"Alta","Muy Alta")))))</f>
        <v/>
      </c>
      <c r="Q52" s="405" t="str">
        <f>IF(P52="","",IF(P52="Muy Baja",0.2,IF(P52="Baja",0.4,IF(P52="Media",0.6,IF(P52="Alta",0.8,IF(P52="Muy Alta",1,))))))</f>
        <v/>
      </c>
      <c r="R52" s="406"/>
      <c r="S52" s="405">
        <f>IF(NOT(ISERROR(MATCH(R52,'[3]Tabla Impacto'!$B$245:$B$249,0))),'[3]Tabla Impacto'!$F$224&amp;"Por favor no seleccionar los criterios de impacto(Reputacional, Operativo, Legal, ni Contagio)",R52)</f>
        <v>0</v>
      </c>
      <c r="T52" s="417" t="str">
        <f>IF(OR(S52='[3]Tabla Impacto'!$C$12,S52='[3]Tabla Impacto'!$D$12),"Leve",IF(OR(S52='[3]Tabla Impacto'!$C$13,S52='[3]Tabla Impacto'!$D$13),"Menor",IF(OR(S52='[3]Tabla Impacto'!$C$14,S52='[3]Tabla Impacto'!$D$14),"Moderado",IF(OR(S52='[3]Tabla Impacto'!$C$15,S52='[3]Tabla Impacto'!$D$15),"Mayor",IF(OR(S52='[3]Tabla Impacto'!$C$16,S52='[3]Tabla Impacto'!$D$16),"Catastrófico","")))))</f>
        <v/>
      </c>
      <c r="U52" s="405" t="str">
        <f>IF(T52="","",IF(T52="Leve",0.2,IF(T52="Menor",0.4,IF(T52="Moderado",0.6,IF(T52="Mayor",0.8,IF(T52="Catastrófico",1,))))))</f>
        <v/>
      </c>
      <c r="V52" s="418" t="str">
        <f>IF(OR(AND(P52="Muy Baja",T52="Leve"),AND(P52="Muy Baja",T52="Menor"),AND(P52="Baja",T52="Leve")),"Bajo",IF(OR(AND(P52="Muy baja",T52="Moderado"),AND(P52="Baja",T52="Menor"),AND(P52="Baja",T52="Moderado"),AND(P52="Media",T52="Leve"),AND(P52="Media",T52="Menor"),AND(P52="Media",T52="Moderado"),AND(P52="Alta",T52="Leve"),AND(P52="Alta",T52="Menor")),"Moderado",IF(OR(AND(P52="Muy Baja",T52="Mayor"),AND(P52="Baja",T52="Mayor"),AND(P52="Media",T52="Mayor"),AND(P52="Alta",T52="Moderado"),AND(P52="Alta",T52="Mayor"),AND(P52="Muy Alta",T52="Leve"),AND(P52="Muy Alta",T52="Menor"),AND(P52="Muy Alta",T52="Moderado"),AND(P52="Muy Alta",T52="Mayor")),"Alto",IF(OR(AND(P52="Muy Baja",T52="Catastrófico"),AND(P52="Baja",T52="Catastrófico"),AND(P52="Media",T52="Catastrófico"),AND(P52="Alta",T52="Catastrófico"),AND(P52="Muy Alta",T52="Catastrófico")),"Extremo",""))))</f>
        <v/>
      </c>
      <c r="W52" s="149">
        <v>1</v>
      </c>
      <c r="X52" s="149"/>
      <c r="Y52" s="149"/>
      <c r="Z52" s="149"/>
      <c r="AA52" s="174" t="str">
        <f t="shared" si="1"/>
        <v xml:space="preserve">  </v>
      </c>
      <c r="AB52" s="126" t="str">
        <f>IF(OR(AC52="Preventivo",AC52="Detectivo"),"Probabilidad",IF(AC52="Correctivo","Impacto",""))</f>
        <v/>
      </c>
      <c r="AC52" s="127"/>
      <c r="AD52" s="127"/>
      <c r="AE52" s="128" t="str">
        <f>IF(AND(AC52="Preventivo",AD52="Automático"),"50%",IF(AND(AC52="Preventivo",AD52="Manual"),"40%",IF(AND(AC52="Detectivo",AD52="Automático"),"40%",IF(AND(AC52="Detectivo",AD52="Manual"),"30%",IF(AND(AC52="Correctivo",AD52="Automático"),"35%",IF(AND(AC52="Correctivo",AD52="Manual"),"25%",""))))))</f>
        <v/>
      </c>
      <c r="AF52" s="127"/>
      <c r="AG52" s="127"/>
      <c r="AH52" s="127"/>
      <c r="AI52" s="129" t="str">
        <f>IFERROR(IF(AB52="Probabilidad",(Q52-(+Q52*AE52)),IF(AB52="Impacto",Q52,"")),"")</f>
        <v/>
      </c>
      <c r="AJ52" s="130" t="str">
        <f>IFERROR(IF(AI52="","",IF(AI52&lt;=0.2,"Muy Baja",IF(AI52&lt;=0.4,"Baja",IF(AI52&lt;=0.6,"Media",IF(AI52&lt;=0.8,"Alta","Muy Alta"))))),"")</f>
        <v/>
      </c>
      <c r="AK52" s="128" t="str">
        <f>+AI52</f>
        <v/>
      </c>
      <c r="AL52" s="130" t="str">
        <f>IFERROR(IF(AM52="","",IF(AM52&lt;=0.2,"Leve",IF(AM52&lt;=0.4,"Menor",IF(AM52&lt;=0.6,"Moderado",IF(AM52&lt;=0.8,"Mayor","Catastrófico"))))),"")</f>
        <v/>
      </c>
      <c r="AM52" s="128" t="str">
        <f t="shared" ref="AM52" si="68">IFERROR(IF(AB52="Impacto",(U52-(+U52*AE52)),IF(AB52="Probabilidad",U52,"")),"")</f>
        <v/>
      </c>
      <c r="AN52" s="131" t="str">
        <f>IFERROR(IF(OR(AND(AJ52="Muy Baja",AL52="Leve"),AND(AJ52="Muy Baja",AL52="Menor"),AND(AJ52="Baja",AL52="Leve")),"Bajo",IF(OR(AND(AJ52="Muy baja",AL52="Moderado"),AND(AJ52="Baja",AL52="Menor"),AND(AJ52="Baja",AL52="Moderado"),AND(AJ52="Media",AL52="Leve"),AND(AJ52="Media",AL52="Menor"),AND(AJ52="Media",AL52="Moderado"),AND(AJ52="Alta",AL52="Leve"),AND(AJ52="Alta",AL52="Menor")),"Moderado",IF(OR(AND(AJ52="Muy Baja",AL52="Mayor"),AND(AJ52="Baja",AL52="Mayor"),AND(AJ52="Media",AL52="Mayor"),AND(AJ52="Alta",AL52="Moderado"),AND(AJ52="Alta",AL52="Mayor"),AND(AJ52="Muy Alta",AL52="Leve"),AND(AJ52="Muy Alta",AL52="Menor"),AND(AJ52="Muy Alta",AL52="Moderado"),AND(AJ52="Muy Alta",AL52="Mayor")),"Alto",IF(OR(AND(AJ52="Muy Baja",AL52="Catastrófico"),AND(AJ52="Baja",AL52="Catastrófico"),AND(AJ52="Media",AL52="Catastrófico"),AND(AJ52="Alta",AL52="Catastrófico"),AND(AJ52="Muy Alta",AL52="Catastrófico")),"Extremo","")))),"")</f>
        <v/>
      </c>
      <c r="AO52" s="132"/>
      <c r="AP52" s="125"/>
      <c r="AQ52" s="133"/>
      <c r="AR52" s="133"/>
      <c r="AS52" s="134"/>
      <c r="AT52" s="416"/>
      <c r="AU52" s="416"/>
      <c r="AV52" s="416"/>
    </row>
    <row r="53" spans="1:48" x14ac:dyDescent="0.2">
      <c r="A53" s="398"/>
      <c r="B53" s="697"/>
      <c r="C53" s="400"/>
      <c r="D53" s="400"/>
      <c r="E53" s="400"/>
      <c r="F53" s="400"/>
      <c r="G53" s="401"/>
      <c r="H53" s="400"/>
      <c r="I53" s="403"/>
      <c r="J53" s="403"/>
      <c r="K53" s="403"/>
      <c r="L53" s="403"/>
      <c r="M53" s="403"/>
      <c r="N53" s="403"/>
      <c r="O53" s="416"/>
      <c r="P53" s="417"/>
      <c r="Q53" s="405"/>
      <c r="R53" s="406"/>
      <c r="S53" s="405"/>
      <c r="T53" s="417"/>
      <c r="U53" s="405"/>
      <c r="V53" s="418"/>
      <c r="W53" s="149">
        <v>2</v>
      </c>
      <c r="X53" s="149"/>
      <c r="Y53" s="149"/>
      <c r="Z53" s="149"/>
      <c r="AA53" s="174" t="str">
        <f t="shared" si="1"/>
        <v xml:space="preserve">  </v>
      </c>
      <c r="AB53" s="126" t="str">
        <f>IF(OR(AC53="Preventivo",AC53="Detectivo"),"Probabilidad",IF(AC53="Correctivo","Impacto",""))</f>
        <v/>
      </c>
      <c r="AC53" s="127"/>
      <c r="AD53" s="127"/>
      <c r="AE53" s="128" t="str">
        <f t="shared" ref="AE53:AE57" si="69">IF(AND(AC53="Preventivo",AD53="Automático"),"50%",IF(AND(AC53="Preventivo",AD53="Manual"),"40%",IF(AND(AC53="Detectivo",AD53="Automático"),"40%",IF(AND(AC53="Detectivo",AD53="Manual"),"30%",IF(AND(AC53="Correctivo",AD53="Automático"),"35%",IF(AND(AC53="Correctivo",AD53="Manual"),"25%",""))))))</f>
        <v/>
      </c>
      <c r="AF53" s="127"/>
      <c r="AG53" s="127"/>
      <c r="AH53" s="127"/>
      <c r="AI53" s="129" t="str">
        <f>IFERROR(IF(AND(AB52="Probabilidad",AB53="Probabilidad"),(AK52-(+AK52*AE53)),IF(AB53="Probabilidad",(Q52-(+Q52*AE53)),IF(AB53="Impacto",AK52,""))),"")</f>
        <v/>
      </c>
      <c r="AJ53" s="130" t="str">
        <f t="shared" si="3"/>
        <v/>
      </c>
      <c r="AK53" s="128" t="str">
        <f t="shared" ref="AK53:AK57" si="70">+AI53</f>
        <v/>
      </c>
      <c r="AL53" s="130" t="str">
        <f t="shared" si="5"/>
        <v/>
      </c>
      <c r="AM53" s="128" t="str">
        <f t="shared" ref="AM53" si="71">IFERROR(IF(AND(AB52="Impacto",AB53="Impacto"),(AM52-(+AM52*AE53)),IF(AB53="Impacto",($U$10-(+$U$10*AE53)),IF(AB53="Probabilidad",AM52,""))),"")</f>
        <v/>
      </c>
      <c r="AN53" s="131" t="str">
        <f t="shared" ref="AN53:AN54" si="72">IFERROR(IF(OR(AND(AJ53="Muy Baja",AL53="Leve"),AND(AJ53="Muy Baja",AL53="Menor"),AND(AJ53="Baja",AL53="Leve")),"Bajo",IF(OR(AND(AJ53="Muy baja",AL53="Moderado"),AND(AJ53="Baja",AL53="Menor"),AND(AJ53="Baja",AL53="Moderado"),AND(AJ53="Media",AL53="Leve"),AND(AJ53="Media",AL53="Menor"),AND(AJ53="Media",AL53="Moderado"),AND(AJ53="Alta",AL53="Leve"),AND(AJ53="Alta",AL53="Menor")),"Moderado",IF(OR(AND(AJ53="Muy Baja",AL53="Mayor"),AND(AJ53="Baja",AL53="Mayor"),AND(AJ53="Media",AL53="Mayor"),AND(AJ53="Alta",AL53="Moderado"),AND(AJ53="Alta",AL53="Mayor"),AND(AJ53="Muy Alta",AL53="Leve"),AND(AJ53="Muy Alta",AL53="Menor"),AND(AJ53="Muy Alta",AL53="Moderado"),AND(AJ53="Muy Alta",AL53="Mayor")),"Alto",IF(OR(AND(AJ53="Muy Baja",AL53="Catastrófico"),AND(AJ53="Baja",AL53="Catastrófico"),AND(AJ53="Media",AL53="Catastrófico"),AND(AJ53="Alta",AL53="Catastrófico"),AND(AJ53="Muy Alta",AL53="Catastrófico")),"Extremo","")))),"")</f>
        <v/>
      </c>
      <c r="AO53" s="132"/>
      <c r="AP53" s="125"/>
      <c r="AQ53" s="133"/>
      <c r="AR53" s="133"/>
      <c r="AS53" s="134"/>
      <c r="AT53" s="416"/>
      <c r="AU53" s="416"/>
      <c r="AV53" s="416"/>
    </row>
    <row r="54" spans="1:48" x14ac:dyDescent="0.2">
      <c r="A54" s="398"/>
      <c r="B54" s="697"/>
      <c r="C54" s="400"/>
      <c r="D54" s="400"/>
      <c r="E54" s="400"/>
      <c r="F54" s="400"/>
      <c r="G54" s="401"/>
      <c r="H54" s="400"/>
      <c r="I54" s="403"/>
      <c r="J54" s="403"/>
      <c r="K54" s="403"/>
      <c r="L54" s="403"/>
      <c r="M54" s="403"/>
      <c r="N54" s="403"/>
      <c r="O54" s="416"/>
      <c r="P54" s="417"/>
      <c r="Q54" s="405"/>
      <c r="R54" s="406"/>
      <c r="S54" s="405"/>
      <c r="T54" s="417"/>
      <c r="U54" s="405"/>
      <c r="V54" s="418"/>
      <c r="W54" s="149">
        <v>3</v>
      </c>
      <c r="X54" s="149"/>
      <c r="Y54" s="149"/>
      <c r="Z54" s="149"/>
      <c r="AA54" s="174" t="str">
        <f t="shared" si="1"/>
        <v xml:space="preserve">  </v>
      </c>
      <c r="AB54" s="126" t="str">
        <f>IF(OR(AC54="Preventivo",AC54="Detectivo"),"Probabilidad",IF(AC54="Correctivo","Impacto",""))</f>
        <v/>
      </c>
      <c r="AC54" s="127"/>
      <c r="AD54" s="127"/>
      <c r="AE54" s="128" t="str">
        <f t="shared" si="69"/>
        <v/>
      </c>
      <c r="AF54" s="127"/>
      <c r="AG54" s="127"/>
      <c r="AH54" s="127"/>
      <c r="AI54" s="129" t="str">
        <f>IFERROR(IF(AND(AB53="Probabilidad",AB54="Probabilidad"),(AK53-(+AK53*AE54)),IF(AND(AB53="Impacto",AB54="Probabilidad"),(AK52-(+AK52*AE54)),IF(AB54="Impacto",AK53,""))),"")</f>
        <v/>
      </c>
      <c r="AJ54" s="130" t="str">
        <f t="shared" si="3"/>
        <v/>
      </c>
      <c r="AK54" s="128" t="str">
        <f t="shared" si="70"/>
        <v/>
      </c>
      <c r="AL54" s="130" t="str">
        <f t="shared" si="5"/>
        <v/>
      </c>
      <c r="AM54" s="128" t="str">
        <f t="shared" ref="AM54" si="73">IFERROR(IF(AND(AB53="Impacto",AB54="Impacto"),(AM53-(+AM53*AE54)),IF(AND(AB53="Probabilidad",AB54="Impacto"),(AM52-(+AM52*AE54)),IF(AB54="Probabilidad",AM53,""))),"")</f>
        <v/>
      </c>
      <c r="AN54" s="131" t="str">
        <f t="shared" si="72"/>
        <v/>
      </c>
      <c r="AO54" s="132"/>
      <c r="AP54" s="125"/>
      <c r="AQ54" s="133"/>
      <c r="AR54" s="133"/>
      <c r="AS54" s="134"/>
      <c r="AT54" s="416"/>
      <c r="AU54" s="416"/>
      <c r="AV54" s="416"/>
    </row>
    <row r="55" spans="1:48" x14ac:dyDescent="0.2">
      <c r="A55" s="398"/>
      <c r="B55" s="697"/>
      <c r="C55" s="400"/>
      <c r="D55" s="400"/>
      <c r="E55" s="400"/>
      <c r="F55" s="400"/>
      <c r="G55" s="401"/>
      <c r="H55" s="400"/>
      <c r="I55" s="403"/>
      <c r="J55" s="403"/>
      <c r="K55" s="403"/>
      <c r="L55" s="403"/>
      <c r="M55" s="403"/>
      <c r="N55" s="403"/>
      <c r="O55" s="416"/>
      <c r="P55" s="417"/>
      <c r="Q55" s="405"/>
      <c r="R55" s="406"/>
      <c r="S55" s="405"/>
      <c r="T55" s="417"/>
      <c r="U55" s="405"/>
      <c r="V55" s="418"/>
      <c r="W55" s="149">
        <v>4</v>
      </c>
      <c r="X55" s="149"/>
      <c r="Y55" s="149"/>
      <c r="Z55" s="149"/>
      <c r="AA55" s="174" t="str">
        <f t="shared" si="1"/>
        <v xml:space="preserve">  </v>
      </c>
      <c r="AB55" s="126" t="str">
        <f t="shared" ref="AB55:AB57" si="74">IF(OR(AC55="Preventivo",AC55="Detectivo"),"Probabilidad",IF(AC55="Correctivo","Impacto",""))</f>
        <v/>
      </c>
      <c r="AC55" s="127"/>
      <c r="AD55" s="127"/>
      <c r="AE55" s="128" t="str">
        <f t="shared" si="69"/>
        <v/>
      </c>
      <c r="AF55" s="127"/>
      <c r="AG55" s="127"/>
      <c r="AH55" s="127"/>
      <c r="AI55" s="129" t="str">
        <f t="shared" ref="AI55:AI57" si="75">IFERROR(IF(AND(AB54="Probabilidad",AB55="Probabilidad"),(AK54-(+AK54*AE55)),IF(AND(AB54="Impacto",AB55="Probabilidad"),(AK53-(+AK53*AE55)),IF(AB55="Impacto",AK54,""))),"")</f>
        <v/>
      </c>
      <c r="AJ55" s="130" t="str">
        <f t="shared" si="3"/>
        <v/>
      </c>
      <c r="AK55" s="128" t="str">
        <f t="shared" si="70"/>
        <v/>
      </c>
      <c r="AL55" s="130" t="str">
        <f t="shared" si="5"/>
        <v/>
      </c>
      <c r="AM55" s="128" t="str">
        <f t="shared" si="15"/>
        <v/>
      </c>
      <c r="AN55" s="131" t="str">
        <f>IFERROR(IF(OR(AND(AJ55="Muy Baja",AL55="Leve"),AND(AJ55="Muy Baja",AL55="Menor"),AND(AJ55="Baja",AL55="Leve")),"Bajo",IF(OR(AND(AJ55="Muy baja",AL55="Moderado"),AND(AJ55="Baja",AL55="Menor"),AND(AJ55="Baja",AL55="Moderado"),AND(AJ55="Media",AL55="Leve"),AND(AJ55="Media",AL55="Menor"),AND(AJ55="Media",AL55="Moderado"),AND(AJ55="Alta",AL55="Leve"),AND(AJ55="Alta",AL55="Menor")),"Moderado",IF(OR(AND(AJ55="Muy Baja",AL55="Mayor"),AND(AJ55="Baja",AL55="Mayor"),AND(AJ55="Media",AL55="Mayor"),AND(AJ55="Alta",AL55="Moderado"),AND(AJ55="Alta",AL55="Mayor"),AND(AJ55="Muy Alta",AL55="Leve"),AND(AJ55="Muy Alta",AL55="Menor"),AND(AJ55="Muy Alta",AL55="Moderado"),AND(AJ55="Muy Alta",AL55="Mayor")),"Alto",IF(OR(AND(AJ55="Muy Baja",AL55="Catastrófico"),AND(AJ55="Baja",AL55="Catastrófico"),AND(AJ55="Media",AL55="Catastrófico"),AND(AJ55="Alta",AL55="Catastrófico"),AND(AJ55="Muy Alta",AL55="Catastrófico")),"Extremo","")))),"")</f>
        <v/>
      </c>
      <c r="AO55" s="132"/>
      <c r="AP55" s="125"/>
      <c r="AQ55" s="133"/>
      <c r="AR55" s="133"/>
      <c r="AS55" s="134"/>
      <c r="AT55" s="416"/>
      <c r="AU55" s="416"/>
      <c r="AV55" s="416"/>
    </row>
    <row r="56" spans="1:48" x14ac:dyDescent="0.2">
      <c r="A56" s="398"/>
      <c r="B56" s="697"/>
      <c r="C56" s="400"/>
      <c r="D56" s="400"/>
      <c r="E56" s="400"/>
      <c r="F56" s="400"/>
      <c r="G56" s="401"/>
      <c r="H56" s="400"/>
      <c r="I56" s="403"/>
      <c r="J56" s="403"/>
      <c r="K56" s="403"/>
      <c r="L56" s="403"/>
      <c r="M56" s="403"/>
      <c r="N56" s="403"/>
      <c r="O56" s="416"/>
      <c r="P56" s="417"/>
      <c r="Q56" s="405"/>
      <c r="R56" s="406"/>
      <c r="S56" s="405"/>
      <c r="T56" s="417"/>
      <c r="U56" s="405"/>
      <c r="V56" s="418"/>
      <c r="W56" s="149">
        <v>5</v>
      </c>
      <c r="X56" s="149"/>
      <c r="Y56" s="149"/>
      <c r="Z56" s="149"/>
      <c r="AA56" s="174" t="str">
        <f t="shared" si="1"/>
        <v xml:space="preserve">  </v>
      </c>
      <c r="AB56" s="126" t="str">
        <f t="shared" si="74"/>
        <v/>
      </c>
      <c r="AC56" s="127"/>
      <c r="AD56" s="127"/>
      <c r="AE56" s="128" t="str">
        <f t="shared" si="69"/>
        <v/>
      </c>
      <c r="AF56" s="127"/>
      <c r="AG56" s="127"/>
      <c r="AH56" s="127"/>
      <c r="AI56" s="129" t="str">
        <f t="shared" si="75"/>
        <v/>
      </c>
      <c r="AJ56" s="130" t="str">
        <f t="shared" si="3"/>
        <v/>
      </c>
      <c r="AK56" s="128" t="str">
        <f t="shared" si="70"/>
        <v/>
      </c>
      <c r="AL56" s="130" t="str">
        <f t="shared" si="5"/>
        <v/>
      </c>
      <c r="AM56" s="128" t="str">
        <f t="shared" si="15"/>
        <v/>
      </c>
      <c r="AN56" s="131" t="str">
        <f t="shared" ref="AN56:AN57" si="76">IFERROR(IF(OR(AND(AJ56="Muy Baja",AL56="Leve"),AND(AJ56="Muy Baja",AL56="Menor"),AND(AJ56="Baja",AL56="Leve")),"Bajo",IF(OR(AND(AJ56="Muy baja",AL56="Moderado"),AND(AJ56="Baja",AL56="Menor"),AND(AJ56="Baja",AL56="Moderado"),AND(AJ56="Media",AL56="Leve"),AND(AJ56="Media",AL56="Menor"),AND(AJ56="Media",AL56="Moderado"),AND(AJ56="Alta",AL56="Leve"),AND(AJ56="Alta",AL56="Menor")),"Moderado",IF(OR(AND(AJ56="Muy Baja",AL56="Mayor"),AND(AJ56="Baja",AL56="Mayor"),AND(AJ56="Media",AL56="Mayor"),AND(AJ56="Alta",AL56="Moderado"),AND(AJ56="Alta",AL56="Mayor"),AND(AJ56="Muy Alta",AL56="Leve"),AND(AJ56="Muy Alta",AL56="Menor"),AND(AJ56="Muy Alta",AL56="Moderado"),AND(AJ56="Muy Alta",AL56="Mayor")),"Alto",IF(OR(AND(AJ56="Muy Baja",AL56="Catastrófico"),AND(AJ56="Baja",AL56="Catastrófico"),AND(AJ56="Media",AL56="Catastrófico"),AND(AJ56="Alta",AL56="Catastrófico"),AND(AJ56="Muy Alta",AL56="Catastrófico")),"Extremo","")))),"")</f>
        <v/>
      </c>
      <c r="AO56" s="132"/>
      <c r="AP56" s="125"/>
      <c r="AQ56" s="133"/>
      <c r="AR56" s="133"/>
      <c r="AS56" s="134"/>
      <c r="AT56" s="416"/>
      <c r="AU56" s="416"/>
      <c r="AV56" s="416"/>
    </row>
    <row r="57" spans="1:48" x14ac:dyDescent="0.2">
      <c r="A57" s="398"/>
      <c r="B57" s="697"/>
      <c r="C57" s="400"/>
      <c r="D57" s="400"/>
      <c r="E57" s="400"/>
      <c r="F57" s="400"/>
      <c r="G57" s="401"/>
      <c r="H57" s="400"/>
      <c r="I57" s="404"/>
      <c r="J57" s="404"/>
      <c r="K57" s="404"/>
      <c r="L57" s="404"/>
      <c r="M57" s="404"/>
      <c r="N57" s="404"/>
      <c r="O57" s="416"/>
      <c r="P57" s="417"/>
      <c r="Q57" s="405"/>
      <c r="R57" s="406"/>
      <c r="S57" s="405"/>
      <c r="T57" s="417"/>
      <c r="U57" s="405"/>
      <c r="V57" s="418"/>
      <c r="W57" s="149">
        <v>6</v>
      </c>
      <c r="X57" s="149"/>
      <c r="Y57" s="149"/>
      <c r="Z57" s="149"/>
      <c r="AA57" s="174" t="str">
        <f t="shared" si="1"/>
        <v xml:space="preserve">  </v>
      </c>
      <c r="AB57" s="126" t="str">
        <f t="shared" si="74"/>
        <v/>
      </c>
      <c r="AC57" s="127"/>
      <c r="AD57" s="127"/>
      <c r="AE57" s="128" t="str">
        <f t="shared" si="69"/>
        <v/>
      </c>
      <c r="AF57" s="127"/>
      <c r="AG57" s="127"/>
      <c r="AH57" s="127"/>
      <c r="AI57" s="129" t="str">
        <f t="shared" si="75"/>
        <v/>
      </c>
      <c r="AJ57" s="130" t="str">
        <f t="shared" si="3"/>
        <v/>
      </c>
      <c r="AK57" s="128" t="str">
        <f t="shared" si="70"/>
        <v/>
      </c>
      <c r="AL57" s="130" t="str">
        <f t="shared" si="5"/>
        <v/>
      </c>
      <c r="AM57" s="128" t="str">
        <f t="shared" si="15"/>
        <v/>
      </c>
      <c r="AN57" s="131" t="str">
        <f t="shared" si="76"/>
        <v/>
      </c>
      <c r="AO57" s="132"/>
      <c r="AP57" s="125"/>
      <c r="AQ57" s="133"/>
      <c r="AR57" s="133"/>
      <c r="AS57" s="134"/>
      <c r="AT57" s="416"/>
      <c r="AU57" s="416"/>
      <c r="AV57" s="416"/>
    </row>
    <row r="58" spans="1:48" x14ac:dyDescent="0.2">
      <c r="A58" s="398">
        <v>9</v>
      </c>
      <c r="B58" s="697"/>
      <c r="C58" s="400"/>
      <c r="D58" s="400"/>
      <c r="E58" s="400"/>
      <c r="F58" s="400"/>
      <c r="G58" s="401" t="str">
        <f t="shared" ref="G58" si="77">+CONCATENATE(C58," ",D58," ",E58)</f>
        <v xml:space="preserve">  </v>
      </c>
      <c r="H58" s="400"/>
      <c r="I58" s="402"/>
      <c r="J58" s="156"/>
      <c r="K58" s="156"/>
      <c r="L58" s="156"/>
      <c r="M58" s="402"/>
      <c r="N58" s="402"/>
      <c r="O58" s="416"/>
      <c r="P58" s="417" t="str">
        <f>IF(O58&lt;=0,"",IF(O58&lt;=2,"Muy Baja",IF(O58&lt;=24,"Baja",IF(O58&lt;=500,"Media",IF(O58&lt;=5000,"Alta","Muy Alta")))))</f>
        <v/>
      </c>
      <c r="Q58" s="405" t="str">
        <f>IF(P58="","",IF(P58="Muy Baja",0.2,IF(P58="Baja",0.4,IF(P58="Media",0.6,IF(P58="Alta",0.8,IF(P58="Muy Alta",1,))))))</f>
        <v/>
      </c>
      <c r="R58" s="406"/>
      <c r="S58" s="405">
        <f>IF(NOT(ISERROR(MATCH(R58,'[3]Tabla Impacto'!$B$245:$B$249,0))),'[3]Tabla Impacto'!$F$224&amp;"Por favor no seleccionar los criterios de impacto(Reputacional, Operativo, Legal, ni Contagio)",R58)</f>
        <v>0</v>
      </c>
      <c r="T58" s="417" t="str">
        <f>IF(OR(S58='[3]Tabla Impacto'!$C$12,S58='[3]Tabla Impacto'!$D$12),"Leve",IF(OR(S58='[3]Tabla Impacto'!$C$13,S58='[3]Tabla Impacto'!$D$13),"Menor",IF(OR(S58='[3]Tabla Impacto'!$C$14,S58='[3]Tabla Impacto'!$D$14),"Moderado",IF(OR(S58='[3]Tabla Impacto'!$C$15,S58='[3]Tabla Impacto'!$D$15),"Mayor",IF(OR(S58='[3]Tabla Impacto'!$C$16,S58='[3]Tabla Impacto'!$D$16),"Catastrófico","")))))</f>
        <v/>
      </c>
      <c r="U58" s="405" t="str">
        <f>IF(T58="","",IF(T58="Leve",0.2,IF(T58="Menor",0.4,IF(T58="Moderado",0.6,IF(T58="Mayor",0.8,IF(T58="Catastrófico",1,))))))</f>
        <v/>
      </c>
      <c r="V58" s="418" t="str">
        <f>IF(OR(AND(P58="Muy Baja",T58="Leve"),AND(P58="Muy Baja",T58="Menor"),AND(P58="Baja",T58="Leve")),"Bajo",IF(OR(AND(P58="Muy baja",T58="Moderado"),AND(P58="Baja",T58="Menor"),AND(P58="Baja",T58="Moderado"),AND(P58="Media",T58="Leve"),AND(P58="Media",T58="Menor"),AND(P58="Media",T58="Moderado"),AND(P58="Alta",T58="Leve"),AND(P58="Alta",T58="Menor")),"Moderado",IF(OR(AND(P58="Muy Baja",T58="Mayor"),AND(P58="Baja",T58="Mayor"),AND(P58="Media",T58="Mayor"),AND(P58="Alta",T58="Moderado"),AND(P58="Alta",T58="Mayor"),AND(P58="Muy Alta",T58="Leve"),AND(P58="Muy Alta",T58="Menor"),AND(P58="Muy Alta",T58="Moderado"),AND(P58="Muy Alta",T58="Mayor")),"Alto",IF(OR(AND(P58="Muy Baja",T58="Catastrófico"),AND(P58="Baja",T58="Catastrófico"),AND(P58="Media",T58="Catastrófico"),AND(P58="Alta",T58="Catastrófico"),AND(P58="Muy Alta",T58="Catastrófico")),"Extremo",""))))</f>
        <v/>
      </c>
      <c r="W58" s="149">
        <v>1</v>
      </c>
      <c r="X58" s="149"/>
      <c r="Y58" s="149"/>
      <c r="Z58" s="149"/>
      <c r="AA58" s="174" t="str">
        <f t="shared" si="1"/>
        <v xml:space="preserve">  </v>
      </c>
      <c r="AB58" s="126" t="str">
        <f>IF(OR(AC58="Preventivo",AC58="Detectivo"),"Probabilidad",IF(AC58="Correctivo","Impacto",""))</f>
        <v/>
      </c>
      <c r="AC58" s="127"/>
      <c r="AD58" s="127"/>
      <c r="AE58" s="128" t="str">
        <f>IF(AND(AC58="Preventivo",AD58="Automático"),"50%",IF(AND(AC58="Preventivo",AD58="Manual"),"40%",IF(AND(AC58="Detectivo",AD58="Automático"),"40%",IF(AND(AC58="Detectivo",AD58="Manual"),"30%",IF(AND(AC58="Correctivo",AD58="Automático"),"35%",IF(AND(AC58="Correctivo",AD58="Manual"),"25%",""))))))</f>
        <v/>
      </c>
      <c r="AF58" s="127"/>
      <c r="AG58" s="127"/>
      <c r="AH58" s="127"/>
      <c r="AI58" s="129" t="str">
        <f>IFERROR(IF(AB58="Probabilidad",(Q58-(+Q58*AE58)),IF(AB58="Impacto",Q58,"")),"")</f>
        <v/>
      </c>
      <c r="AJ58" s="130" t="str">
        <f>IFERROR(IF(AI58="","",IF(AI58&lt;=0.2,"Muy Baja",IF(AI58&lt;=0.4,"Baja",IF(AI58&lt;=0.6,"Media",IF(AI58&lt;=0.8,"Alta","Muy Alta"))))),"")</f>
        <v/>
      </c>
      <c r="AK58" s="128" t="str">
        <f>+AI58</f>
        <v/>
      </c>
      <c r="AL58" s="130" t="str">
        <f>IFERROR(IF(AM58="","",IF(AM58&lt;=0.2,"Leve",IF(AM58&lt;=0.4,"Menor",IF(AM58&lt;=0.6,"Moderado",IF(AM58&lt;=0.8,"Mayor","Catastrófico"))))),"")</f>
        <v/>
      </c>
      <c r="AM58" s="128" t="str">
        <f t="shared" ref="AM58" si="78">IFERROR(IF(AB58="Impacto",(U58-(+U58*AE58)),IF(AB58="Probabilidad",U58,"")),"")</f>
        <v/>
      </c>
      <c r="AN58" s="131" t="str">
        <f>IFERROR(IF(OR(AND(AJ58="Muy Baja",AL58="Leve"),AND(AJ58="Muy Baja",AL58="Menor"),AND(AJ58="Baja",AL58="Leve")),"Bajo",IF(OR(AND(AJ58="Muy baja",AL58="Moderado"),AND(AJ58="Baja",AL58="Menor"),AND(AJ58="Baja",AL58="Moderado"),AND(AJ58="Media",AL58="Leve"),AND(AJ58="Media",AL58="Menor"),AND(AJ58="Media",AL58="Moderado"),AND(AJ58="Alta",AL58="Leve"),AND(AJ58="Alta",AL58="Menor")),"Moderado",IF(OR(AND(AJ58="Muy Baja",AL58="Mayor"),AND(AJ58="Baja",AL58="Mayor"),AND(AJ58="Media",AL58="Mayor"),AND(AJ58="Alta",AL58="Moderado"),AND(AJ58="Alta",AL58="Mayor"),AND(AJ58="Muy Alta",AL58="Leve"),AND(AJ58="Muy Alta",AL58="Menor"),AND(AJ58="Muy Alta",AL58="Moderado"),AND(AJ58="Muy Alta",AL58="Mayor")),"Alto",IF(OR(AND(AJ58="Muy Baja",AL58="Catastrófico"),AND(AJ58="Baja",AL58="Catastrófico"),AND(AJ58="Media",AL58="Catastrófico"),AND(AJ58="Alta",AL58="Catastrófico"),AND(AJ58="Muy Alta",AL58="Catastrófico")),"Extremo","")))),"")</f>
        <v/>
      </c>
      <c r="AO58" s="132"/>
      <c r="AP58" s="125"/>
      <c r="AQ58" s="133"/>
      <c r="AR58" s="133"/>
      <c r="AS58" s="134"/>
      <c r="AT58" s="416"/>
      <c r="AU58" s="416"/>
      <c r="AV58" s="416"/>
    </row>
    <row r="59" spans="1:48" x14ac:dyDescent="0.2">
      <c r="A59" s="398"/>
      <c r="B59" s="697"/>
      <c r="C59" s="400"/>
      <c r="D59" s="400"/>
      <c r="E59" s="400"/>
      <c r="F59" s="400"/>
      <c r="G59" s="401"/>
      <c r="H59" s="400"/>
      <c r="I59" s="403"/>
      <c r="J59" s="157"/>
      <c r="K59" s="157"/>
      <c r="L59" s="157"/>
      <c r="M59" s="403"/>
      <c r="N59" s="403"/>
      <c r="O59" s="416"/>
      <c r="P59" s="417"/>
      <c r="Q59" s="405"/>
      <c r="R59" s="406"/>
      <c r="S59" s="405"/>
      <c r="T59" s="417"/>
      <c r="U59" s="405"/>
      <c r="V59" s="418"/>
      <c r="W59" s="149">
        <v>2</v>
      </c>
      <c r="X59" s="149"/>
      <c r="Y59" s="149"/>
      <c r="Z59" s="149"/>
      <c r="AA59" s="174" t="str">
        <f t="shared" si="1"/>
        <v xml:space="preserve">  </v>
      </c>
      <c r="AB59" s="126" t="str">
        <f>IF(OR(AC59="Preventivo",AC59="Detectivo"),"Probabilidad",IF(AC59="Correctivo","Impacto",""))</f>
        <v/>
      </c>
      <c r="AC59" s="127"/>
      <c r="AD59" s="127"/>
      <c r="AE59" s="128" t="str">
        <f t="shared" ref="AE59:AE63" si="79">IF(AND(AC59="Preventivo",AD59="Automático"),"50%",IF(AND(AC59="Preventivo",AD59="Manual"),"40%",IF(AND(AC59="Detectivo",AD59="Automático"),"40%",IF(AND(AC59="Detectivo",AD59="Manual"),"30%",IF(AND(AC59="Correctivo",AD59="Automático"),"35%",IF(AND(AC59="Correctivo",AD59="Manual"),"25%",""))))))</f>
        <v/>
      </c>
      <c r="AF59" s="127"/>
      <c r="AG59" s="127"/>
      <c r="AH59" s="127"/>
      <c r="AI59" s="129" t="str">
        <f>IFERROR(IF(AND(AB58="Probabilidad",AB59="Probabilidad"),(AK58-(+AK58*AE59)),IF(AB59="Probabilidad",(Q58-(+Q58*AE59)),IF(AB59="Impacto",AK58,""))),"")</f>
        <v/>
      </c>
      <c r="AJ59" s="130" t="str">
        <f t="shared" si="3"/>
        <v/>
      </c>
      <c r="AK59" s="128" t="str">
        <f t="shared" ref="AK59:AK63" si="80">+AI59</f>
        <v/>
      </c>
      <c r="AL59" s="130" t="str">
        <f t="shared" si="5"/>
        <v/>
      </c>
      <c r="AM59" s="128" t="str">
        <f t="shared" ref="AM59" si="81">IFERROR(IF(AND(AB58="Impacto",AB59="Impacto"),(AM58-(+AM58*AE59)),IF(AB59="Impacto",($U$10-(+$U$10*AE59)),IF(AB59="Probabilidad",AM58,""))),"")</f>
        <v/>
      </c>
      <c r="AN59" s="131" t="str">
        <f t="shared" ref="AN59:AN60" si="82">IFERROR(IF(OR(AND(AJ59="Muy Baja",AL59="Leve"),AND(AJ59="Muy Baja",AL59="Menor"),AND(AJ59="Baja",AL59="Leve")),"Bajo",IF(OR(AND(AJ59="Muy baja",AL59="Moderado"),AND(AJ59="Baja",AL59="Menor"),AND(AJ59="Baja",AL59="Moderado"),AND(AJ59="Media",AL59="Leve"),AND(AJ59="Media",AL59="Menor"),AND(AJ59="Media",AL59="Moderado"),AND(AJ59="Alta",AL59="Leve"),AND(AJ59="Alta",AL59="Menor")),"Moderado",IF(OR(AND(AJ59="Muy Baja",AL59="Mayor"),AND(AJ59="Baja",AL59="Mayor"),AND(AJ59="Media",AL59="Mayor"),AND(AJ59="Alta",AL59="Moderado"),AND(AJ59="Alta",AL59="Mayor"),AND(AJ59="Muy Alta",AL59="Leve"),AND(AJ59="Muy Alta",AL59="Menor"),AND(AJ59="Muy Alta",AL59="Moderado"),AND(AJ59="Muy Alta",AL59="Mayor")),"Alto",IF(OR(AND(AJ59="Muy Baja",AL59="Catastrófico"),AND(AJ59="Baja",AL59="Catastrófico"),AND(AJ59="Media",AL59="Catastrófico"),AND(AJ59="Alta",AL59="Catastrófico"),AND(AJ59="Muy Alta",AL59="Catastrófico")),"Extremo","")))),"")</f>
        <v/>
      </c>
      <c r="AO59" s="132"/>
      <c r="AP59" s="125"/>
      <c r="AQ59" s="133"/>
      <c r="AR59" s="133"/>
      <c r="AS59" s="134"/>
      <c r="AT59" s="416"/>
      <c r="AU59" s="416"/>
      <c r="AV59" s="416"/>
    </row>
    <row r="60" spans="1:48" x14ac:dyDescent="0.2">
      <c r="A60" s="398"/>
      <c r="B60" s="697"/>
      <c r="C60" s="400"/>
      <c r="D60" s="400"/>
      <c r="E60" s="400"/>
      <c r="F60" s="400"/>
      <c r="G60" s="401"/>
      <c r="H60" s="400"/>
      <c r="I60" s="403"/>
      <c r="J60" s="157"/>
      <c r="K60" s="157"/>
      <c r="L60" s="157"/>
      <c r="M60" s="403"/>
      <c r="N60" s="403"/>
      <c r="O60" s="416"/>
      <c r="P60" s="417"/>
      <c r="Q60" s="405"/>
      <c r="R60" s="406"/>
      <c r="S60" s="405"/>
      <c r="T60" s="417"/>
      <c r="U60" s="405"/>
      <c r="V60" s="418"/>
      <c r="W60" s="149">
        <v>3</v>
      </c>
      <c r="X60" s="149"/>
      <c r="Y60" s="149"/>
      <c r="Z60" s="149"/>
      <c r="AA60" s="174" t="str">
        <f t="shared" si="1"/>
        <v xml:space="preserve">  </v>
      </c>
      <c r="AB60" s="126" t="str">
        <f>IF(OR(AC60="Preventivo",AC60="Detectivo"),"Probabilidad",IF(AC60="Correctivo","Impacto",""))</f>
        <v/>
      </c>
      <c r="AC60" s="127"/>
      <c r="AD60" s="127"/>
      <c r="AE60" s="128" t="str">
        <f t="shared" si="79"/>
        <v/>
      </c>
      <c r="AF60" s="127"/>
      <c r="AG60" s="127"/>
      <c r="AH60" s="127"/>
      <c r="AI60" s="129" t="str">
        <f>IFERROR(IF(AND(AB59="Probabilidad",AB60="Probabilidad"),(AK59-(+AK59*AE60)),IF(AND(AB59="Impacto",AB60="Probabilidad"),(AK58-(+AK58*AE60)),IF(AB60="Impacto",AK59,""))),"")</f>
        <v/>
      </c>
      <c r="AJ60" s="130" t="str">
        <f t="shared" si="3"/>
        <v/>
      </c>
      <c r="AK60" s="128" t="str">
        <f t="shared" si="80"/>
        <v/>
      </c>
      <c r="AL60" s="130" t="str">
        <f t="shared" si="5"/>
        <v/>
      </c>
      <c r="AM60" s="128" t="str">
        <f t="shared" ref="AM60" si="83">IFERROR(IF(AND(AB59="Impacto",AB60="Impacto"),(AM59-(+AM59*AE60)),IF(AND(AB59="Probabilidad",AB60="Impacto"),(AM58-(+AM58*AE60)),IF(AB60="Probabilidad",AM59,""))),"")</f>
        <v/>
      </c>
      <c r="AN60" s="131" t="str">
        <f t="shared" si="82"/>
        <v/>
      </c>
      <c r="AO60" s="132"/>
      <c r="AP60" s="125"/>
      <c r="AQ60" s="133"/>
      <c r="AR60" s="133"/>
      <c r="AS60" s="134"/>
      <c r="AT60" s="416"/>
      <c r="AU60" s="416"/>
      <c r="AV60" s="416"/>
    </row>
    <row r="61" spans="1:48" x14ac:dyDescent="0.2">
      <c r="A61" s="398"/>
      <c r="B61" s="697"/>
      <c r="C61" s="400"/>
      <c r="D61" s="400"/>
      <c r="E61" s="400"/>
      <c r="F61" s="400"/>
      <c r="G61" s="401"/>
      <c r="H61" s="400"/>
      <c r="I61" s="403"/>
      <c r="J61" s="157"/>
      <c r="K61" s="157"/>
      <c r="L61" s="157"/>
      <c r="M61" s="403"/>
      <c r="N61" s="403"/>
      <c r="O61" s="416"/>
      <c r="P61" s="417"/>
      <c r="Q61" s="405"/>
      <c r="R61" s="406"/>
      <c r="S61" s="405"/>
      <c r="T61" s="417"/>
      <c r="U61" s="405"/>
      <c r="V61" s="418"/>
      <c r="W61" s="149">
        <v>4</v>
      </c>
      <c r="X61" s="149"/>
      <c r="Y61" s="149"/>
      <c r="Z61" s="149"/>
      <c r="AA61" s="174" t="str">
        <f t="shared" si="1"/>
        <v xml:space="preserve">  </v>
      </c>
      <c r="AB61" s="126" t="str">
        <f t="shared" ref="AB61:AB63" si="84">IF(OR(AC61="Preventivo",AC61="Detectivo"),"Probabilidad",IF(AC61="Correctivo","Impacto",""))</f>
        <v/>
      </c>
      <c r="AC61" s="127"/>
      <c r="AD61" s="127"/>
      <c r="AE61" s="128" t="str">
        <f t="shared" si="79"/>
        <v/>
      </c>
      <c r="AF61" s="127"/>
      <c r="AG61" s="127"/>
      <c r="AH61" s="127"/>
      <c r="AI61" s="129" t="str">
        <f t="shared" ref="AI61:AI63" si="85">IFERROR(IF(AND(AB60="Probabilidad",AB61="Probabilidad"),(AK60-(+AK60*AE61)),IF(AND(AB60="Impacto",AB61="Probabilidad"),(AK59-(+AK59*AE61)),IF(AB61="Impacto",AK60,""))),"")</f>
        <v/>
      </c>
      <c r="AJ61" s="130" t="str">
        <f t="shared" si="3"/>
        <v/>
      </c>
      <c r="AK61" s="128" t="str">
        <f t="shared" si="80"/>
        <v/>
      </c>
      <c r="AL61" s="130" t="str">
        <f t="shared" si="5"/>
        <v/>
      </c>
      <c r="AM61" s="128" t="str">
        <f t="shared" si="15"/>
        <v/>
      </c>
      <c r="AN61" s="131" t="str">
        <f>IFERROR(IF(OR(AND(AJ61="Muy Baja",AL61="Leve"),AND(AJ61="Muy Baja",AL61="Menor"),AND(AJ61="Baja",AL61="Leve")),"Bajo",IF(OR(AND(AJ61="Muy baja",AL61="Moderado"),AND(AJ61="Baja",AL61="Menor"),AND(AJ61="Baja",AL61="Moderado"),AND(AJ61="Media",AL61="Leve"),AND(AJ61="Media",AL61="Menor"),AND(AJ61="Media",AL61="Moderado"),AND(AJ61="Alta",AL61="Leve"),AND(AJ61="Alta",AL61="Menor")),"Moderado",IF(OR(AND(AJ61="Muy Baja",AL61="Mayor"),AND(AJ61="Baja",AL61="Mayor"),AND(AJ61="Media",AL61="Mayor"),AND(AJ61="Alta",AL61="Moderado"),AND(AJ61="Alta",AL61="Mayor"),AND(AJ61="Muy Alta",AL61="Leve"),AND(AJ61="Muy Alta",AL61="Menor"),AND(AJ61="Muy Alta",AL61="Moderado"),AND(AJ61="Muy Alta",AL61="Mayor")),"Alto",IF(OR(AND(AJ61="Muy Baja",AL61="Catastrófico"),AND(AJ61="Baja",AL61="Catastrófico"),AND(AJ61="Media",AL61="Catastrófico"),AND(AJ61="Alta",AL61="Catastrófico"),AND(AJ61="Muy Alta",AL61="Catastrófico")),"Extremo","")))),"")</f>
        <v/>
      </c>
      <c r="AO61" s="132"/>
      <c r="AP61" s="125"/>
      <c r="AQ61" s="133"/>
      <c r="AR61" s="133"/>
      <c r="AS61" s="134"/>
      <c r="AT61" s="416"/>
      <c r="AU61" s="416"/>
      <c r="AV61" s="416"/>
    </row>
    <row r="62" spans="1:48" x14ac:dyDescent="0.2">
      <c r="A62" s="398"/>
      <c r="B62" s="697"/>
      <c r="C62" s="400"/>
      <c r="D62" s="400"/>
      <c r="E62" s="400"/>
      <c r="F62" s="400"/>
      <c r="G62" s="401"/>
      <c r="H62" s="400"/>
      <c r="I62" s="403"/>
      <c r="J62" s="157"/>
      <c r="K62" s="157"/>
      <c r="L62" s="157"/>
      <c r="M62" s="403"/>
      <c r="N62" s="403"/>
      <c r="O62" s="416"/>
      <c r="P62" s="417"/>
      <c r="Q62" s="405"/>
      <c r="R62" s="406"/>
      <c r="S62" s="405"/>
      <c r="T62" s="417"/>
      <c r="U62" s="405"/>
      <c r="V62" s="418"/>
      <c r="W62" s="149">
        <v>5</v>
      </c>
      <c r="X62" s="149"/>
      <c r="Y62" s="149"/>
      <c r="Z62" s="149"/>
      <c r="AA62" s="174" t="str">
        <f t="shared" si="1"/>
        <v xml:space="preserve">  </v>
      </c>
      <c r="AB62" s="126" t="str">
        <f t="shared" si="84"/>
        <v/>
      </c>
      <c r="AC62" s="127"/>
      <c r="AD62" s="127"/>
      <c r="AE62" s="128" t="str">
        <f t="shared" si="79"/>
        <v/>
      </c>
      <c r="AF62" s="127"/>
      <c r="AG62" s="127"/>
      <c r="AH62" s="127"/>
      <c r="AI62" s="129" t="str">
        <f t="shared" si="85"/>
        <v/>
      </c>
      <c r="AJ62" s="130" t="str">
        <f t="shared" si="3"/>
        <v/>
      </c>
      <c r="AK62" s="128" t="str">
        <f t="shared" si="80"/>
        <v/>
      </c>
      <c r="AL62" s="130" t="str">
        <f t="shared" si="5"/>
        <v/>
      </c>
      <c r="AM62" s="128" t="str">
        <f t="shared" si="15"/>
        <v/>
      </c>
      <c r="AN62" s="131" t="str">
        <f t="shared" ref="AN62:AN63" si="86">IFERROR(IF(OR(AND(AJ62="Muy Baja",AL62="Leve"),AND(AJ62="Muy Baja",AL62="Menor"),AND(AJ62="Baja",AL62="Leve")),"Bajo",IF(OR(AND(AJ62="Muy baja",AL62="Moderado"),AND(AJ62="Baja",AL62="Menor"),AND(AJ62="Baja",AL62="Moderado"),AND(AJ62="Media",AL62="Leve"),AND(AJ62="Media",AL62="Menor"),AND(AJ62="Media",AL62="Moderado"),AND(AJ62="Alta",AL62="Leve"),AND(AJ62="Alta",AL62="Menor")),"Moderado",IF(OR(AND(AJ62="Muy Baja",AL62="Mayor"),AND(AJ62="Baja",AL62="Mayor"),AND(AJ62="Media",AL62="Mayor"),AND(AJ62="Alta",AL62="Moderado"),AND(AJ62="Alta",AL62="Mayor"),AND(AJ62="Muy Alta",AL62="Leve"),AND(AJ62="Muy Alta",AL62="Menor"),AND(AJ62="Muy Alta",AL62="Moderado"),AND(AJ62="Muy Alta",AL62="Mayor")),"Alto",IF(OR(AND(AJ62="Muy Baja",AL62="Catastrófico"),AND(AJ62="Baja",AL62="Catastrófico"),AND(AJ62="Media",AL62="Catastrófico"),AND(AJ62="Alta",AL62="Catastrófico"),AND(AJ62="Muy Alta",AL62="Catastrófico")),"Extremo","")))),"")</f>
        <v/>
      </c>
      <c r="AO62" s="132"/>
      <c r="AP62" s="125"/>
      <c r="AQ62" s="133"/>
      <c r="AR62" s="133"/>
      <c r="AS62" s="134"/>
      <c r="AT62" s="416"/>
      <c r="AU62" s="416"/>
      <c r="AV62" s="416"/>
    </row>
    <row r="63" spans="1:48" x14ac:dyDescent="0.2">
      <c r="A63" s="398"/>
      <c r="B63" s="697"/>
      <c r="C63" s="400"/>
      <c r="D63" s="400"/>
      <c r="E63" s="400"/>
      <c r="F63" s="400"/>
      <c r="G63" s="401"/>
      <c r="H63" s="400"/>
      <c r="I63" s="404"/>
      <c r="J63" s="158"/>
      <c r="K63" s="158"/>
      <c r="L63" s="158"/>
      <c r="M63" s="404"/>
      <c r="N63" s="404"/>
      <c r="O63" s="416"/>
      <c r="P63" s="417"/>
      <c r="Q63" s="405"/>
      <c r="R63" s="406"/>
      <c r="S63" s="405"/>
      <c r="T63" s="417"/>
      <c r="U63" s="405"/>
      <c r="V63" s="418"/>
      <c r="W63" s="149">
        <v>6</v>
      </c>
      <c r="X63" s="149"/>
      <c r="Y63" s="149"/>
      <c r="Z63" s="149"/>
      <c r="AA63" s="174" t="str">
        <f t="shared" si="1"/>
        <v xml:space="preserve">  </v>
      </c>
      <c r="AB63" s="126" t="str">
        <f t="shared" si="84"/>
        <v/>
      </c>
      <c r="AC63" s="127"/>
      <c r="AD63" s="127"/>
      <c r="AE63" s="128" t="str">
        <f t="shared" si="79"/>
        <v/>
      </c>
      <c r="AF63" s="127"/>
      <c r="AG63" s="127"/>
      <c r="AH63" s="127"/>
      <c r="AI63" s="129" t="str">
        <f t="shared" si="85"/>
        <v/>
      </c>
      <c r="AJ63" s="130" t="str">
        <f t="shared" si="3"/>
        <v/>
      </c>
      <c r="AK63" s="128" t="str">
        <f t="shared" si="80"/>
        <v/>
      </c>
      <c r="AL63" s="130" t="str">
        <f t="shared" si="5"/>
        <v/>
      </c>
      <c r="AM63" s="128" t="str">
        <f t="shared" si="15"/>
        <v/>
      </c>
      <c r="AN63" s="131" t="str">
        <f t="shared" si="86"/>
        <v/>
      </c>
      <c r="AO63" s="132"/>
      <c r="AP63" s="125"/>
      <c r="AQ63" s="133"/>
      <c r="AR63" s="133"/>
      <c r="AS63" s="134"/>
      <c r="AT63" s="416"/>
      <c r="AU63" s="416"/>
      <c r="AV63" s="416"/>
    </row>
    <row r="64" spans="1:48" x14ac:dyDescent="0.2">
      <c r="A64" s="398">
        <v>10</v>
      </c>
      <c r="B64" s="697"/>
      <c r="C64" s="400"/>
      <c r="D64" s="400"/>
      <c r="E64" s="400"/>
      <c r="F64" s="400"/>
      <c r="G64" s="401" t="str">
        <f t="shared" ref="G64" si="87">+CONCATENATE(C64," ",D64," ",E64)</f>
        <v xml:space="preserve">  </v>
      </c>
      <c r="H64" s="400"/>
      <c r="I64" s="402"/>
      <c r="J64" s="156"/>
      <c r="K64" s="156"/>
      <c r="L64" s="156"/>
      <c r="M64" s="402"/>
      <c r="N64" s="402"/>
      <c r="O64" s="416"/>
      <c r="P64" s="417" t="str">
        <f>IF(O64&lt;=0,"",IF(O64&lt;=2,"Muy Baja",IF(O64&lt;=24,"Baja",IF(O64&lt;=500,"Media",IF(O64&lt;=5000,"Alta","Muy Alta")))))</f>
        <v/>
      </c>
      <c r="Q64" s="405" t="str">
        <f>IF(P64="","",IF(P64="Muy Baja",0.2,IF(P64="Baja",0.4,IF(P64="Media",0.6,IF(P64="Alta",0.8,IF(P64="Muy Alta",1,))))))</f>
        <v/>
      </c>
      <c r="R64" s="406"/>
      <c r="S64" s="405">
        <f>IF(NOT(ISERROR(MATCH(R64,'[3]Tabla Impacto'!$B$245:$B$249,0))),'[3]Tabla Impacto'!$F$224&amp;"Por favor no seleccionar los criterios de impacto(Reputacional, Operativo, Legal, ni Contagio)",R64)</f>
        <v>0</v>
      </c>
      <c r="T64" s="417" t="str">
        <f>IF(OR(S64='[3]Tabla Impacto'!$C$12,S64='[3]Tabla Impacto'!$D$12),"Leve",IF(OR(S64='[3]Tabla Impacto'!$C$13,S64='[3]Tabla Impacto'!$D$13),"Menor",IF(OR(S64='[3]Tabla Impacto'!$C$14,S64='[3]Tabla Impacto'!$D$14),"Moderado",IF(OR(S64='[3]Tabla Impacto'!$C$15,S64='[3]Tabla Impacto'!$D$15),"Mayor",IF(OR(S64='[3]Tabla Impacto'!$C$16,S64='[3]Tabla Impacto'!$D$16),"Catastrófico","")))))</f>
        <v/>
      </c>
      <c r="U64" s="405" t="str">
        <f>IF(T64="","",IF(T64="Leve",0.2,IF(T64="Menor",0.4,IF(T64="Moderado",0.6,IF(T64="Mayor",0.8,IF(T64="Catastrófico",1,))))))</f>
        <v/>
      </c>
      <c r="V64" s="418" t="str">
        <f>IF(OR(AND(P64="Muy Baja",T64="Leve"),AND(P64="Muy Baja",T64="Menor"),AND(P64="Baja",T64="Leve")),"Bajo",IF(OR(AND(P64="Muy baja",T64="Moderado"),AND(P64="Baja",T64="Menor"),AND(P64="Baja",T64="Moderado"),AND(P64="Media",T64="Leve"),AND(P64="Media",T64="Menor"),AND(P64="Media",T64="Moderado"),AND(P64="Alta",T64="Leve"),AND(P64="Alta",T64="Menor")),"Moderado",IF(OR(AND(P64="Muy Baja",T64="Mayor"),AND(P64="Baja",T64="Mayor"),AND(P64="Media",T64="Mayor"),AND(P64="Alta",T64="Moderado"),AND(P64="Alta",T64="Mayor"),AND(P64="Muy Alta",T64="Leve"),AND(P64="Muy Alta",T64="Menor"),AND(P64="Muy Alta",T64="Moderado"),AND(P64="Muy Alta",T64="Mayor")),"Alto",IF(OR(AND(P64="Muy Baja",T64="Catastrófico"),AND(P64="Baja",T64="Catastrófico"),AND(P64="Media",T64="Catastrófico"),AND(P64="Alta",T64="Catastrófico"),AND(P64="Muy Alta",T64="Catastrófico")),"Extremo",""))))</f>
        <v/>
      </c>
      <c r="W64" s="149">
        <v>1</v>
      </c>
      <c r="X64" s="149"/>
      <c r="Y64" s="149"/>
      <c r="Z64" s="149"/>
      <c r="AA64" s="174" t="str">
        <f t="shared" si="1"/>
        <v xml:space="preserve">  </v>
      </c>
      <c r="AB64" s="126" t="str">
        <f>IF(OR(AC64="Preventivo",AC64="Detectivo"),"Probabilidad",IF(AC64="Correctivo","Impacto",""))</f>
        <v/>
      </c>
      <c r="AC64" s="127"/>
      <c r="AD64" s="127"/>
      <c r="AE64" s="128" t="str">
        <f>IF(AND(AC64="Preventivo",AD64="Automático"),"50%",IF(AND(AC64="Preventivo",AD64="Manual"),"40%",IF(AND(AC64="Detectivo",AD64="Automático"),"40%",IF(AND(AC64="Detectivo",AD64="Manual"),"30%",IF(AND(AC64="Correctivo",AD64="Automático"),"35%",IF(AND(AC64="Correctivo",AD64="Manual"),"25%",""))))))</f>
        <v/>
      </c>
      <c r="AF64" s="127"/>
      <c r="AG64" s="127"/>
      <c r="AH64" s="127"/>
      <c r="AI64" s="129" t="str">
        <f>IFERROR(IF(AB64="Probabilidad",(Q64-(+Q64*AE64)),IF(AB64="Impacto",Q64,"")),"")</f>
        <v/>
      </c>
      <c r="AJ64" s="130" t="str">
        <f>IFERROR(IF(AI64="","",IF(AI64&lt;=0.2,"Muy Baja",IF(AI64&lt;=0.4,"Baja",IF(AI64&lt;=0.6,"Media",IF(AI64&lt;=0.8,"Alta","Muy Alta"))))),"")</f>
        <v/>
      </c>
      <c r="AK64" s="128" t="str">
        <f>+AI64</f>
        <v/>
      </c>
      <c r="AL64" s="130" t="str">
        <f>IFERROR(IF(AM64="","",IF(AM64&lt;=0.2,"Leve",IF(AM64&lt;=0.4,"Menor",IF(AM64&lt;=0.6,"Moderado",IF(AM64&lt;=0.8,"Mayor","Catastrófico"))))),"")</f>
        <v/>
      </c>
      <c r="AM64" s="128" t="str">
        <f t="shared" ref="AM64" si="88">IFERROR(IF(AB64="Impacto",(U64-(+U64*AE64)),IF(AB64="Probabilidad",U64,"")),"")</f>
        <v/>
      </c>
      <c r="AN64" s="131" t="str">
        <f>IFERROR(IF(OR(AND(AJ64="Muy Baja",AL64="Leve"),AND(AJ64="Muy Baja",AL64="Menor"),AND(AJ64="Baja",AL64="Leve")),"Bajo",IF(OR(AND(AJ64="Muy baja",AL64="Moderado"),AND(AJ64="Baja",AL64="Menor"),AND(AJ64="Baja",AL64="Moderado"),AND(AJ64="Media",AL64="Leve"),AND(AJ64="Media",AL64="Menor"),AND(AJ64="Media",AL64="Moderado"),AND(AJ64="Alta",AL64="Leve"),AND(AJ64="Alta",AL64="Menor")),"Moderado",IF(OR(AND(AJ64="Muy Baja",AL64="Mayor"),AND(AJ64="Baja",AL64="Mayor"),AND(AJ64="Media",AL64="Mayor"),AND(AJ64="Alta",AL64="Moderado"),AND(AJ64="Alta",AL64="Mayor"),AND(AJ64="Muy Alta",AL64="Leve"),AND(AJ64="Muy Alta",AL64="Menor"),AND(AJ64="Muy Alta",AL64="Moderado"),AND(AJ64="Muy Alta",AL64="Mayor")),"Alto",IF(OR(AND(AJ64="Muy Baja",AL64="Catastrófico"),AND(AJ64="Baja",AL64="Catastrófico"),AND(AJ64="Media",AL64="Catastrófico"),AND(AJ64="Alta",AL64="Catastrófico"),AND(AJ64="Muy Alta",AL64="Catastrófico")),"Extremo","")))),"")</f>
        <v/>
      </c>
      <c r="AO64" s="132"/>
      <c r="AP64" s="125"/>
      <c r="AQ64" s="133"/>
      <c r="AR64" s="133"/>
      <c r="AS64" s="134"/>
      <c r="AT64" s="416"/>
      <c r="AU64" s="416"/>
      <c r="AV64" s="416"/>
    </row>
    <row r="65" spans="1:48" x14ac:dyDescent="0.2">
      <c r="A65" s="398"/>
      <c r="B65" s="697"/>
      <c r="C65" s="400"/>
      <c r="D65" s="400"/>
      <c r="E65" s="400"/>
      <c r="F65" s="400"/>
      <c r="G65" s="401"/>
      <c r="H65" s="400"/>
      <c r="I65" s="403"/>
      <c r="J65" s="157"/>
      <c r="K65" s="157"/>
      <c r="L65" s="157"/>
      <c r="M65" s="403"/>
      <c r="N65" s="403"/>
      <c r="O65" s="416"/>
      <c r="P65" s="417"/>
      <c r="Q65" s="405"/>
      <c r="R65" s="406"/>
      <c r="S65" s="405"/>
      <c r="T65" s="417"/>
      <c r="U65" s="405"/>
      <c r="V65" s="418"/>
      <c r="W65" s="149">
        <v>2</v>
      </c>
      <c r="X65" s="149"/>
      <c r="Y65" s="149"/>
      <c r="Z65" s="149"/>
      <c r="AA65" s="174" t="str">
        <f t="shared" si="1"/>
        <v xml:space="preserve">  </v>
      </c>
      <c r="AB65" s="126" t="str">
        <f>IF(OR(AC65="Preventivo",AC65="Detectivo"),"Probabilidad",IF(AC65="Correctivo","Impacto",""))</f>
        <v/>
      </c>
      <c r="AC65" s="127"/>
      <c r="AD65" s="127"/>
      <c r="AE65" s="128" t="str">
        <f t="shared" ref="AE65:AE69" si="89">IF(AND(AC65="Preventivo",AD65="Automático"),"50%",IF(AND(AC65="Preventivo",AD65="Manual"),"40%",IF(AND(AC65="Detectivo",AD65="Automático"),"40%",IF(AND(AC65="Detectivo",AD65="Manual"),"30%",IF(AND(AC65="Correctivo",AD65="Automático"),"35%",IF(AND(AC65="Correctivo",AD65="Manual"),"25%",""))))))</f>
        <v/>
      </c>
      <c r="AF65" s="127"/>
      <c r="AG65" s="127"/>
      <c r="AH65" s="127"/>
      <c r="AI65" s="129" t="str">
        <f>IFERROR(IF(AND(AB64="Probabilidad",AB65="Probabilidad"),(AK64-(+AK64*AE65)),IF(AB65="Probabilidad",(Q64-(+Q64*AE65)),IF(AB65="Impacto",AK64,""))),"")</f>
        <v/>
      </c>
      <c r="AJ65" s="130" t="str">
        <f t="shared" si="3"/>
        <v/>
      </c>
      <c r="AK65" s="128" t="str">
        <f t="shared" ref="AK65:AK69" si="90">+AI65</f>
        <v/>
      </c>
      <c r="AL65" s="130" t="str">
        <f t="shared" si="5"/>
        <v/>
      </c>
      <c r="AM65" s="128" t="str">
        <f t="shared" ref="AM65" si="91">IFERROR(IF(AND(AB64="Impacto",AB65="Impacto"),(AM64-(+AM64*AE65)),IF(AB65="Impacto",($U$10-(+$U$10*AE65)),IF(AB65="Probabilidad",AM64,""))),"")</f>
        <v/>
      </c>
      <c r="AN65" s="131" t="str">
        <f t="shared" ref="AN65:AN66" si="92">IFERROR(IF(OR(AND(AJ65="Muy Baja",AL65="Leve"),AND(AJ65="Muy Baja",AL65="Menor"),AND(AJ65="Baja",AL65="Leve")),"Bajo",IF(OR(AND(AJ65="Muy baja",AL65="Moderado"),AND(AJ65="Baja",AL65="Menor"),AND(AJ65="Baja",AL65="Moderado"),AND(AJ65="Media",AL65="Leve"),AND(AJ65="Media",AL65="Menor"),AND(AJ65="Media",AL65="Moderado"),AND(AJ65="Alta",AL65="Leve"),AND(AJ65="Alta",AL65="Menor")),"Moderado",IF(OR(AND(AJ65="Muy Baja",AL65="Mayor"),AND(AJ65="Baja",AL65="Mayor"),AND(AJ65="Media",AL65="Mayor"),AND(AJ65="Alta",AL65="Moderado"),AND(AJ65="Alta",AL65="Mayor"),AND(AJ65="Muy Alta",AL65="Leve"),AND(AJ65="Muy Alta",AL65="Menor"),AND(AJ65="Muy Alta",AL65="Moderado"),AND(AJ65="Muy Alta",AL65="Mayor")),"Alto",IF(OR(AND(AJ65="Muy Baja",AL65="Catastrófico"),AND(AJ65="Baja",AL65="Catastrófico"),AND(AJ65="Media",AL65="Catastrófico"),AND(AJ65="Alta",AL65="Catastrófico"),AND(AJ65="Muy Alta",AL65="Catastrófico")),"Extremo","")))),"")</f>
        <v/>
      </c>
      <c r="AO65" s="132"/>
      <c r="AP65" s="125"/>
      <c r="AQ65" s="133"/>
      <c r="AR65" s="133"/>
      <c r="AS65" s="134"/>
      <c r="AT65" s="416"/>
      <c r="AU65" s="416"/>
      <c r="AV65" s="416"/>
    </row>
    <row r="66" spans="1:48" x14ac:dyDescent="0.2">
      <c r="A66" s="398"/>
      <c r="B66" s="697"/>
      <c r="C66" s="400"/>
      <c r="D66" s="400"/>
      <c r="E66" s="400"/>
      <c r="F66" s="400"/>
      <c r="G66" s="401"/>
      <c r="H66" s="400"/>
      <c r="I66" s="403"/>
      <c r="J66" s="157"/>
      <c r="K66" s="157"/>
      <c r="L66" s="157"/>
      <c r="M66" s="403"/>
      <c r="N66" s="403"/>
      <c r="O66" s="416"/>
      <c r="P66" s="417"/>
      <c r="Q66" s="405"/>
      <c r="R66" s="406"/>
      <c r="S66" s="405"/>
      <c r="T66" s="417"/>
      <c r="U66" s="405"/>
      <c r="V66" s="418"/>
      <c r="W66" s="149">
        <v>3</v>
      </c>
      <c r="X66" s="149"/>
      <c r="Y66" s="149"/>
      <c r="Z66" s="149"/>
      <c r="AA66" s="174" t="str">
        <f t="shared" si="1"/>
        <v xml:space="preserve">  </v>
      </c>
      <c r="AB66" s="126" t="str">
        <f>IF(OR(AC66="Preventivo",AC66="Detectivo"),"Probabilidad",IF(AC66="Correctivo","Impacto",""))</f>
        <v/>
      </c>
      <c r="AC66" s="127"/>
      <c r="AD66" s="127"/>
      <c r="AE66" s="128" t="str">
        <f t="shared" si="89"/>
        <v/>
      </c>
      <c r="AF66" s="127"/>
      <c r="AG66" s="127"/>
      <c r="AH66" s="127"/>
      <c r="AI66" s="129" t="str">
        <f>IFERROR(IF(AND(AB65="Probabilidad",AB66="Probabilidad"),(AK65-(+AK65*AE66)),IF(AND(AB65="Impacto",AB66="Probabilidad"),(AK64-(+AK64*AE66)),IF(AB66="Impacto",AK65,""))),"")</f>
        <v/>
      </c>
      <c r="AJ66" s="130" t="str">
        <f t="shared" si="3"/>
        <v/>
      </c>
      <c r="AK66" s="128" t="str">
        <f t="shared" si="90"/>
        <v/>
      </c>
      <c r="AL66" s="130" t="str">
        <f t="shared" si="5"/>
        <v/>
      </c>
      <c r="AM66" s="128" t="str">
        <f t="shared" ref="AM66" si="93">IFERROR(IF(AND(AB65="Impacto",AB66="Impacto"),(AM65-(+AM65*AE66)),IF(AND(AB65="Probabilidad",AB66="Impacto"),(AM64-(+AM64*AE66)),IF(AB66="Probabilidad",AM65,""))),"")</f>
        <v/>
      </c>
      <c r="AN66" s="131" t="str">
        <f t="shared" si="92"/>
        <v/>
      </c>
      <c r="AO66" s="132"/>
      <c r="AP66" s="125"/>
      <c r="AQ66" s="133"/>
      <c r="AR66" s="133"/>
      <c r="AS66" s="134"/>
      <c r="AT66" s="416"/>
      <c r="AU66" s="416"/>
      <c r="AV66" s="416"/>
    </row>
    <row r="67" spans="1:48" x14ac:dyDescent="0.2">
      <c r="A67" s="398"/>
      <c r="B67" s="697"/>
      <c r="C67" s="400"/>
      <c r="D67" s="400"/>
      <c r="E67" s="400"/>
      <c r="F67" s="400"/>
      <c r="G67" s="401"/>
      <c r="H67" s="400"/>
      <c r="I67" s="403"/>
      <c r="J67" s="157"/>
      <c r="K67" s="157"/>
      <c r="L67" s="157"/>
      <c r="M67" s="403"/>
      <c r="N67" s="403"/>
      <c r="O67" s="416"/>
      <c r="P67" s="417"/>
      <c r="Q67" s="405"/>
      <c r="R67" s="406"/>
      <c r="S67" s="405"/>
      <c r="T67" s="417"/>
      <c r="U67" s="405"/>
      <c r="V67" s="418"/>
      <c r="W67" s="149">
        <v>4</v>
      </c>
      <c r="X67" s="149"/>
      <c r="Y67" s="149"/>
      <c r="Z67" s="149"/>
      <c r="AA67" s="174" t="str">
        <f t="shared" si="1"/>
        <v xml:space="preserve">  </v>
      </c>
      <c r="AB67" s="126" t="str">
        <f t="shared" ref="AB67:AB69" si="94">IF(OR(AC67="Preventivo",AC67="Detectivo"),"Probabilidad",IF(AC67="Correctivo","Impacto",""))</f>
        <v/>
      </c>
      <c r="AC67" s="127"/>
      <c r="AD67" s="127"/>
      <c r="AE67" s="128" t="str">
        <f t="shared" si="89"/>
        <v/>
      </c>
      <c r="AF67" s="127"/>
      <c r="AG67" s="127"/>
      <c r="AH67" s="127"/>
      <c r="AI67" s="129" t="str">
        <f t="shared" ref="AI67:AI69" si="95">IFERROR(IF(AND(AB66="Probabilidad",AB67="Probabilidad"),(AK66-(+AK66*AE67)),IF(AND(AB66="Impacto",AB67="Probabilidad"),(AK65-(+AK65*AE67)),IF(AB67="Impacto",AK66,""))),"")</f>
        <v/>
      </c>
      <c r="AJ67" s="130" t="str">
        <f t="shared" si="3"/>
        <v/>
      </c>
      <c r="AK67" s="128" t="str">
        <f t="shared" si="90"/>
        <v/>
      </c>
      <c r="AL67" s="130" t="str">
        <f t="shared" si="5"/>
        <v/>
      </c>
      <c r="AM67" s="128" t="str">
        <f t="shared" si="15"/>
        <v/>
      </c>
      <c r="AN67" s="131" t="str">
        <f>IFERROR(IF(OR(AND(AJ67="Muy Baja",AL67="Leve"),AND(AJ67="Muy Baja",AL67="Menor"),AND(AJ67="Baja",AL67="Leve")),"Bajo",IF(OR(AND(AJ67="Muy baja",AL67="Moderado"),AND(AJ67="Baja",AL67="Menor"),AND(AJ67="Baja",AL67="Moderado"),AND(AJ67="Media",AL67="Leve"),AND(AJ67="Media",AL67="Menor"),AND(AJ67="Media",AL67="Moderado"),AND(AJ67="Alta",AL67="Leve"),AND(AJ67="Alta",AL67="Menor")),"Moderado",IF(OR(AND(AJ67="Muy Baja",AL67="Mayor"),AND(AJ67="Baja",AL67="Mayor"),AND(AJ67="Media",AL67="Mayor"),AND(AJ67="Alta",AL67="Moderado"),AND(AJ67="Alta",AL67="Mayor"),AND(AJ67="Muy Alta",AL67="Leve"),AND(AJ67="Muy Alta",AL67="Menor"),AND(AJ67="Muy Alta",AL67="Moderado"),AND(AJ67="Muy Alta",AL67="Mayor")),"Alto",IF(OR(AND(AJ67="Muy Baja",AL67="Catastrófico"),AND(AJ67="Baja",AL67="Catastrófico"),AND(AJ67="Media",AL67="Catastrófico"),AND(AJ67="Alta",AL67="Catastrófico"),AND(AJ67="Muy Alta",AL67="Catastrófico")),"Extremo","")))),"")</f>
        <v/>
      </c>
      <c r="AO67" s="132"/>
      <c r="AP67" s="125"/>
      <c r="AQ67" s="133"/>
      <c r="AR67" s="133"/>
      <c r="AS67" s="134"/>
      <c r="AT67" s="416"/>
      <c r="AU67" s="416"/>
      <c r="AV67" s="416"/>
    </row>
    <row r="68" spans="1:48" x14ac:dyDescent="0.2">
      <c r="A68" s="398"/>
      <c r="B68" s="697"/>
      <c r="C68" s="400"/>
      <c r="D68" s="400"/>
      <c r="E68" s="400"/>
      <c r="F68" s="400"/>
      <c r="G68" s="401"/>
      <c r="H68" s="400"/>
      <c r="I68" s="403"/>
      <c r="J68" s="157"/>
      <c r="K68" s="157"/>
      <c r="L68" s="157"/>
      <c r="M68" s="403"/>
      <c r="N68" s="403"/>
      <c r="O68" s="416"/>
      <c r="P68" s="417"/>
      <c r="Q68" s="405"/>
      <c r="R68" s="406"/>
      <c r="S68" s="405"/>
      <c r="T68" s="417"/>
      <c r="U68" s="405"/>
      <c r="V68" s="418"/>
      <c r="W68" s="149">
        <v>5</v>
      </c>
      <c r="X68" s="149"/>
      <c r="Y68" s="149"/>
      <c r="Z68" s="149"/>
      <c r="AA68" s="174" t="str">
        <f t="shared" si="1"/>
        <v xml:space="preserve">  </v>
      </c>
      <c r="AB68" s="126" t="str">
        <f t="shared" si="94"/>
        <v/>
      </c>
      <c r="AC68" s="127"/>
      <c r="AD68" s="127"/>
      <c r="AE68" s="128" t="str">
        <f t="shared" si="89"/>
        <v/>
      </c>
      <c r="AF68" s="127"/>
      <c r="AG68" s="127"/>
      <c r="AH68" s="127"/>
      <c r="AI68" s="129" t="str">
        <f t="shared" si="95"/>
        <v/>
      </c>
      <c r="AJ68" s="130" t="str">
        <f t="shared" si="3"/>
        <v/>
      </c>
      <c r="AK68" s="128" t="str">
        <f t="shared" si="90"/>
        <v/>
      </c>
      <c r="AL68" s="130" t="str">
        <f t="shared" si="5"/>
        <v/>
      </c>
      <c r="AM68" s="128" t="str">
        <f t="shared" si="15"/>
        <v/>
      </c>
      <c r="AN68" s="131" t="str">
        <f t="shared" ref="AN68:AN69" si="96">IFERROR(IF(OR(AND(AJ68="Muy Baja",AL68="Leve"),AND(AJ68="Muy Baja",AL68="Menor"),AND(AJ68="Baja",AL68="Leve")),"Bajo",IF(OR(AND(AJ68="Muy baja",AL68="Moderado"),AND(AJ68="Baja",AL68="Menor"),AND(AJ68="Baja",AL68="Moderado"),AND(AJ68="Media",AL68="Leve"),AND(AJ68="Media",AL68="Menor"),AND(AJ68="Media",AL68="Moderado"),AND(AJ68="Alta",AL68="Leve"),AND(AJ68="Alta",AL68="Menor")),"Moderado",IF(OR(AND(AJ68="Muy Baja",AL68="Mayor"),AND(AJ68="Baja",AL68="Mayor"),AND(AJ68="Media",AL68="Mayor"),AND(AJ68="Alta",AL68="Moderado"),AND(AJ68="Alta",AL68="Mayor"),AND(AJ68="Muy Alta",AL68="Leve"),AND(AJ68="Muy Alta",AL68="Menor"),AND(AJ68="Muy Alta",AL68="Moderado"),AND(AJ68="Muy Alta",AL68="Mayor")),"Alto",IF(OR(AND(AJ68="Muy Baja",AL68="Catastrófico"),AND(AJ68="Baja",AL68="Catastrófico"),AND(AJ68="Media",AL68="Catastrófico"),AND(AJ68="Alta",AL68="Catastrófico"),AND(AJ68="Muy Alta",AL68="Catastrófico")),"Extremo","")))),"")</f>
        <v/>
      </c>
      <c r="AO68" s="132"/>
      <c r="AP68" s="125"/>
      <c r="AQ68" s="133"/>
      <c r="AR68" s="133"/>
      <c r="AS68" s="134"/>
      <c r="AT68" s="416"/>
      <c r="AU68" s="416"/>
      <c r="AV68" s="416"/>
    </row>
    <row r="69" spans="1:48" x14ac:dyDescent="0.2">
      <c r="A69" s="398"/>
      <c r="B69" s="697"/>
      <c r="C69" s="400"/>
      <c r="D69" s="400"/>
      <c r="E69" s="400"/>
      <c r="F69" s="400"/>
      <c r="G69" s="401"/>
      <c r="H69" s="400"/>
      <c r="I69" s="404"/>
      <c r="J69" s="158"/>
      <c r="K69" s="158"/>
      <c r="L69" s="158"/>
      <c r="M69" s="404"/>
      <c r="N69" s="404"/>
      <c r="O69" s="416"/>
      <c r="P69" s="417"/>
      <c r="Q69" s="405"/>
      <c r="R69" s="406"/>
      <c r="S69" s="405"/>
      <c r="T69" s="417"/>
      <c r="U69" s="405"/>
      <c r="V69" s="418"/>
      <c r="W69" s="149">
        <v>6</v>
      </c>
      <c r="X69" s="149"/>
      <c r="Y69" s="149"/>
      <c r="Z69" s="149"/>
      <c r="AA69" s="174" t="str">
        <f t="shared" si="1"/>
        <v xml:space="preserve">  </v>
      </c>
      <c r="AB69" s="126" t="str">
        <f t="shared" si="94"/>
        <v/>
      </c>
      <c r="AC69" s="127"/>
      <c r="AD69" s="127"/>
      <c r="AE69" s="128" t="str">
        <f t="shared" si="89"/>
        <v/>
      </c>
      <c r="AF69" s="127"/>
      <c r="AG69" s="127"/>
      <c r="AH69" s="127"/>
      <c r="AI69" s="129" t="str">
        <f t="shared" si="95"/>
        <v/>
      </c>
      <c r="AJ69" s="130" t="str">
        <f t="shared" si="3"/>
        <v/>
      </c>
      <c r="AK69" s="128" t="str">
        <f t="shared" si="90"/>
        <v/>
      </c>
      <c r="AL69" s="130" t="str">
        <f t="shared" si="5"/>
        <v/>
      </c>
      <c r="AM69" s="128" t="str">
        <f t="shared" si="15"/>
        <v/>
      </c>
      <c r="AN69" s="131" t="str">
        <f t="shared" si="96"/>
        <v/>
      </c>
      <c r="AO69" s="132"/>
      <c r="AP69" s="125"/>
      <c r="AQ69" s="133"/>
      <c r="AR69" s="133"/>
      <c r="AS69" s="134"/>
      <c r="AT69" s="416"/>
      <c r="AU69" s="416"/>
      <c r="AV69" s="416"/>
    </row>
    <row r="70" spans="1:48" x14ac:dyDescent="0.2">
      <c r="A70" s="151"/>
      <c r="B70" s="305"/>
      <c r="C70" s="695"/>
      <c r="D70" s="696"/>
      <c r="E70" s="696"/>
      <c r="F70" s="696"/>
      <c r="G70" s="696"/>
      <c r="H70" s="696"/>
      <c r="I70" s="696"/>
      <c r="J70" s="696"/>
      <c r="K70" s="696"/>
      <c r="L70" s="696"/>
      <c r="M70" s="696"/>
      <c r="N70" s="696"/>
      <c r="O70" s="696"/>
      <c r="P70" s="696"/>
      <c r="Q70" s="696"/>
      <c r="R70" s="696"/>
      <c r="S70" s="696"/>
      <c r="T70" s="696"/>
      <c r="U70" s="696"/>
      <c r="V70" s="696"/>
      <c r="W70" s="696"/>
      <c r="X70" s="696"/>
      <c r="Y70" s="696"/>
      <c r="Z70" s="696"/>
      <c r="AA70" s="696"/>
      <c r="AB70" s="696"/>
      <c r="AC70" s="696"/>
      <c r="AD70" s="696"/>
      <c r="AE70" s="696"/>
      <c r="AF70" s="696"/>
      <c r="AG70" s="696"/>
      <c r="AH70" s="696"/>
      <c r="AI70" s="696"/>
      <c r="AJ70" s="696"/>
      <c r="AK70" s="696"/>
      <c r="AL70" s="696"/>
      <c r="AM70" s="696"/>
      <c r="AN70" s="696"/>
      <c r="AO70" s="696"/>
      <c r="AP70" s="696"/>
      <c r="AQ70" s="696"/>
      <c r="AR70" s="696"/>
      <c r="AS70" s="696"/>
      <c r="AT70" s="696"/>
    </row>
    <row r="72" spans="1:48" ht="15.75" x14ac:dyDescent="0.2">
      <c r="A72" s="135"/>
      <c r="B72" s="135"/>
      <c r="C72" s="142"/>
      <c r="D72" s="135"/>
      <c r="E72" s="135"/>
      <c r="F72" s="135"/>
      <c r="G72" s="135"/>
      <c r="O72" s="135"/>
    </row>
    <row r="73" spans="1:48" s="179" customFormat="1" x14ac:dyDescent="0.2">
      <c r="A73" s="178"/>
      <c r="B73" s="178"/>
      <c r="C73" s="178"/>
      <c r="D73" s="178"/>
      <c r="E73" s="178"/>
      <c r="F73" s="178"/>
      <c r="G73" s="178"/>
      <c r="O73" s="180"/>
      <c r="AP73" s="181"/>
    </row>
  </sheetData>
  <dataConsolidate/>
  <mergeCells count="300">
    <mergeCell ref="A1:D4"/>
    <mergeCell ref="E1:U2"/>
    <mergeCell ref="AB1:AV2"/>
    <mergeCell ref="E3:J3"/>
    <mergeCell ref="K3:U3"/>
    <mergeCell ref="AB3:AP3"/>
    <mergeCell ref="AQ3:AV3"/>
    <mergeCell ref="E4:U4"/>
    <mergeCell ref="AB4:AV4"/>
    <mergeCell ref="J8:J9"/>
    <mergeCell ref="K8:K9"/>
    <mergeCell ref="L8:L9"/>
    <mergeCell ref="AT7:AV7"/>
    <mergeCell ref="A8:A9"/>
    <mergeCell ref="B8:B9"/>
    <mergeCell ref="C8:C9"/>
    <mergeCell ref="D8:D9"/>
    <mergeCell ref="E8:E9"/>
    <mergeCell ref="F8:F9"/>
    <mergeCell ref="G8:G9"/>
    <mergeCell ref="H8:H9"/>
    <mergeCell ref="I8:I9"/>
    <mergeCell ref="A7:H7"/>
    <mergeCell ref="I7:L7"/>
    <mergeCell ref="M7:N8"/>
    <mergeCell ref="O7:V7"/>
    <mergeCell ref="W7:AI7"/>
    <mergeCell ref="AJ7:AN7"/>
    <mergeCell ref="AO7:AS7"/>
    <mergeCell ref="AR8:AR9"/>
    <mergeCell ref="AS8:AS9"/>
    <mergeCell ref="AT8:AT9"/>
    <mergeCell ref="AU8:AU9"/>
    <mergeCell ref="AU10:AU15"/>
    <mergeCell ref="AV10:AV15"/>
    <mergeCell ref="S10:S15"/>
    <mergeCell ref="T10:T15"/>
    <mergeCell ref="U10:U15"/>
    <mergeCell ref="V10:V15"/>
    <mergeCell ref="AT10:AT15"/>
    <mergeCell ref="A10:A15"/>
    <mergeCell ref="B10:B15"/>
    <mergeCell ref="C10:C15"/>
    <mergeCell ref="D10:D15"/>
    <mergeCell ref="E10:E15"/>
    <mergeCell ref="AV8:AV9"/>
    <mergeCell ref="AP8:AP9"/>
    <mergeCell ref="AQ8:AQ9"/>
    <mergeCell ref="O8:O9"/>
    <mergeCell ref="P8:P9"/>
    <mergeCell ref="Q8:Q9"/>
    <mergeCell ref="AL8:AL9"/>
    <mergeCell ref="AM8:AM9"/>
    <mergeCell ref="AN8:AN9"/>
    <mergeCell ref="AO8:AO9"/>
    <mergeCell ref="AA8:AA9"/>
    <mergeCell ref="AB8:AB9"/>
    <mergeCell ref="AC8:AH8"/>
    <mergeCell ref="AI8:AI9"/>
    <mergeCell ref="AJ8:AJ9"/>
    <mergeCell ref="AK8:AK9"/>
    <mergeCell ref="R8:R9"/>
    <mergeCell ref="S8:S9"/>
    <mergeCell ref="T8:T9"/>
    <mergeCell ref="U8:U9"/>
    <mergeCell ref="V8:V9"/>
    <mergeCell ref="W8:W9"/>
    <mergeCell ref="F16:F21"/>
    <mergeCell ref="G16:G21"/>
    <mergeCell ref="H16:H21"/>
    <mergeCell ref="R10:R15"/>
    <mergeCell ref="L10:L15"/>
    <mergeCell ref="M10:M15"/>
    <mergeCell ref="N10:N15"/>
    <mergeCell ref="O10:O15"/>
    <mergeCell ref="P10:P15"/>
    <mergeCell ref="Q10:Q15"/>
    <mergeCell ref="F10:F15"/>
    <mergeCell ref="G10:G15"/>
    <mergeCell ref="H10:H15"/>
    <mergeCell ref="I10:I15"/>
    <mergeCell ref="J10:J15"/>
    <mergeCell ref="K10:K15"/>
    <mergeCell ref="A22:A27"/>
    <mergeCell ref="B22:B27"/>
    <mergeCell ref="C22:C27"/>
    <mergeCell ref="D22:D27"/>
    <mergeCell ref="E22:E27"/>
    <mergeCell ref="O16:O21"/>
    <mergeCell ref="P16:P21"/>
    <mergeCell ref="Q16:Q21"/>
    <mergeCell ref="R16:R21"/>
    <mergeCell ref="I16:I21"/>
    <mergeCell ref="J16:J21"/>
    <mergeCell ref="K16:K21"/>
    <mergeCell ref="L16:L21"/>
    <mergeCell ref="M16:M21"/>
    <mergeCell ref="N16:N21"/>
    <mergeCell ref="H22:H27"/>
    <mergeCell ref="I22:I27"/>
    <mergeCell ref="J22:J27"/>
    <mergeCell ref="K22:K27"/>
    <mergeCell ref="A16:A21"/>
    <mergeCell ref="B16:B21"/>
    <mergeCell ref="C16:C21"/>
    <mergeCell ref="D16:D21"/>
    <mergeCell ref="E16:E21"/>
    <mergeCell ref="U16:U21"/>
    <mergeCell ref="V16:V21"/>
    <mergeCell ref="AT16:AT21"/>
    <mergeCell ref="AU16:AU21"/>
    <mergeCell ref="AV16:AV21"/>
    <mergeCell ref="S16:S21"/>
    <mergeCell ref="T16:T21"/>
    <mergeCell ref="AU22:AU27"/>
    <mergeCell ref="AV22:AV27"/>
    <mergeCell ref="S22:S27"/>
    <mergeCell ref="T22:T27"/>
    <mergeCell ref="U22:U27"/>
    <mergeCell ref="V22:V27"/>
    <mergeCell ref="AT22:AT27"/>
    <mergeCell ref="F28:F33"/>
    <mergeCell ref="G28:G33"/>
    <mergeCell ref="H28:H33"/>
    <mergeCell ref="R22:R27"/>
    <mergeCell ref="L22:L27"/>
    <mergeCell ref="M22:M27"/>
    <mergeCell ref="N22:N27"/>
    <mergeCell ref="O22:O27"/>
    <mergeCell ref="P22:P27"/>
    <mergeCell ref="Q22:Q27"/>
    <mergeCell ref="F22:F27"/>
    <mergeCell ref="G22:G27"/>
    <mergeCell ref="A34:A39"/>
    <mergeCell ref="B34:B39"/>
    <mergeCell ref="C34:C39"/>
    <mergeCell ref="D34:D39"/>
    <mergeCell ref="E34:E39"/>
    <mergeCell ref="O28:O33"/>
    <mergeCell ref="P28:P33"/>
    <mergeCell ref="Q28:Q33"/>
    <mergeCell ref="R28:R33"/>
    <mergeCell ref="I28:I33"/>
    <mergeCell ref="J28:J33"/>
    <mergeCell ref="K28:K33"/>
    <mergeCell ref="L28:L33"/>
    <mergeCell ref="M28:M33"/>
    <mergeCell ref="N28:N33"/>
    <mergeCell ref="H34:H39"/>
    <mergeCell ref="I34:I39"/>
    <mergeCell ref="J34:J39"/>
    <mergeCell ref="K34:K39"/>
    <mergeCell ref="A28:A33"/>
    <mergeCell ref="B28:B33"/>
    <mergeCell ref="C28:C33"/>
    <mergeCell ref="D28:D33"/>
    <mergeCell ref="E28:E33"/>
    <mergeCell ref="U28:U33"/>
    <mergeCell ref="V28:V33"/>
    <mergeCell ref="AT28:AT33"/>
    <mergeCell ref="AU28:AU33"/>
    <mergeCell ref="AV28:AV33"/>
    <mergeCell ref="S28:S33"/>
    <mergeCell ref="T28:T33"/>
    <mergeCell ref="AU34:AU39"/>
    <mergeCell ref="AV34:AV39"/>
    <mergeCell ref="S34:S39"/>
    <mergeCell ref="T34:T39"/>
    <mergeCell ref="U34:U39"/>
    <mergeCell ref="V34:V39"/>
    <mergeCell ref="AT34:AT39"/>
    <mergeCell ref="R34:R39"/>
    <mergeCell ref="L34:L39"/>
    <mergeCell ref="M34:M39"/>
    <mergeCell ref="N34:N39"/>
    <mergeCell ref="O34:O39"/>
    <mergeCell ref="P34:P39"/>
    <mergeCell ref="Q34:Q39"/>
    <mergeCell ref="F34:F39"/>
    <mergeCell ref="G34:G39"/>
    <mergeCell ref="J46:J51"/>
    <mergeCell ref="K46:K51"/>
    <mergeCell ref="A40:A45"/>
    <mergeCell ref="B40:B45"/>
    <mergeCell ref="C40:C45"/>
    <mergeCell ref="D40:D45"/>
    <mergeCell ref="E40:E45"/>
    <mergeCell ref="F40:F45"/>
    <mergeCell ref="G40:G45"/>
    <mergeCell ref="H40:H45"/>
    <mergeCell ref="O40:O45"/>
    <mergeCell ref="P40:P45"/>
    <mergeCell ref="Q40:Q45"/>
    <mergeCell ref="R40:R45"/>
    <mergeCell ref="I40:I45"/>
    <mergeCell ref="J40:J45"/>
    <mergeCell ref="K40:K45"/>
    <mergeCell ref="L40:L45"/>
    <mergeCell ref="M40:M45"/>
    <mergeCell ref="N40:N45"/>
    <mergeCell ref="U40:U45"/>
    <mergeCell ref="V40:V45"/>
    <mergeCell ref="AT40:AT45"/>
    <mergeCell ref="AU40:AU45"/>
    <mergeCell ref="AV40:AV45"/>
    <mergeCell ref="S40:S45"/>
    <mergeCell ref="T40:T45"/>
    <mergeCell ref="AU46:AU51"/>
    <mergeCell ref="AV46:AV51"/>
    <mergeCell ref="S46:S51"/>
    <mergeCell ref="T46:T51"/>
    <mergeCell ref="U46:U51"/>
    <mergeCell ref="V46:V51"/>
    <mergeCell ref="AT46:AT51"/>
    <mergeCell ref="A52:A57"/>
    <mergeCell ref="B52:B57"/>
    <mergeCell ref="C52:C57"/>
    <mergeCell ref="D52:D57"/>
    <mergeCell ref="E52:E57"/>
    <mergeCell ref="F52:F57"/>
    <mergeCell ref="G52:G57"/>
    <mergeCell ref="H52:H57"/>
    <mergeCell ref="R46:R51"/>
    <mergeCell ref="L46:L51"/>
    <mergeCell ref="M46:M51"/>
    <mergeCell ref="N46:N51"/>
    <mergeCell ref="O46:O51"/>
    <mergeCell ref="P46:P51"/>
    <mergeCell ref="Q46:Q51"/>
    <mergeCell ref="F46:F51"/>
    <mergeCell ref="G46:G51"/>
    <mergeCell ref="A46:A51"/>
    <mergeCell ref="B46:B51"/>
    <mergeCell ref="C46:C51"/>
    <mergeCell ref="D46:D51"/>
    <mergeCell ref="E46:E51"/>
    <mergeCell ref="H46:H51"/>
    <mergeCell ref="I46:I51"/>
    <mergeCell ref="U52:U57"/>
    <mergeCell ref="V52:V57"/>
    <mergeCell ref="AT52:AT57"/>
    <mergeCell ref="AU52:AU57"/>
    <mergeCell ref="AV52:AV57"/>
    <mergeCell ref="A58:A63"/>
    <mergeCell ref="B58:B63"/>
    <mergeCell ref="C58:C63"/>
    <mergeCell ref="D58:D63"/>
    <mergeCell ref="E58:E63"/>
    <mergeCell ref="O52:O57"/>
    <mergeCell ref="P52:P57"/>
    <mergeCell ref="Q52:Q57"/>
    <mergeCell ref="R52:R57"/>
    <mergeCell ref="S52:S57"/>
    <mergeCell ref="T52:T57"/>
    <mergeCell ref="I52:I57"/>
    <mergeCell ref="J52:J57"/>
    <mergeCell ref="K52:K57"/>
    <mergeCell ref="L52:L57"/>
    <mergeCell ref="M52:M57"/>
    <mergeCell ref="N52:N57"/>
    <mergeCell ref="U58:U63"/>
    <mergeCell ref="V58:V63"/>
    <mergeCell ref="AT58:AT63"/>
    <mergeCell ref="AU58:AU63"/>
    <mergeCell ref="AV58:AV63"/>
    <mergeCell ref="A64:A69"/>
    <mergeCell ref="B64:B69"/>
    <mergeCell ref="C64:C69"/>
    <mergeCell ref="D64:D69"/>
    <mergeCell ref="E64:E69"/>
    <mergeCell ref="O58:O63"/>
    <mergeCell ref="P58:P63"/>
    <mergeCell ref="Q58:Q63"/>
    <mergeCell ref="R58:R63"/>
    <mergeCell ref="S58:S63"/>
    <mergeCell ref="T58:T63"/>
    <mergeCell ref="F58:F63"/>
    <mergeCell ref="G58:G63"/>
    <mergeCell ref="H58:H63"/>
    <mergeCell ref="I58:I63"/>
    <mergeCell ref="M58:M63"/>
    <mergeCell ref="N58:N63"/>
    <mergeCell ref="U64:U69"/>
    <mergeCell ref="V64:V69"/>
    <mergeCell ref="AT64:AT69"/>
    <mergeCell ref="AU64:AU69"/>
    <mergeCell ref="AV64:AV69"/>
    <mergeCell ref="C70:AT70"/>
    <mergeCell ref="O64:O69"/>
    <mergeCell ref="P64:P69"/>
    <mergeCell ref="Q64:Q69"/>
    <mergeCell ref="R64:R69"/>
    <mergeCell ref="S64:S69"/>
    <mergeCell ref="T64:T69"/>
    <mergeCell ref="F64:F69"/>
    <mergeCell ref="G64:G69"/>
    <mergeCell ref="H64:H69"/>
    <mergeCell ref="I64:I69"/>
    <mergeCell ref="M64:M69"/>
    <mergeCell ref="N64:N69"/>
  </mergeCells>
  <conditionalFormatting sqref="P10 P16">
    <cfRule type="cellIs" dxfId="109" priority="140" operator="equal">
      <formula>"Alta"</formula>
    </cfRule>
    <cfRule type="cellIs" dxfId="108" priority="139" operator="equal">
      <formula>"Muy Alta"</formula>
    </cfRule>
    <cfRule type="cellIs" dxfId="107" priority="142" operator="equal">
      <formula>"Baja"</formula>
    </cfRule>
    <cfRule type="cellIs" dxfId="106" priority="143" operator="equal">
      <formula>"Muy Baja"</formula>
    </cfRule>
    <cfRule type="cellIs" dxfId="105" priority="141" operator="equal">
      <formula>"Media"</formula>
    </cfRule>
  </conditionalFormatting>
  <conditionalFormatting sqref="P22">
    <cfRule type="cellIs" dxfId="104" priority="36" operator="equal">
      <formula>"Media"</formula>
    </cfRule>
    <cfRule type="cellIs" dxfId="103" priority="34" operator="equal">
      <formula>"Muy Alta"</formula>
    </cfRule>
    <cfRule type="cellIs" dxfId="102" priority="35" operator="equal">
      <formula>"Alta"</formula>
    </cfRule>
    <cfRule type="cellIs" dxfId="101" priority="37" operator="equal">
      <formula>"Baja"</formula>
    </cfRule>
    <cfRule type="cellIs" dxfId="100" priority="38" operator="equal">
      <formula>"Muy Baja"</formula>
    </cfRule>
  </conditionalFormatting>
  <conditionalFormatting sqref="P28">
    <cfRule type="cellIs" dxfId="99" priority="115" operator="equal">
      <formula>"Baja"</formula>
    </cfRule>
    <cfRule type="cellIs" dxfId="98" priority="116" operator="equal">
      <formula>"Muy Baja"</formula>
    </cfRule>
    <cfRule type="cellIs" dxfId="97" priority="114" operator="equal">
      <formula>"Media"</formula>
    </cfRule>
    <cfRule type="cellIs" dxfId="96" priority="113" operator="equal">
      <formula>"Alta"</formula>
    </cfRule>
    <cfRule type="cellIs" dxfId="95" priority="112" operator="equal">
      <formula>"Muy Alta"</formula>
    </cfRule>
  </conditionalFormatting>
  <conditionalFormatting sqref="P34">
    <cfRule type="cellIs" dxfId="94" priority="103" operator="equal">
      <formula>"Muy Alta"</formula>
    </cfRule>
    <cfRule type="cellIs" dxfId="93" priority="107" operator="equal">
      <formula>"Muy Baja"</formula>
    </cfRule>
    <cfRule type="cellIs" dxfId="92" priority="106" operator="equal">
      <formula>"Baja"</formula>
    </cfRule>
    <cfRule type="cellIs" dxfId="91" priority="105" operator="equal">
      <formula>"Media"</formula>
    </cfRule>
    <cfRule type="cellIs" dxfId="90" priority="104" operator="equal">
      <formula>"Alta"</formula>
    </cfRule>
  </conditionalFormatting>
  <conditionalFormatting sqref="P40">
    <cfRule type="cellIs" dxfId="89" priority="94" operator="equal">
      <formula>"Muy Alta"</formula>
    </cfRule>
    <cfRule type="cellIs" dxfId="88" priority="95" operator="equal">
      <formula>"Alta"</formula>
    </cfRule>
    <cfRule type="cellIs" dxfId="87" priority="96" operator="equal">
      <formula>"Media"</formula>
    </cfRule>
    <cfRule type="cellIs" dxfId="86" priority="97" operator="equal">
      <formula>"Baja"</formula>
    </cfRule>
    <cfRule type="cellIs" dxfId="85" priority="98" operator="equal">
      <formula>"Muy Baja"</formula>
    </cfRule>
  </conditionalFormatting>
  <conditionalFormatting sqref="P46">
    <cfRule type="cellIs" dxfId="84" priority="87" operator="equal">
      <formula>"Media"</formula>
    </cfRule>
    <cfRule type="cellIs" dxfId="83" priority="86" operator="equal">
      <formula>"Alta"</formula>
    </cfRule>
    <cfRule type="cellIs" dxfId="82" priority="85" operator="equal">
      <formula>"Muy Alta"</formula>
    </cfRule>
    <cfRule type="cellIs" dxfId="81" priority="88" operator="equal">
      <formula>"Baja"</formula>
    </cfRule>
    <cfRule type="cellIs" dxfId="80" priority="89" operator="equal">
      <formula>"Muy Baja"</formula>
    </cfRule>
  </conditionalFormatting>
  <conditionalFormatting sqref="P52">
    <cfRule type="cellIs" dxfId="79" priority="40" operator="equal">
      <formula>"Alta"</formula>
    </cfRule>
    <cfRule type="cellIs" dxfId="78" priority="41" operator="equal">
      <formula>"Media"</formula>
    </cfRule>
    <cfRule type="cellIs" dxfId="77" priority="42" operator="equal">
      <formula>"Baja"</formula>
    </cfRule>
    <cfRule type="cellIs" dxfId="76" priority="43" operator="equal">
      <formula>"Muy Baja"</formula>
    </cfRule>
    <cfRule type="cellIs" dxfId="75" priority="39" operator="equal">
      <formula>"Muy Alta"</formula>
    </cfRule>
  </conditionalFormatting>
  <conditionalFormatting sqref="P58">
    <cfRule type="cellIs" dxfId="74" priority="73" operator="equal">
      <formula>"Alta"</formula>
    </cfRule>
    <cfRule type="cellIs" dxfId="73" priority="74" operator="equal">
      <formula>"Media"</formula>
    </cfRule>
    <cfRule type="cellIs" dxfId="72" priority="75" operator="equal">
      <formula>"Baja"</formula>
    </cfRule>
    <cfRule type="cellIs" dxfId="71" priority="76" operator="equal">
      <formula>"Muy Baja"</formula>
    </cfRule>
    <cfRule type="cellIs" dxfId="70" priority="72" operator="equal">
      <formula>"Muy Alta"</formula>
    </cfRule>
  </conditionalFormatting>
  <conditionalFormatting sqref="P64">
    <cfRule type="cellIs" dxfId="69" priority="63" operator="equal">
      <formula>"Muy Alta"</formula>
    </cfRule>
    <cfRule type="cellIs" dxfId="68" priority="64" operator="equal">
      <formula>"Alta"</formula>
    </cfRule>
    <cfRule type="cellIs" dxfId="67" priority="65" operator="equal">
      <formula>"Media"</formula>
    </cfRule>
    <cfRule type="cellIs" dxfId="66" priority="66" operator="equal">
      <formula>"Baja"</formula>
    </cfRule>
    <cfRule type="cellIs" dxfId="65" priority="67" operator="equal">
      <formula>"Muy Baja"</formula>
    </cfRule>
  </conditionalFormatting>
  <conditionalFormatting sqref="S10:S69">
    <cfRule type="containsText" dxfId="64" priority="10" operator="containsText" text="❌">
      <formula>NOT(ISERROR(SEARCH("❌",S10)))</formula>
    </cfRule>
  </conditionalFormatting>
  <conditionalFormatting sqref="T10 T16 T28 T34 T40 T46 T52 T58 T64">
    <cfRule type="cellIs" dxfId="63" priority="135" operator="equal">
      <formula>"Mayor"</formula>
    </cfRule>
    <cfRule type="cellIs" dxfId="62" priority="136" operator="equal">
      <formula>"Moderado"</formula>
    </cfRule>
    <cfRule type="cellIs" dxfId="61" priority="137" operator="equal">
      <formula>"Menor"</formula>
    </cfRule>
    <cfRule type="cellIs" dxfId="60" priority="138" operator="equal">
      <formula>"Leve"</formula>
    </cfRule>
    <cfRule type="cellIs" dxfId="59" priority="134" operator="equal">
      <formula>"Catastrófico"</formula>
    </cfRule>
  </conditionalFormatting>
  <conditionalFormatting sqref="T22">
    <cfRule type="cellIs" dxfId="58" priority="8" operator="equal">
      <formula>"Menor"</formula>
    </cfRule>
    <cfRule type="cellIs" dxfId="57" priority="7" operator="equal">
      <formula>"Moderado"</formula>
    </cfRule>
    <cfRule type="cellIs" dxfId="56" priority="6" operator="equal">
      <formula>"Mayor"</formula>
    </cfRule>
    <cfRule type="cellIs" dxfId="55" priority="5" operator="equal">
      <formula>"Catastrófico"</formula>
    </cfRule>
    <cfRule type="cellIs" dxfId="54" priority="9" operator="equal">
      <formula>"Leve"</formula>
    </cfRule>
  </conditionalFormatting>
  <conditionalFormatting sqref="V10">
    <cfRule type="cellIs" dxfId="53" priority="130" operator="equal">
      <formula>"Extremo"</formula>
    </cfRule>
    <cfRule type="cellIs" dxfId="52" priority="131" operator="equal">
      <formula>"Alto"</formula>
    </cfRule>
    <cfRule type="cellIs" dxfId="51" priority="132" operator="equal">
      <formula>"Moderado"</formula>
    </cfRule>
    <cfRule type="cellIs" dxfId="50" priority="133" operator="equal">
      <formula>"Bajo"</formula>
    </cfRule>
  </conditionalFormatting>
  <conditionalFormatting sqref="V16">
    <cfRule type="cellIs" dxfId="49" priority="126" operator="equal">
      <formula>"Extremo"</formula>
    </cfRule>
    <cfRule type="cellIs" dxfId="48" priority="127" operator="equal">
      <formula>"Alto"</formula>
    </cfRule>
    <cfRule type="cellIs" dxfId="47" priority="128" operator="equal">
      <formula>"Moderado"</formula>
    </cfRule>
    <cfRule type="cellIs" dxfId="46" priority="129" operator="equal">
      <formula>"Bajo"</formula>
    </cfRule>
  </conditionalFormatting>
  <conditionalFormatting sqref="V22">
    <cfRule type="cellIs" dxfId="45" priority="2" operator="equal">
      <formula>"Alto"</formula>
    </cfRule>
    <cfRule type="cellIs" dxfId="44" priority="3" operator="equal">
      <formula>"Moderado"</formula>
    </cfRule>
    <cfRule type="cellIs" dxfId="43" priority="4" operator="equal">
      <formula>"Bajo"</formula>
    </cfRule>
    <cfRule type="cellIs" dxfId="42" priority="1" operator="equal">
      <formula>"Extremo"</formula>
    </cfRule>
  </conditionalFormatting>
  <conditionalFormatting sqref="V28">
    <cfRule type="cellIs" dxfId="41" priority="111" operator="equal">
      <formula>"Bajo"</formula>
    </cfRule>
    <cfRule type="cellIs" dxfId="40" priority="108" operator="equal">
      <formula>"Extremo"</formula>
    </cfRule>
    <cfRule type="cellIs" dxfId="39" priority="109" operator="equal">
      <formula>"Alto"</formula>
    </cfRule>
    <cfRule type="cellIs" dxfId="38" priority="110" operator="equal">
      <formula>"Moderado"</formula>
    </cfRule>
  </conditionalFormatting>
  <conditionalFormatting sqref="V34">
    <cfRule type="cellIs" dxfId="37" priority="99" operator="equal">
      <formula>"Extremo"</formula>
    </cfRule>
    <cfRule type="cellIs" dxfId="36" priority="100" operator="equal">
      <formula>"Alto"</formula>
    </cfRule>
    <cfRule type="cellIs" dxfId="35" priority="101" operator="equal">
      <formula>"Moderado"</formula>
    </cfRule>
    <cfRule type="cellIs" dxfId="34" priority="102" operator="equal">
      <formula>"Bajo"</formula>
    </cfRule>
  </conditionalFormatting>
  <conditionalFormatting sqref="V40">
    <cfRule type="cellIs" dxfId="33" priority="93" operator="equal">
      <formula>"Bajo"</formula>
    </cfRule>
    <cfRule type="cellIs" dxfId="32" priority="90" operator="equal">
      <formula>"Extremo"</formula>
    </cfRule>
    <cfRule type="cellIs" dxfId="31" priority="91" operator="equal">
      <formula>"Alto"</formula>
    </cfRule>
    <cfRule type="cellIs" dxfId="30" priority="92" operator="equal">
      <formula>"Moderado"</formula>
    </cfRule>
  </conditionalFormatting>
  <conditionalFormatting sqref="V46">
    <cfRule type="cellIs" dxfId="29" priority="81" operator="equal">
      <formula>"Extremo"</formula>
    </cfRule>
    <cfRule type="cellIs" dxfId="28" priority="83" operator="equal">
      <formula>"Moderado"</formula>
    </cfRule>
    <cfRule type="cellIs" dxfId="27" priority="84" operator="equal">
      <formula>"Bajo"</formula>
    </cfRule>
    <cfRule type="cellIs" dxfId="26" priority="82" operator="equal">
      <formula>"Alto"</formula>
    </cfRule>
  </conditionalFormatting>
  <conditionalFormatting sqref="V52">
    <cfRule type="cellIs" dxfId="25" priority="80" operator="equal">
      <formula>"Bajo"</formula>
    </cfRule>
    <cfRule type="cellIs" dxfId="24" priority="78" operator="equal">
      <formula>"Alto"</formula>
    </cfRule>
    <cfRule type="cellIs" dxfId="23" priority="79" operator="equal">
      <formula>"Moderado"</formula>
    </cfRule>
    <cfRule type="cellIs" dxfId="22" priority="77" operator="equal">
      <formula>"Extremo"</formula>
    </cfRule>
  </conditionalFormatting>
  <conditionalFormatting sqref="V58">
    <cfRule type="cellIs" dxfId="21" priority="69" operator="equal">
      <formula>"Alto"</formula>
    </cfRule>
    <cfRule type="cellIs" dxfId="20" priority="68" operator="equal">
      <formula>"Extremo"</formula>
    </cfRule>
    <cfRule type="cellIs" dxfId="19" priority="70" operator="equal">
      <formula>"Moderado"</formula>
    </cfRule>
    <cfRule type="cellIs" dxfId="18" priority="71" operator="equal">
      <formula>"Bajo"</formula>
    </cfRule>
  </conditionalFormatting>
  <conditionalFormatting sqref="V64">
    <cfRule type="cellIs" dxfId="17" priority="59" operator="equal">
      <formula>"Extremo"</formula>
    </cfRule>
    <cfRule type="cellIs" dxfId="16" priority="60" operator="equal">
      <formula>"Alto"</formula>
    </cfRule>
    <cfRule type="cellIs" dxfId="15" priority="62" operator="equal">
      <formula>"Bajo"</formula>
    </cfRule>
    <cfRule type="cellIs" dxfId="14" priority="61" operator="equal">
      <formula>"Moderado"</formula>
    </cfRule>
  </conditionalFormatting>
  <conditionalFormatting sqref="AJ10:AJ69">
    <cfRule type="cellIs" dxfId="13" priority="20" operator="equal">
      <formula>"Muy Alta"</formula>
    </cfRule>
    <cfRule type="cellIs" dxfId="12" priority="21" operator="equal">
      <formula>"Alta"</formula>
    </cfRule>
    <cfRule type="cellIs" dxfId="11" priority="22" operator="equal">
      <formula>"Media"</formula>
    </cfRule>
    <cfRule type="cellIs" dxfId="10" priority="23" operator="equal">
      <formula>"Baja"</formula>
    </cfRule>
    <cfRule type="cellIs" dxfId="9" priority="24" operator="equal">
      <formula>"Muy Baja"</formula>
    </cfRule>
  </conditionalFormatting>
  <conditionalFormatting sqref="AL10:AL69">
    <cfRule type="cellIs" dxfId="8" priority="19" operator="equal">
      <formula>"Leve"</formula>
    </cfRule>
    <cfRule type="cellIs" dxfId="7" priority="17" operator="equal">
      <formula>"Moderado"</formula>
    </cfRule>
    <cfRule type="cellIs" dxfId="6" priority="18" operator="equal">
      <formula>"Menor"</formula>
    </cfRule>
    <cfRule type="cellIs" dxfId="5" priority="16" operator="equal">
      <formula>"Mayor"</formula>
    </cfRule>
    <cfRule type="cellIs" dxfId="4" priority="15" operator="equal">
      <formula>"Catastrófico"</formula>
    </cfRule>
  </conditionalFormatting>
  <conditionalFormatting sqref="AN10:AN69">
    <cfRule type="cellIs" dxfId="3" priority="14" operator="equal">
      <formula>"Bajo"</formula>
    </cfRule>
    <cfRule type="cellIs" dxfId="2" priority="13" operator="equal">
      <formula>"Moderado"</formula>
    </cfRule>
    <cfRule type="cellIs" dxfId="1" priority="12" operator="equal">
      <formula>"Alto"</formula>
    </cfRule>
    <cfRule type="cellIs" dxfId="0" priority="11" operator="equal">
      <formula>"Extremo"</formula>
    </cfRule>
  </conditionalFormatting>
  <dataValidations count="1">
    <dataValidation type="list" allowBlank="1" showInputMessage="1" showErrorMessage="1" sqref="AC69 AF11:AH15 AF17:AH21 AF28:AH69" xr:uid="{8E997F33-6224-44D3-ACDF-8E0614DEA46A}">
      <formula1>#REF!</formula1>
    </dataValidation>
  </dataValidations>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www.umv.gov.co&amp;CDESI-FM-018
Página &amp;P de &amp;N</oddFooter>
  </headerFooter>
  <colBreaks count="1" manualBreakCount="1">
    <brk id="21" max="75"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2478E68-793C-4408-BBC6-81FFCA7BAD27}">
          <x14:formula1>
            <xm:f>Listas!$L$29:$L$53</xm:f>
          </x14:formula1>
          <xm:sqref>B10:B69</xm:sqref>
        </x14:dataValidation>
        <x14:dataValidation type="list" allowBlank="1" showInputMessage="1" showErrorMessage="1" xr:uid="{0EDE247A-490E-4B2C-846B-09D72FE617BE}">
          <x14:formula1>
            <xm:f>'Tabla Impacto'!$F$240:$F$263</xm:f>
          </x14:formula1>
          <xm:sqref>R10:R69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19" ma:contentTypeDescription="Crear nuevo documento." ma:contentTypeScope="" ma:versionID="1546d84508d0a19fa9f2decf4348aac9">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54bed18be0c869b59340f686d3cdf95e"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70eaac67-e064-433b-ba54-6f78c0f1ecb1">
      <UserInfo>
        <DisplayName>Stefany Ospino Cuellar</DisplayName>
        <AccountId>1659</AccountId>
        <AccountType/>
      </UserInfo>
      <UserInfo>
        <DisplayName>German Andres Hernandez Matiz</DisplayName>
        <AccountId>571</AccountId>
        <AccountType/>
      </UserInfo>
    </SharedWithUsers>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8F9D396-168A-421B-BF9D-116A92C771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d77176-54eb-4753-be67-9b2e2fa23e0f"/>
    <ds:schemaRef ds:uri="70eaac67-e064-433b-ba54-6f78c0f1ec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8E702-99CD-4A3A-A328-D1F3ADA68EBC}">
  <ds:schemaRefs>
    <ds:schemaRef ds:uri="http://schemas.microsoft.com/sharepoint/v3/contenttype/forms"/>
  </ds:schemaRefs>
</ds:datastoreItem>
</file>

<file path=customXml/itemProps3.xml><?xml version="1.0" encoding="utf-8"?>
<ds:datastoreItem xmlns:ds="http://schemas.openxmlformats.org/officeDocument/2006/customXml" ds:itemID="{D3D5E4EF-2809-49C9-8DCF-B2E4E5208101}">
  <ds:schemaRefs>
    <ds:schemaRef ds:uri="http://schemas.microsoft.com/office/2006/metadata/properties"/>
    <ds:schemaRef ds:uri="http://schemas.microsoft.com/office/infopath/2007/PartnerControls"/>
    <ds:schemaRef ds:uri="http://schemas.microsoft.com/sharepoint/v3"/>
    <ds:schemaRef ds:uri="70eaac67-e064-433b-ba54-6f78c0f1ecb1"/>
    <ds:schemaRef ds:uri="64d77176-54eb-4753-be67-9b2e2fa23e0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Revisión DOFA</vt:lpstr>
      <vt:lpstr>Listas</vt:lpstr>
      <vt:lpstr>Riesgos de Gestión</vt:lpstr>
      <vt:lpstr>Matriz Calor Inherente</vt:lpstr>
      <vt:lpstr>Matriz Calor Residual</vt:lpstr>
      <vt:lpstr>Riesgos de Seguridad </vt:lpstr>
      <vt:lpstr>Riesgos de Corrupción</vt:lpstr>
      <vt:lpstr>Riesgos Fiscales</vt:lpstr>
      <vt:lpstr>Riesgos de LA FT </vt:lpstr>
      <vt:lpstr>Tabla Valoración controles</vt:lpstr>
      <vt:lpstr>Impacto LA-FT</vt:lpstr>
      <vt:lpstr>Tabla Impacto</vt:lpstr>
      <vt:lpstr>Tabla probabilidad</vt:lpstr>
      <vt:lpstr>Hoja1</vt:lpstr>
      <vt:lpstr>'Riesgos de Corrupción'!Área_de_impresión</vt:lpstr>
      <vt:lpstr>'Riesgos de Gestión'!Área_de_impresión</vt:lpstr>
      <vt:lpstr>'Riesgos de LA FT '!Área_de_impresión</vt:lpstr>
      <vt:lpstr>'Riesgos de Seguridad '!Área_de_impresión</vt:lpstr>
      <vt:lpstr>'Riesgos Fiscales'!Área_de_impresión</vt:lpstr>
      <vt:lpstr>'Riesgos de Corrupción'!Títulos_a_imprimir</vt:lpstr>
      <vt:lpstr>'Riesgos de Gestión'!Títulos_a_imprimir</vt:lpstr>
      <vt:lpstr>'Riesgos de LA FT '!Títulos_a_imprimir</vt:lpstr>
      <vt:lpstr>'Riesgos de Seguridad '!Títulos_a_imprimir</vt:lpstr>
      <vt:lpstr>'Riesgos Fiscales'!Títulos_a_imprimir</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maria natalia norato mora</cp:lastModifiedBy>
  <cp:revision/>
  <dcterms:created xsi:type="dcterms:W3CDTF">2020-03-24T23:12:47Z</dcterms:created>
  <dcterms:modified xsi:type="dcterms:W3CDTF">2025-01-29T15:22:33Z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y fmtid="{D5CDD505-2E9C-101B-9397-08002B2CF9AE}" pid="3" name="MediaServiceImageTags">
    <vt:lpwstr/>
  </property>
</Properties>
</file>