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PEREA\OneDrive - uaermv\Carpeta UMV curentena\Plan estrategico\1er trim 2023\"/>
    </mc:Choice>
  </mc:AlternateContent>
  <bookViews>
    <workbookView xWindow="0" yWindow="0" windowWidth="20490" windowHeight="7650" activeTab="2"/>
  </bookViews>
  <sheets>
    <sheet name="Formulación " sheetId="1" r:id="rId1"/>
    <sheet name="Avance" sheetId="3" r:id="rId2"/>
    <sheet name="Hoja2" sheetId="5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N9" i="3"/>
  <c r="I46" i="5" l="1"/>
  <c r="I43" i="5"/>
  <c r="I40" i="5"/>
  <c r="I37" i="5"/>
  <c r="I34" i="5"/>
  <c r="I31" i="5"/>
  <c r="I25" i="5"/>
  <c r="I22" i="5"/>
  <c r="I19" i="5"/>
  <c r="I16" i="5"/>
  <c r="I13" i="5"/>
  <c r="P42" i="3"/>
  <c r="H46" i="5" l="1"/>
  <c r="H40" i="5"/>
  <c r="H34" i="5"/>
  <c r="H31" i="5"/>
  <c r="L10" i="5" l="1"/>
  <c r="S31" i="3"/>
  <c r="S32" i="3" s="1"/>
  <c r="D49" i="5" l="1"/>
  <c r="P20" i="3" l="1"/>
  <c r="O36" i="3" l="1"/>
  <c r="N36" i="3"/>
  <c r="M36" i="3"/>
  <c r="L36" i="3"/>
  <c r="P35" i="3"/>
  <c r="P9" i="3"/>
  <c r="O10" i="3"/>
  <c r="I7" i="5"/>
  <c r="M10" i="3"/>
  <c r="L10" i="3"/>
  <c r="K10" i="3"/>
  <c r="E7" i="5" l="1"/>
  <c r="P36" i="3"/>
  <c r="J28" i="5" s="1"/>
  <c r="I28" i="5"/>
  <c r="P10" i="3"/>
  <c r="O13" i="3"/>
  <c r="N13" i="3"/>
  <c r="I10" i="5" s="1"/>
  <c r="M13" i="3"/>
  <c r="L13" i="3"/>
  <c r="K13" i="3"/>
  <c r="P12" i="3"/>
  <c r="O33" i="3"/>
  <c r="N33" i="3"/>
  <c r="M33" i="3"/>
  <c r="L33" i="3"/>
  <c r="K33" i="3"/>
  <c r="P32" i="3"/>
  <c r="O29" i="3"/>
  <c r="N29" i="3"/>
  <c r="M29" i="3"/>
  <c r="L29" i="3"/>
  <c r="K29" i="3"/>
  <c r="P28" i="3"/>
  <c r="O25" i="3"/>
  <c r="N25" i="3"/>
  <c r="M25" i="3"/>
  <c r="L25" i="3"/>
  <c r="K25" i="3"/>
  <c r="P24" i="3"/>
  <c r="O21" i="3"/>
  <c r="N21" i="3"/>
  <c r="M21" i="3"/>
  <c r="L21" i="3"/>
  <c r="K21" i="3"/>
  <c r="O17" i="3"/>
  <c r="N17" i="3"/>
  <c r="M17" i="3"/>
  <c r="L17" i="3"/>
  <c r="K17" i="3"/>
  <c r="O56" i="3"/>
  <c r="N56" i="3"/>
  <c r="M56" i="3"/>
  <c r="L56" i="3"/>
  <c r="K56" i="3"/>
  <c r="P55" i="3"/>
  <c r="O52" i="3"/>
  <c r="N52" i="3"/>
  <c r="M52" i="3"/>
  <c r="L52" i="3"/>
  <c r="K52" i="3"/>
  <c r="P51" i="3"/>
  <c r="O48" i="3"/>
  <c r="N48" i="3"/>
  <c r="M48" i="3"/>
  <c r="L48" i="3"/>
  <c r="K48" i="3"/>
  <c r="P47" i="3"/>
  <c r="O44" i="3"/>
  <c r="N44" i="3"/>
  <c r="M44" i="3"/>
  <c r="L44" i="3"/>
  <c r="K44" i="3"/>
  <c r="P43" i="3"/>
  <c r="K40" i="3"/>
  <c r="O40" i="3"/>
  <c r="N40" i="3"/>
  <c r="M40" i="3"/>
  <c r="L40" i="3"/>
  <c r="P39" i="3"/>
  <c r="P58" i="3"/>
  <c r="M59" i="3"/>
  <c r="E46" i="5" s="1"/>
  <c r="N59" i="3"/>
  <c r="L59" i="3"/>
  <c r="E28" i="5" l="1"/>
  <c r="D8" i="3"/>
  <c r="F7" i="5" s="1"/>
  <c r="G7" i="5" s="1"/>
  <c r="J7" i="5"/>
  <c r="L11" i="5"/>
  <c r="E10" i="5"/>
  <c r="P48" i="3"/>
  <c r="J37" i="5" s="1"/>
  <c r="P13" i="3"/>
  <c r="J10" i="5" s="1"/>
  <c r="P52" i="3"/>
  <c r="J40" i="5" s="1"/>
  <c r="P25" i="3"/>
  <c r="J19" i="5" s="1"/>
  <c r="P33" i="3"/>
  <c r="J25" i="5" s="1"/>
  <c r="P29" i="3"/>
  <c r="J22" i="5" s="1"/>
  <c r="P21" i="3"/>
  <c r="J16" i="5" s="1"/>
  <c r="P56" i="3"/>
  <c r="J43" i="5" s="1"/>
  <c r="P44" i="3"/>
  <c r="J34" i="5" s="1"/>
  <c r="P40" i="3"/>
  <c r="J31" i="5" s="1"/>
  <c r="E49" i="5" l="1"/>
  <c r="D34" i="3"/>
  <c r="F28" i="5" s="1"/>
  <c r="G28" i="5" s="1"/>
  <c r="P27" i="3"/>
  <c r="P23" i="3"/>
  <c r="C60" i="3" l="1"/>
  <c r="P59" i="3"/>
  <c r="P17" i="3"/>
  <c r="C9" i="4"/>
  <c r="C7" i="4"/>
  <c r="D57" i="3" l="1"/>
  <c r="F46" i="5" s="1"/>
  <c r="G46" i="5" s="1"/>
  <c r="J46" i="5"/>
  <c r="D11" i="3"/>
  <c r="F10" i="5" s="1"/>
  <c r="J13" i="5"/>
  <c r="P8" i="3"/>
  <c r="P19" i="3"/>
  <c r="P31" i="3"/>
  <c r="P57" i="3"/>
  <c r="P54" i="3"/>
  <c r="R55" i="3" s="1"/>
  <c r="R56" i="3" s="1"/>
  <c r="P50" i="3"/>
  <c r="P46" i="3"/>
  <c r="P34" i="3"/>
  <c r="P38" i="3"/>
  <c r="F49" i="5" l="1"/>
  <c r="G49" i="5" s="1"/>
  <c r="G10" i="5"/>
  <c r="D60" i="3"/>
</calcChain>
</file>

<file path=xl/sharedStrings.xml><?xml version="1.0" encoding="utf-8"?>
<sst xmlns="http://schemas.openxmlformats.org/spreadsheetml/2006/main" count="149" uniqueCount="67">
  <si>
    <t>FORMATO PLAN ESTRATÉGICO INSTITUCIONAL</t>
  </si>
  <si>
    <t>CÓDIGO: DESI-FM-xxx</t>
  </si>
  <si>
    <t>FECHA DE APLICACIÓN: MAYO 2019</t>
  </si>
  <si>
    <t>Objetivo Institucional</t>
  </si>
  <si>
    <t>Ponderación</t>
  </si>
  <si>
    <t>Articulación Plan Distrital de Desarrollo 
2020-2024</t>
  </si>
  <si>
    <t>Presupuesto Plurianual de inversiones</t>
  </si>
  <si>
    <t>METAS</t>
  </si>
  <si>
    <t>CUATRIENIO</t>
  </si>
  <si>
    <t>2020*</t>
  </si>
  <si>
    <t>Indicador</t>
  </si>
  <si>
    <t xml:space="preserve">Indicador </t>
  </si>
  <si>
    <t>Descripción de la Meta</t>
  </si>
  <si>
    <t>Riesgo asociado</t>
  </si>
  <si>
    <t>%</t>
  </si>
  <si>
    <t xml:space="preserve">Km Carril de la Malla Vial Local e Intermedia conservada / # km carril de Conservación programados 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</si>
  <si>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</si>
  <si>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</si>
  <si>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</si>
  <si>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</si>
  <si>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</si>
  <si>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</si>
  <si>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# de modelo de conservación para mejorar el estado de la malla vial local, intermedia y rural de Bogotá d.c implementados</t>
  </si>
  <si>
    <t xml:space="preserve">Metros2 de Espacio Publico internenidos / Mtros2 programados </t>
  </si>
  <si>
    <t xml:space="preserve"># de funcionalidade implementadas / numero de funcionalidades programadas </t>
  </si>
  <si>
    <t>Fortalecer 1  un sistema de gestión para la UAERMV</t>
  </si>
  <si>
    <t xml:space="preserve">% de Indice de satisfección aumentado </t>
  </si>
  <si>
    <t>Realizar 4 actualizaciones del plan estratégico de tecnologías de la información - PETI de la UAERMV</t>
  </si>
  <si>
    <t># actualizaciones realizadas / # actulizaciones programadas</t>
  </si>
  <si>
    <t>Presupuesto Plurianual de Inversiones</t>
  </si>
  <si>
    <t>-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</si>
  <si>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</si>
  <si>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>240. Conservar 1.505.155 m2 de espacio público</t>
  </si>
  <si>
    <t>483  Aumentar en 5 puntos el Índice de Desempeño Institucional para las entidades del Sector Movilidad, en el marco de las políticas de MIPG</t>
  </si>
  <si>
    <t xml:space="preserve">Total </t>
  </si>
  <si>
    <t>Avance Objetivo</t>
  </si>
  <si>
    <t>Implementar 50 funcionalidades en cinco (5) de los sistemas de información de la UAERMV</t>
  </si>
  <si>
    <t>Aumentar a 89.43 puntos el índice de satisfaccion al usuario</t>
  </si>
  <si>
    <t xml:space="preserve"># de sistema de gestión fortalecidos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</si>
  <si>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</si>
  <si>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</si>
  <si>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Insuficientes recursos asociados a nuevas fuentes de financiación</t>
  </si>
  <si>
    <t xml:space="preserve">Inadecuada implementación de las herramientas de gestión </t>
  </si>
  <si>
    <t>Deficiencia en la formulación y aplicación del modelo de conservación</t>
  </si>
  <si>
    <t>Incumplimientos de las metas de espacio público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</si>
  <si>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</si>
  <si>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</si>
  <si>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3. Mejorar el estado de la malla vial local, intermedia, rural, y de la ciclo-infraestructura de Bogotá D.C., a través de la formulación e implementación de un modelo de conservación.
</t>
  </si>
  <si>
    <t xml:space="preserve">4. Mejorar las condiciones de Infraestructura que permitan el uso y disfrute del espacio público en Bogotá D.C. 
</t>
  </si>
  <si>
    <t>Implementar una (1) primera fase de la estrategia de gestión del conocimiento y la innovación en la UAERMV</t>
  </si>
  <si>
    <t>% de la estrategia de gestión del conocimiento y la innovación implementada</t>
  </si>
  <si>
    <t>Implementar por lo menos una (1) nueva alternativa de financiación   que permitan incrementar los recursos propios de la entidad.</t>
  </si>
  <si>
    <t># de alternativas de financiación implementadas</t>
  </si>
  <si>
    <t xml:space="preserve">Programado </t>
  </si>
  <si>
    <t xml:space="preserve">Ejecutado </t>
  </si>
  <si>
    <t xml:space="preserve">Formular e implementar un (1) modelo de conservación para mejorar el estado de la malla vial local, intermedia y rural de Bogotá D.C. </t>
  </si>
  <si>
    <t xml:space="preserve">Avance </t>
  </si>
  <si>
    <t xml:space="preserve">
1. Lograr mecanismos de financiación que permitan incrementar los recursos propios de la entidad.
</t>
  </si>
  <si>
    <t xml:space="preserve">Avance Objetivo Cuatrenio </t>
  </si>
  <si>
    <t>1. Lograr mecanismos de financiación que permitan incrementar los recursos propios de la entidad</t>
  </si>
  <si>
    <t xml:space="preserve">Avance Meta Cuatrenio </t>
  </si>
  <si>
    <t>Conservar 94,43 Km carril de la malla vial arterial del distrito capital, realizar apoyos interinstitucionales e implementar obras de bioingeniería</t>
  </si>
  <si>
    <t>Intervenir 116.500.00 Metros2 de espacio público de la ciudad</t>
  </si>
  <si>
    <t>Conservar1,506.21 Km carril de la malla vial local e intermedia Distrito Capital</t>
  </si>
  <si>
    <t>Conservar  86.35 Km de Cicloinfraestructura del Distrito Capital</t>
  </si>
  <si>
    <t>Avance Objetivo 
2023</t>
  </si>
  <si>
    <t>Avance Meta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</si>
</sst>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7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4" fontId="17" fillId="0" borderId="8" xfId="0" applyNumberFormat="1" applyFont="1" applyFill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right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9" fontId="17" fillId="0" borderId="8" xfId="2" applyNumberFormat="1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44" fontId="17" fillId="0" borderId="8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7" borderId="0" xfId="0" applyFont="1" applyFill="1"/>
    <xf numFmtId="2" fontId="17" fillId="0" borderId="19" xfId="0" applyNumberFormat="1" applyFont="1" applyFill="1" applyBorder="1" applyAlignment="1" applyProtection="1">
      <alignment horizontal="right" vertical="center" wrapText="1"/>
    </xf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Fill="1" applyBorder="1" applyAlignment="1" applyProtection="1">
      <alignment horizontal="right" vertical="center" wrapText="1"/>
    </xf>
    <xf numFmtId="0" fontId="17" fillId="0" borderId="26" xfId="0" applyFont="1" applyFill="1" applyBorder="1" applyAlignment="1">
      <alignment horizontal="right" vertical="center" wrapText="1"/>
    </xf>
    <xf numFmtId="0" fontId="13" fillId="0" borderId="0" xfId="0" applyFont="1" applyFill="1"/>
    <xf numFmtId="44" fontId="13" fillId="0" borderId="8" xfId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/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4" fontId="13" fillId="0" borderId="14" xfId="0" applyNumberFormat="1" applyFont="1" applyBorder="1" applyAlignment="1">
      <alignment horizontal="right" vertical="center" wrapText="1"/>
    </xf>
    <xf numFmtId="4" fontId="18" fillId="0" borderId="0" xfId="0" applyNumberFormat="1" applyFont="1" applyFill="1"/>
    <xf numFmtId="2" fontId="17" fillId="0" borderId="8" xfId="4" applyNumberFormat="1" applyFont="1" applyFill="1" applyBorder="1" applyAlignment="1" applyProtection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2" fontId="17" fillId="0" borderId="8" xfId="2" applyNumberFormat="1" applyFont="1" applyFill="1" applyBorder="1" applyAlignment="1" applyProtection="1">
      <alignment horizontal="right" vertical="center" wrapText="1"/>
    </xf>
    <xf numFmtId="43" fontId="17" fillId="0" borderId="8" xfId="3" applyNumberFormat="1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>
      <alignment horizontal="right" vertical="center" wrapText="1"/>
    </xf>
    <xf numFmtId="43" fontId="17" fillId="0" borderId="8" xfId="3" applyFont="1" applyFill="1" applyBorder="1" applyAlignment="1" applyProtection="1">
      <alignment horizontal="center" vertical="center" wrapText="1"/>
    </xf>
    <xf numFmtId="9" fontId="17" fillId="0" borderId="10" xfId="2" applyFont="1" applyFill="1" applyBorder="1" applyAlignment="1">
      <alignment horizontal="right" vertical="center" wrapText="1"/>
    </xf>
    <xf numFmtId="2" fontId="19" fillId="0" borderId="8" xfId="0" applyNumberFormat="1" applyFont="1" applyFill="1" applyBorder="1"/>
    <xf numFmtId="10" fontId="17" fillId="0" borderId="8" xfId="2" applyNumberFormat="1" applyFont="1" applyBorder="1" applyAlignment="1">
      <alignment horizontal="right" vertical="center" wrapText="1"/>
    </xf>
    <xf numFmtId="2" fontId="19" fillId="0" borderId="41" xfId="0" applyNumberFormat="1" applyFont="1" applyFill="1" applyBorder="1"/>
    <xf numFmtId="2" fontId="17" fillId="0" borderId="26" xfId="0" applyNumberFormat="1" applyFont="1" applyBorder="1" applyAlignment="1">
      <alignment horizontal="right" vertical="center" wrapText="1"/>
    </xf>
    <xf numFmtId="41" fontId="17" fillId="0" borderId="8" xfId="4" applyNumberFormat="1" applyFont="1" applyFill="1" applyBorder="1" applyAlignment="1" applyProtection="1">
      <alignment horizontal="righ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12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8" borderId="8" xfId="0" applyFont="1" applyFill="1" applyBorder="1" applyAlignment="1">
      <alignment horizontal="justify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justify" vertical="center" wrapText="1"/>
    </xf>
    <xf numFmtId="0" fontId="13" fillId="8" borderId="24" xfId="0" applyFont="1" applyFill="1" applyBorder="1" applyAlignment="1">
      <alignment horizontal="justify" vertical="center" wrapText="1"/>
    </xf>
    <xf numFmtId="0" fontId="13" fillId="8" borderId="20" xfId="0" applyFont="1" applyFill="1" applyBorder="1" applyAlignment="1">
      <alignment horizontal="justify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justify" vertical="center" wrapText="1"/>
    </xf>
    <xf numFmtId="0" fontId="13" fillId="8" borderId="10" xfId="0" applyFont="1" applyFill="1" applyBorder="1" applyAlignment="1">
      <alignment horizontal="justify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justify" vertical="center" wrapText="1"/>
    </xf>
    <xf numFmtId="0" fontId="12" fillId="7" borderId="24" xfId="0" applyFont="1" applyFill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justify" vertical="center" wrapText="1"/>
    </xf>
    <xf numFmtId="0" fontId="13" fillId="8" borderId="12" xfId="0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justify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justify" vertical="center" wrapText="1"/>
    </xf>
    <xf numFmtId="0" fontId="13" fillId="7" borderId="21" xfId="0" applyFont="1" applyFill="1" applyBorder="1" applyAlignment="1">
      <alignment horizontal="justify" vertical="center" wrapText="1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0" fontId="13" fillId="7" borderId="10" xfId="0" applyFont="1" applyFill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0" fontId="13" fillId="7" borderId="14" xfId="0" applyFont="1" applyFill="1" applyBorder="1" applyAlignment="1">
      <alignment horizontal="justify" vertical="center" wrapText="1"/>
    </xf>
    <xf numFmtId="9" fontId="0" fillId="0" borderId="14" xfId="0" applyNumberFormat="1" applyBorder="1" applyAlignment="1">
      <alignment horizontal="center" vertical="center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12" xfId="2" applyNumberFormat="1" applyFont="1" applyBorder="1" applyAlignment="1">
      <alignment horizontal="center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10" fontId="13" fillId="0" borderId="21" xfId="2" applyNumberFormat="1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justify" vertical="center" wrapText="1"/>
    </xf>
    <xf numFmtId="10" fontId="13" fillId="0" borderId="19" xfId="2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justify" vertical="center" wrapText="1"/>
    </xf>
    <xf numFmtId="0" fontId="12" fillId="7" borderId="8" xfId="0" applyFont="1" applyFill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P10" sqref="P10"/>
    </sheetView>
  </sheetViews>
  <sheetFormatPr baseColWidth="10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14" t="s">
        <v>0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14" ht="16.5" customHeight="1" thickBot="1" x14ac:dyDescent="0.3">
      <c r="B3" s="1"/>
      <c r="C3" s="1"/>
      <c r="D3" s="116" t="s">
        <v>1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2:14" ht="16.5" customHeight="1" thickBot="1" x14ac:dyDescent="0.3">
      <c r="B4" s="7"/>
      <c r="C4" s="7"/>
      <c r="D4" s="116" t="s">
        <v>2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2:14" ht="18.75" customHeight="1" thickBot="1" x14ac:dyDescent="0.3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2:14" ht="18.75" customHeight="1" x14ac:dyDescent="0.25">
      <c r="B8" s="122" t="s">
        <v>5</v>
      </c>
      <c r="C8" s="122" t="s">
        <v>4</v>
      </c>
      <c r="D8" s="122" t="s">
        <v>3</v>
      </c>
      <c r="E8" s="112" t="s">
        <v>13</v>
      </c>
      <c r="F8" s="112" t="s">
        <v>12</v>
      </c>
      <c r="G8" s="112" t="s">
        <v>10</v>
      </c>
      <c r="H8" s="122" t="s">
        <v>6</v>
      </c>
      <c r="I8" s="119" t="s">
        <v>7</v>
      </c>
      <c r="J8" s="119"/>
      <c r="K8" s="119"/>
      <c r="L8" s="119"/>
      <c r="M8" s="119"/>
      <c r="N8" s="120"/>
    </row>
    <row r="9" spans="2:14" ht="66.75" customHeight="1" thickBot="1" x14ac:dyDescent="0.3">
      <c r="B9" s="123"/>
      <c r="C9" s="123"/>
      <c r="D9" s="123"/>
      <c r="E9" s="113"/>
      <c r="F9" s="113"/>
      <c r="G9" s="113"/>
      <c r="H9" s="123"/>
      <c r="I9" s="10" t="s">
        <v>9</v>
      </c>
      <c r="J9" s="10">
        <v>2021</v>
      </c>
      <c r="K9" s="10">
        <v>2022</v>
      </c>
      <c r="L9" s="10">
        <v>2023</v>
      </c>
      <c r="M9" s="10">
        <v>2024</v>
      </c>
      <c r="N9" s="11" t="s">
        <v>8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opLeftCell="A6" zoomScale="110" zoomScaleNormal="110" workbookViewId="0">
      <pane xSplit="1" ySplit="2" topLeftCell="H34" activePane="bottomRight" state="frozen"/>
      <selection activeCell="A6" sqref="A6"/>
      <selection pane="topRight" activeCell="B6" sqref="B6"/>
      <selection pane="bottomLeft" activeCell="A8" sqref="A8"/>
      <selection pane="bottomRight" activeCell="P42" sqref="P42"/>
    </sheetView>
  </sheetViews>
  <sheetFormatPr baseColWidth="10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69"/>
      <c r="C2" s="170"/>
      <c r="D2" s="28"/>
      <c r="E2" s="205" t="s">
        <v>0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2:19" ht="16.5" customHeight="1" thickBot="1" x14ac:dyDescent="0.25">
      <c r="B3" s="171"/>
      <c r="C3" s="172"/>
      <c r="D3" s="19"/>
      <c r="E3" s="207" t="s">
        <v>1</v>
      </c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9" ht="16.5" customHeight="1" thickBot="1" x14ac:dyDescent="0.25">
      <c r="B4" s="173"/>
      <c r="C4" s="174"/>
      <c r="D4" s="29"/>
      <c r="E4" s="207" t="s">
        <v>2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94" t="s">
        <v>5</v>
      </c>
      <c r="C6" s="167" t="s">
        <v>4</v>
      </c>
      <c r="D6" s="167" t="s">
        <v>35</v>
      </c>
      <c r="E6" s="196" t="s">
        <v>3</v>
      </c>
      <c r="F6" s="167" t="s">
        <v>13</v>
      </c>
      <c r="G6" s="167" t="s">
        <v>12</v>
      </c>
      <c r="H6" s="167" t="s">
        <v>11</v>
      </c>
      <c r="I6" s="212" t="s">
        <v>29</v>
      </c>
      <c r="J6" s="39"/>
      <c r="K6" s="214" t="s">
        <v>7</v>
      </c>
      <c r="L6" s="214"/>
      <c r="M6" s="214"/>
      <c r="N6" s="214"/>
      <c r="O6" s="214"/>
      <c r="P6" s="215"/>
    </row>
    <row r="7" spans="2:19" ht="29.25" customHeight="1" thickBot="1" x14ac:dyDescent="0.25">
      <c r="B7" s="195"/>
      <c r="C7" s="168"/>
      <c r="D7" s="168"/>
      <c r="E7" s="197"/>
      <c r="F7" s="168"/>
      <c r="G7" s="168"/>
      <c r="H7" s="168"/>
      <c r="I7" s="213"/>
      <c r="J7" s="59" t="s">
        <v>56</v>
      </c>
      <c r="K7" s="60" t="s">
        <v>9</v>
      </c>
      <c r="L7" s="60">
        <v>2021</v>
      </c>
      <c r="M7" s="60">
        <v>2022</v>
      </c>
      <c r="N7" s="60">
        <v>2023</v>
      </c>
      <c r="O7" s="60">
        <v>2024</v>
      </c>
      <c r="P7" s="61" t="s">
        <v>8</v>
      </c>
    </row>
    <row r="8" spans="2:19" ht="21.75" customHeight="1" x14ac:dyDescent="0.2">
      <c r="B8" s="175" t="s">
        <v>33</v>
      </c>
      <c r="C8" s="178">
        <v>0.1</v>
      </c>
      <c r="D8" s="191">
        <f>+(P10*0.1)</f>
        <v>6.3750000000000001E-2</v>
      </c>
      <c r="E8" s="181" t="s">
        <v>57</v>
      </c>
      <c r="F8" s="184" t="s">
        <v>41</v>
      </c>
      <c r="G8" s="186" t="s">
        <v>51</v>
      </c>
      <c r="H8" s="184" t="s">
        <v>52</v>
      </c>
      <c r="I8" s="209" t="s">
        <v>30</v>
      </c>
      <c r="J8" s="62" t="s">
        <v>53</v>
      </c>
      <c r="K8" s="58">
        <v>0.1</v>
      </c>
      <c r="L8" s="58">
        <v>0.25</v>
      </c>
      <c r="M8" s="58">
        <v>0.25</v>
      </c>
      <c r="N8" s="58">
        <v>0.25</v>
      </c>
      <c r="O8" s="58">
        <v>0.15</v>
      </c>
      <c r="P8" s="31">
        <f>+K8+L8+M8+N8+O8</f>
        <v>1</v>
      </c>
      <c r="S8" s="64"/>
    </row>
    <row r="9" spans="2:19" ht="13.5" customHeight="1" x14ac:dyDescent="0.2">
      <c r="B9" s="176"/>
      <c r="C9" s="179"/>
      <c r="D9" s="192"/>
      <c r="E9" s="182"/>
      <c r="F9" s="164"/>
      <c r="G9" s="187"/>
      <c r="H9" s="164"/>
      <c r="I9" s="124"/>
      <c r="J9" s="43" t="s">
        <v>54</v>
      </c>
      <c r="K9" s="46">
        <v>0.1</v>
      </c>
      <c r="L9" s="67">
        <v>0.25</v>
      </c>
      <c r="M9" s="67">
        <v>0.25</v>
      </c>
      <c r="N9" s="46">
        <f>0.0025*5</f>
        <v>1.2500000000000001E-2</v>
      </c>
      <c r="O9" s="46"/>
      <c r="P9" s="32">
        <f>+K9+L9+M9+N9+O9</f>
        <v>0.61249999999999993</v>
      </c>
    </row>
    <row r="10" spans="2:19" ht="20.25" customHeight="1" thickBot="1" x14ac:dyDescent="0.25">
      <c r="B10" s="177"/>
      <c r="C10" s="180"/>
      <c r="D10" s="193"/>
      <c r="E10" s="183"/>
      <c r="F10" s="185"/>
      <c r="G10" s="188"/>
      <c r="H10" s="185"/>
      <c r="I10" s="210"/>
      <c r="J10" s="44" t="s">
        <v>14</v>
      </c>
      <c r="K10" s="57">
        <f>+K9/K8</f>
        <v>1</v>
      </c>
      <c r="L10" s="57">
        <f>+L9/L8</f>
        <v>1</v>
      </c>
      <c r="M10" s="106">
        <f t="shared" ref="M10:O10" si="0">+M9/M8</f>
        <v>1</v>
      </c>
      <c r="N10" s="106">
        <f t="shared" si="0"/>
        <v>0.05</v>
      </c>
      <c r="O10" s="57">
        <f t="shared" si="0"/>
        <v>0</v>
      </c>
      <c r="P10" s="45">
        <f>+(0.125*K10)+(0.25*L10)+(0.25*M10)+(0.25*N10)+(0.125*O10)</f>
        <v>0.63749999999999996</v>
      </c>
    </row>
    <row r="11" spans="2:19" ht="25.5" customHeight="1" x14ac:dyDescent="0.2">
      <c r="B11" s="175" t="s">
        <v>45</v>
      </c>
      <c r="C11" s="178">
        <v>0.15</v>
      </c>
      <c r="D11" s="191">
        <f>+(((P13+P17+P21+P25+P29+P33)/6)*0.15)</f>
        <v>0.10362241679813379</v>
      </c>
      <c r="E11" s="126" t="s">
        <v>46</v>
      </c>
      <c r="F11" s="184" t="s">
        <v>42</v>
      </c>
      <c r="G11" s="211" t="s">
        <v>49</v>
      </c>
      <c r="H11" s="200" t="s">
        <v>50</v>
      </c>
      <c r="I11" s="201" t="s">
        <v>30</v>
      </c>
      <c r="J11" s="71" t="s">
        <v>53</v>
      </c>
      <c r="K11" s="72">
        <v>0.05</v>
      </c>
      <c r="L11" s="72">
        <v>0.2</v>
      </c>
      <c r="M11" s="72">
        <v>0.25</v>
      </c>
      <c r="N11" s="58">
        <v>0.25</v>
      </c>
      <c r="O11" s="58">
        <v>0.25</v>
      </c>
      <c r="P11" s="31">
        <v>1</v>
      </c>
      <c r="S11" s="63"/>
    </row>
    <row r="12" spans="2:19" ht="15" x14ac:dyDescent="0.25">
      <c r="B12" s="176"/>
      <c r="C12" s="179"/>
      <c r="D12" s="192"/>
      <c r="E12" s="127"/>
      <c r="F12" s="164"/>
      <c r="G12" s="139"/>
      <c r="H12" s="160"/>
      <c r="I12" s="202"/>
      <c r="J12" s="73" t="s">
        <v>54</v>
      </c>
      <c r="K12" s="67">
        <v>0.05</v>
      </c>
      <c r="L12" s="66">
        <v>0.2</v>
      </c>
      <c r="M12" s="67">
        <v>0.25</v>
      </c>
      <c r="N12">
        <v>1.2500000000000001E-2</v>
      </c>
      <c r="O12" s="46"/>
      <c r="P12" s="32">
        <f>+K12+L12+M12+N12+O12</f>
        <v>0.51249999999999996</v>
      </c>
    </row>
    <row r="13" spans="2:19" ht="18" customHeight="1" x14ac:dyDescent="0.2">
      <c r="B13" s="176"/>
      <c r="C13" s="179"/>
      <c r="D13" s="192"/>
      <c r="E13" s="127"/>
      <c r="F13" s="164"/>
      <c r="G13" s="139"/>
      <c r="H13" s="160"/>
      <c r="I13" s="203"/>
      <c r="J13" s="73" t="s">
        <v>14</v>
      </c>
      <c r="K13" s="74">
        <f>+K12/K11</f>
        <v>1</v>
      </c>
      <c r="L13" s="75">
        <f>+L12/L11</f>
        <v>1</v>
      </c>
      <c r="M13" s="74">
        <f t="shared" ref="M13" si="1">+M12/M11</f>
        <v>1</v>
      </c>
      <c r="N13" s="50">
        <f t="shared" ref="N13" si="2">+N12/N11</f>
        <v>0.05</v>
      </c>
      <c r="O13" s="50">
        <f t="shared" ref="O13" si="3">+O12/O11</f>
        <v>0</v>
      </c>
      <c r="P13" s="49">
        <f>+(0.125*K13)+(0.25*L13)+(0.25*M13)+(0.25*N13)+(0.125*O13)</f>
        <v>0.63749999999999996</v>
      </c>
    </row>
    <row r="14" spans="2:19" ht="16.5" customHeight="1" x14ac:dyDescent="0.2">
      <c r="B14" s="176"/>
      <c r="C14" s="179"/>
      <c r="D14" s="192"/>
      <c r="E14" s="127"/>
      <c r="F14" s="164"/>
      <c r="G14" s="36"/>
      <c r="H14" s="22"/>
      <c r="I14" s="27"/>
      <c r="J14" s="27"/>
      <c r="K14" s="52"/>
      <c r="L14" s="52"/>
      <c r="M14" s="52"/>
      <c r="N14" s="52"/>
      <c r="O14" s="52"/>
      <c r="P14" s="53"/>
    </row>
    <row r="15" spans="2:19" ht="14.25" customHeight="1" x14ac:dyDescent="0.2">
      <c r="B15" s="176"/>
      <c r="C15" s="179"/>
      <c r="D15" s="192"/>
      <c r="E15" s="127"/>
      <c r="F15" s="164"/>
      <c r="G15" s="189" t="s">
        <v>37</v>
      </c>
      <c r="H15" s="190" t="s">
        <v>26</v>
      </c>
      <c r="I15" s="204">
        <v>1992</v>
      </c>
      <c r="J15" s="40" t="s">
        <v>53</v>
      </c>
      <c r="K15" s="51">
        <v>85.43</v>
      </c>
      <c r="L15" s="51">
        <v>86.43</v>
      </c>
      <c r="M15" s="104">
        <v>87.43</v>
      </c>
      <c r="N15" s="51">
        <v>88.43</v>
      </c>
      <c r="O15" s="51">
        <v>89.43</v>
      </c>
      <c r="P15" s="34">
        <v>89.43</v>
      </c>
    </row>
    <row r="16" spans="2:19" s="89" customFormat="1" ht="14.25" customHeight="1" x14ac:dyDescent="0.2">
      <c r="B16" s="176"/>
      <c r="C16" s="179"/>
      <c r="D16" s="192"/>
      <c r="E16" s="127"/>
      <c r="F16" s="164"/>
      <c r="G16" s="140"/>
      <c r="H16" s="147"/>
      <c r="I16" s="198"/>
      <c r="J16" s="82" t="s">
        <v>54</v>
      </c>
      <c r="K16" s="67">
        <v>95.4</v>
      </c>
      <c r="L16" s="67">
        <v>86</v>
      </c>
      <c r="M16" s="105">
        <v>84.72</v>
      </c>
      <c r="N16" s="67">
        <v>90.32</v>
      </c>
      <c r="O16" s="67"/>
      <c r="P16" s="88" t="s">
        <v>14</v>
      </c>
    </row>
    <row r="17" spans="2:19" ht="14.25" customHeight="1" x14ac:dyDescent="0.2">
      <c r="B17" s="176"/>
      <c r="C17" s="179"/>
      <c r="D17" s="192"/>
      <c r="E17" s="127"/>
      <c r="F17" s="164"/>
      <c r="G17" s="140"/>
      <c r="H17" s="147"/>
      <c r="I17" s="198"/>
      <c r="J17" s="37" t="s">
        <v>14</v>
      </c>
      <c r="K17" s="50">
        <f>+K16/K15</f>
        <v>1.11670373405127</v>
      </c>
      <c r="L17" s="50">
        <f>+L16/L15</f>
        <v>0.99502487562189046</v>
      </c>
      <c r="M17" s="50">
        <f t="shared" ref="M17" si="4">+M16/M15</f>
        <v>0.9690037744481298</v>
      </c>
      <c r="N17" s="50">
        <f t="shared" ref="N17" si="5">+N16/N15</f>
        <v>1.0213728372724187</v>
      </c>
      <c r="O17" s="50">
        <f t="shared" ref="O17" si="6">+O16/O15</f>
        <v>0</v>
      </c>
      <c r="P17" s="49">
        <f>+(0.125*K17)+(0.25*L17)+(0.25*M17)+(0.25*N17)+(0.125*O17)</f>
        <v>0.88593833859201854</v>
      </c>
    </row>
    <row r="18" spans="2:19" ht="14.25" customHeight="1" x14ac:dyDescent="0.2">
      <c r="B18" s="176"/>
      <c r="C18" s="179"/>
      <c r="D18" s="192"/>
      <c r="E18" s="127"/>
      <c r="F18" s="164"/>
      <c r="G18" s="23"/>
      <c r="H18" s="22"/>
      <c r="I18" s="27"/>
      <c r="J18" s="27"/>
      <c r="K18" s="52"/>
      <c r="L18" s="52"/>
      <c r="M18" s="52"/>
      <c r="N18" s="52"/>
      <c r="O18" s="52"/>
      <c r="P18" s="53"/>
    </row>
    <row r="19" spans="2:19" ht="15" customHeight="1" x14ac:dyDescent="0.2">
      <c r="B19" s="176"/>
      <c r="C19" s="179"/>
      <c r="D19" s="192"/>
      <c r="E19" s="127"/>
      <c r="F19" s="164"/>
      <c r="G19" s="140" t="s">
        <v>25</v>
      </c>
      <c r="H19" s="147" t="s">
        <v>38</v>
      </c>
      <c r="I19" s="198">
        <v>45196</v>
      </c>
      <c r="J19" s="37" t="s">
        <v>53</v>
      </c>
      <c r="K19" s="46">
        <v>1</v>
      </c>
      <c r="L19" s="46">
        <v>1</v>
      </c>
      <c r="M19" s="46">
        <v>1</v>
      </c>
      <c r="N19" s="46">
        <v>1</v>
      </c>
      <c r="O19" s="46">
        <v>9.9999999999999995E-7</v>
      </c>
      <c r="P19" s="32">
        <f>+K19+L19+M19+N19+O19</f>
        <v>4.0000010000000001</v>
      </c>
    </row>
    <row r="20" spans="2:19" s="89" customFormat="1" ht="15" customHeight="1" x14ac:dyDescent="0.2">
      <c r="B20" s="176"/>
      <c r="C20" s="179"/>
      <c r="D20" s="192"/>
      <c r="E20" s="127"/>
      <c r="F20" s="164"/>
      <c r="G20" s="140"/>
      <c r="H20" s="147"/>
      <c r="I20" s="198"/>
      <c r="J20" s="82" t="s">
        <v>54</v>
      </c>
      <c r="K20" s="67">
        <v>1</v>
      </c>
      <c r="L20" s="67">
        <v>1</v>
      </c>
      <c r="M20" s="111">
        <v>1</v>
      </c>
      <c r="N20" s="67">
        <v>0.25</v>
      </c>
      <c r="O20" s="67"/>
      <c r="P20" s="88">
        <f>+K20+L20+M20+N20+O20</f>
        <v>3.25</v>
      </c>
    </row>
    <row r="21" spans="2:19" ht="15" customHeight="1" x14ac:dyDescent="0.2">
      <c r="B21" s="176"/>
      <c r="C21" s="179"/>
      <c r="D21" s="192"/>
      <c r="E21" s="127"/>
      <c r="F21" s="164"/>
      <c r="G21" s="140"/>
      <c r="H21" s="147"/>
      <c r="I21" s="198"/>
      <c r="J21" s="37" t="s">
        <v>14</v>
      </c>
      <c r="K21" s="50">
        <f>+K20/K19</f>
        <v>1</v>
      </c>
      <c r="L21" s="50">
        <f>+L20/L19</f>
        <v>1</v>
      </c>
      <c r="M21" s="50">
        <f t="shared" ref="M21" si="7">+M20/M19</f>
        <v>1</v>
      </c>
      <c r="N21" s="50">
        <f t="shared" ref="N21" si="8">+N20/N19</f>
        <v>0.25</v>
      </c>
      <c r="O21" s="50">
        <f t="shared" ref="O21" si="9">+O20/O19</f>
        <v>0</v>
      </c>
      <c r="P21" s="49">
        <f>+(0.125*K21)+(0.25*L21)+(0.25*M21)+(0.25*N21)+(0.125*O21)</f>
        <v>0.6875</v>
      </c>
    </row>
    <row r="22" spans="2:19" ht="15" customHeight="1" x14ac:dyDescent="0.2">
      <c r="B22" s="176"/>
      <c r="C22" s="179"/>
      <c r="D22" s="192"/>
      <c r="E22" s="127"/>
      <c r="F22" s="164"/>
      <c r="G22" s="23"/>
      <c r="H22" s="22"/>
      <c r="I22" s="27"/>
      <c r="J22" s="27"/>
      <c r="K22" s="52"/>
      <c r="L22" s="52"/>
      <c r="M22" s="52"/>
      <c r="N22" s="52"/>
      <c r="O22" s="52"/>
      <c r="P22" s="53"/>
    </row>
    <row r="23" spans="2:19" ht="15" customHeight="1" x14ac:dyDescent="0.2">
      <c r="B23" s="176"/>
      <c r="C23" s="179"/>
      <c r="D23" s="192"/>
      <c r="E23" s="127"/>
      <c r="F23" s="164"/>
      <c r="G23" s="140" t="s">
        <v>36</v>
      </c>
      <c r="H23" s="147" t="s">
        <v>24</v>
      </c>
      <c r="I23" s="198">
        <v>9074</v>
      </c>
      <c r="J23" s="37" t="s">
        <v>53</v>
      </c>
      <c r="K23" s="46">
        <v>4.5</v>
      </c>
      <c r="L23" s="46">
        <v>13.5</v>
      </c>
      <c r="M23" s="46">
        <v>13</v>
      </c>
      <c r="N23" s="46">
        <v>12</v>
      </c>
      <c r="O23" s="46">
        <v>7</v>
      </c>
      <c r="P23" s="32">
        <f>+K23+L23+M23+N23+O23</f>
        <v>50</v>
      </c>
    </row>
    <row r="24" spans="2:19" s="89" customFormat="1" ht="15" customHeight="1" x14ac:dyDescent="0.2">
      <c r="B24" s="176"/>
      <c r="C24" s="179"/>
      <c r="D24" s="192"/>
      <c r="E24" s="127"/>
      <c r="F24" s="164"/>
      <c r="G24" s="140"/>
      <c r="H24" s="147"/>
      <c r="I24" s="198"/>
      <c r="J24" s="82" t="s">
        <v>54</v>
      </c>
      <c r="K24" s="67">
        <v>4.5</v>
      </c>
      <c r="L24" s="67">
        <v>13.5</v>
      </c>
      <c r="M24" s="103">
        <v>13</v>
      </c>
      <c r="N24" s="67">
        <v>0.13</v>
      </c>
      <c r="O24" s="67"/>
      <c r="P24" s="88">
        <f>+K24+L24+M24+N24+O24</f>
        <v>31.13</v>
      </c>
    </row>
    <row r="25" spans="2:19" ht="15" customHeight="1" x14ac:dyDescent="0.2">
      <c r="B25" s="176"/>
      <c r="C25" s="179"/>
      <c r="D25" s="192"/>
      <c r="E25" s="127"/>
      <c r="F25" s="164"/>
      <c r="G25" s="140"/>
      <c r="H25" s="147"/>
      <c r="I25" s="198"/>
      <c r="J25" s="37" t="s">
        <v>14</v>
      </c>
      <c r="K25" s="50">
        <f>+K24/K23</f>
        <v>1</v>
      </c>
      <c r="L25" s="50">
        <f>+L24/L23</f>
        <v>1</v>
      </c>
      <c r="M25" s="50">
        <f t="shared" ref="M25" si="10">+M24/M23</f>
        <v>1</v>
      </c>
      <c r="N25" s="50">
        <f t="shared" ref="N25" si="11">+N24/N23</f>
        <v>1.0833333333333334E-2</v>
      </c>
      <c r="O25" s="50">
        <f t="shared" ref="O25" si="12">+O24/O23</f>
        <v>0</v>
      </c>
      <c r="P25" s="49">
        <f>+(0.125*K25)+(0.25*L25)+(0.25*M25)+(0.25*N25)+(0.125*O25)</f>
        <v>0.62770833333333331</v>
      </c>
    </row>
    <row r="26" spans="2:19" ht="15" customHeight="1" x14ac:dyDescent="0.2">
      <c r="B26" s="176"/>
      <c r="C26" s="179"/>
      <c r="D26" s="192"/>
      <c r="E26" s="127"/>
      <c r="F26" s="164"/>
      <c r="G26" s="23"/>
      <c r="H26" s="22"/>
      <c r="I26" s="27"/>
      <c r="J26" s="27"/>
      <c r="K26" s="52"/>
      <c r="L26" s="52"/>
      <c r="M26" s="52"/>
      <c r="N26" s="52"/>
      <c r="O26" s="52"/>
      <c r="P26" s="53"/>
    </row>
    <row r="27" spans="2:19" ht="15" customHeight="1" x14ac:dyDescent="0.2">
      <c r="B27" s="176"/>
      <c r="C27" s="179"/>
      <c r="D27" s="192"/>
      <c r="E27" s="127"/>
      <c r="F27" s="164"/>
      <c r="G27" s="140" t="s">
        <v>39</v>
      </c>
      <c r="H27" s="147" t="s">
        <v>40</v>
      </c>
      <c r="I27" s="198">
        <v>18408</v>
      </c>
      <c r="J27" s="37" t="s">
        <v>53</v>
      </c>
      <c r="K27" s="46">
        <v>7</v>
      </c>
      <c r="L27" s="46">
        <v>12</v>
      </c>
      <c r="M27" s="101">
        <v>12</v>
      </c>
      <c r="N27" s="46">
        <v>12</v>
      </c>
      <c r="O27" s="46">
        <v>6.5</v>
      </c>
      <c r="P27" s="32">
        <f>+K27+L27+M27+N27+O27</f>
        <v>49.5</v>
      </c>
    </row>
    <row r="28" spans="2:19" s="89" customFormat="1" ht="15" customHeight="1" x14ac:dyDescent="0.2">
      <c r="B28" s="176"/>
      <c r="C28" s="179"/>
      <c r="D28" s="192"/>
      <c r="E28" s="127"/>
      <c r="F28" s="164"/>
      <c r="G28" s="140"/>
      <c r="H28" s="147"/>
      <c r="I28" s="198"/>
      <c r="J28" s="82" t="s">
        <v>54</v>
      </c>
      <c r="K28" s="67">
        <v>7</v>
      </c>
      <c r="L28" s="67">
        <v>11.5</v>
      </c>
      <c r="M28" s="102">
        <v>12</v>
      </c>
      <c r="N28" s="67">
        <v>2</v>
      </c>
      <c r="O28" s="67"/>
      <c r="P28" s="88">
        <f>+K28+L28+M28+N28+O28</f>
        <v>32.5</v>
      </c>
    </row>
    <row r="29" spans="2:19" ht="15" customHeight="1" x14ac:dyDescent="0.2">
      <c r="B29" s="176"/>
      <c r="C29" s="179"/>
      <c r="D29" s="192"/>
      <c r="E29" s="127"/>
      <c r="F29" s="164"/>
      <c r="G29" s="140"/>
      <c r="H29" s="147"/>
      <c r="I29" s="198"/>
      <c r="J29" s="37" t="s">
        <v>14</v>
      </c>
      <c r="K29" s="50">
        <f>+K28/K27</f>
        <v>1</v>
      </c>
      <c r="L29" s="50">
        <f>+L28/L27</f>
        <v>0.95833333333333337</v>
      </c>
      <c r="M29" s="50">
        <f t="shared" ref="M29" si="13">+M28/M27</f>
        <v>1</v>
      </c>
      <c r="N29" s="50">
        <f t="shared" ref="N29" si="14">+N28/N27</f>
        <v>0.16666666666666666</v>
      </c>
      <c r="O29" s="50">
        <f t="shared" ref="O29" si="15">+O28/O27</f>
        <v>0</v>
      </c>
      <c r="P29" s="49">
        <f>+(0.125*K29)+(0.25*L29)+(0.25*M29)+(0.25*N29)+(0.125*O29)</f>
        <v>0.65625</v>
      </c>
    </row>
    <row r="30" spans="2:19" ht="15" customHeight="1" x14ac:dyDescent="0.2">
      <c r="B30" s="176"/>
      <c r="C30" s="179"/>
      <c r="D30" s="192"/>
      <c r="E30" s="127"/>
      <c r="F30" s="164"/>
      <c r="G30" s="23"/>
      <c r="H30" s="22"/>
      <c r="I30" s="27"/>
      <c r="J30" s="27"/>
      <c r="K30" s="52"/>
      <c r="L30" s="52"/>
      <c r="M30" s="52"/>
      <c r="N30" s="52"/>
      <c r="O30" s="52"/>
      <c r="P30" s="53"/>
    </row>
    <row r="31" spans="2:19" ht="15" customHeight="1" x14ac:dyDescent="0.2">
      <c r="B31" s="176"/>
      <c r="C31" s="179"/>
      <c r="D31" s="192"/>
      <c r="E31" s="127"/>
      <c r="F31" s="164"/>
      <c r="G31" s="140" t="s">
        <v>27</v>
      </c>
      <c r="H31" s="147" t="s">
        <v>28</v>
      </c>
      <c r="I31" s="198">
        <v>1917</v>
      </c>
      <c r="J31" s="37" t="s">
        <v>53</v>
      </c>
      <c r="K31" s="46">
        <v>0.8</v>
      </c>
      <c r="L31" s="46">
        <v>1</v>
      </c>
      <c r="M31" s="46">
        <v>1</v>
      </c>
      <c r="N31" s="46">
        <v>1</v>
      </c>
      <c r="O31" s="46">
        <v>0.2</v>
      </c>
      <c r="P31" s="32">
        <f>+K31+L31+M31+N31+O31</f>
        <v>4</v>
      </c>
      <c r="S31" s="18">
        <f>0.25/100</f>
        <v>2.5000000000000001E-3</v>
      </c>
    </row>
    <row r="32" spans="2:19" s="89" customFormat="1" ht="15" customHeight="1" x14ac:dyDescent="0.2">
      <c r="B32" s="176"/>
      <c r="C32" s="179"/>
      <c r="D32" s="192"/>
      <c r="E32" s="127"/>
      <c r="F32" s="164"/>
      <c r="G32" s="140"/>
      <c r="H32" s="147"/>
      <c r="I32" s="198"/>
      <c r="J32" s="82" t="s">
        <v>54</v>
      </c>
      <c r="K32" s="67">
        <v>0.8</v>
      </c>
      <c r="L32" s="67">
        <v>1</v>
      </c>
      <c r="M32" s="100">
        <v>1</v>
      </c>
      <c r="N32" s="67">
        <v>0.1</v>
      </c>
      <c r="O32" s="67"/>
      <c r="P32" s="88">
        <f>+K32+L32+M32+N32+O32</f>
        <v>2.9</v>
      </c>
      <c r="S32" s="89">
        <f>+S31*35</f>
        <v>8.7500000000000008E-2</v>
      </c>
    </row>
    <row r="33" spans="2:19" ht="15" customHeight="1" thickBot="1" x14ac:dyDescent="0.25">
      <c r="B33" s="177"/>
      <c r="C33" s="180"/>
      <c r="D33" s="193"/>
      <c r="E33" s="128"/>
      <c r="F33" s="185"/>
      <c r="G33" s="166"/>
      <c r="H33" s="148"/>
      <c r="I33" s="199"/>
      <c r="J33" s="38" t="s">
        <v>14</v>
      </c>
      <c r="K33" s="57">
        <f>+K32/K31</f>
        <v>1</v>
      </c>
      <c r="L33" s="57">
        <f>+L32/L31</f>
        <v>1</v>
      </c>
      <c r="M33" s="57">
        <f t="shared" ref="M33" si="16">+M32/M31</f>
        <v>1</v>
      </c>
      <c r="N33" s="57">
        <f t="shared" ref="N33" si="17">+N32/N31</f>
        <v>0.1</v>
      </c>
      <c r="O33" s="57">
        <f t="shared" ref="O33" si="18">+O32/O31</f>
        <v>0</v>
      </c>
      <c r="P33" s="45">
        <f>+(0.125*K33)+(0.25*L33)+(0.25*M33)+(0.25*N33)+(0.125*O33)</f>
        <v>0.65</v>
      </c>
    </row>
    <row r="34" spans="2:19" ht="18.75" customHeight="1" x14ac:dyDescent="0.2">
      <c r="B34" s="153" t="s">
        <v>31</v>
      </c>
      <c r="C34" s="156">
        <v>0.6</v>
      </c>
      <c r="D34" s="141">
        <f>+(((P36+P40+P44+P48+P52+P56)/6)*0.6)</f>
        <v>0.43239576717888384</v>
      </c>
      <c r="E34" s="149" t="s">
        <v>47</v>
      </c>
      <c r="F34" s="153" t="s">
        <v>43</v>
      </c>
      <c r="G34" s="138" t="s">
        <v>55</v>
      </c>
      <c r="H34" s="164" t="s">
        <v>22</v>
      </c>
      <c r="I34" s="124" t="s">
        <v>30</v>
      </c>
      <c r="J34" s="43" t="s">
        <v>53</v>
      </c>
      <c r="K34" s="51"/>
      <c r="L34" s="51">
        <v>0.1</v>
      </c>
      <c r="M34" s="51">
        <v>0.1</v>
      </c>
      <c r="N34" s="51">
        <v>0.7</v>
      </c>
      <c r="O34" s="51">
        <v>0.1</v>
      </c>
      <c r="P34" s="34">
        <f>+K34+L34+M34+N34+O34</f>
        <v>0.99999999999999989</v>
      </c>
    </row>
    <row r="35" spans="2:19" s="84" customFormat="1" ht="18.75" customHeight="1" x14ac:dyDescent="0.2">
      <c r="B35" s="154"/>
      <c r="C35" s="157"/>
      <c r="D35" s="141"/>
      <c r="E35" s="150"/>
      <c r="F35" s="154"/>
      <c r="G35" s="139"/>
      <c r="H35" s="164"/>
      <c r="I35" s="124"/>
      <c r="J35" s="83" t="s">
        <v>54</v>
      </c>
      <c r="K35" s="69"/>
      <c r="L35" s="51">
        <v>0.1</v>
      </c>
      <c r="M35" s="51">
        <v>0.1</v>
      </c>
      <c r="N35" s="89">
        <v>0.24499999999999997</v>
      </c>
      <c r="O35" s="69"/>
      <c r="P35" s="80">
        <f>+K35+L35+M35+N35+O35</f>
        <v>0.44499999999999995</v>
      </c>
    </row>
    <row r="36" spans="2:19" ht="18.75" customHeight="1" x14ac:dyDescent="0.2">
      <c r="B36" s="154"/>
      <c r="C36" s="157"/>
      <c r="D36" s="141"/>
      <c r="E36" s="150"/>
      <c r="F36" s="154"/>
      <c r="G36" s="139"/>
      <c r="H36" s="164"/>
      <c r="I36" s="125"/>
      <c r="J36" s="43" t="s">
        <v>14</v>
      </c>
      <c r="K36" s="50"/>
      <c r="L36" s="50">
        <f>+L35/L34</f>
        <v>1</v>
      </c>
      <c r="M36" s="70">
        <f t="shared" ref="M36:O36" si="19">+M35/M34</f>
        <v>1</v>
      </c>
      <c r="N36" s="50">
        <f t="shared" si="19"/>
        <v>0.35</v>
      </c>
      <c r="O36" s="50">
        <f t="shared" si="19"/>
        <v>0</v>
      </c>
      <c r="P36" s="81">
        <f>+(0*K36)+(0.1*L36)+(0.1*M36)+(0.7*N36)+(0.1*O36)</f>
        <v>0.44499999999999995</v>
      </c>
    </row>
    <row r="37" spans="2:19" ht="13.5" customHeight="1" thickBot="1" x14ac:dyDescent="0.25">
      <c r="B37" s="154"/>
      <c r="C37" s="157"/>
      <c r="D37" s="141"/>
      <c r="E37" s="150"/>
      <c r="F37" s="154"/>
      <c r="G37" s="23"/>
      <c r="H37" s="22"/>
      <c r="I37" s="27"/>
      <c r="J37" s="27"/>
      <c r="K37" s="52"/>
      <c r="L37" s="52"/>
      <c r="M37" s="52"/>
      <c r="N37" s="52"/>
      <c r="O37" s="52"/>
      <c r="P37" s="53"/>
    </row>
    <row r="38" spans="2:19" ht="13.5" customHeight="1" x14ac:dyDescent="0.2">
      <c r="B38" s="154"/>
      <c r="C38" s="157"/>
      <c r="D38" s="141"/>
      <c r="E38" s="150"/>
      <c r="F38" s="154"/>
      <c r="G38" s="140" t="s">
        <v>63</v>
      </c>
      <c r="H38" s="159" t="s">
        <v>15</v>
      </c>
      <c r="I38" s="137">
        <v>442673</v>
      </c>
      <c r="J38" s="77" t="s">
        <v>53</v>
      </c>
      <c r="K38" s="69">
        <v>219.26</v>
      </c>
      <c r="L38" s="69">
        <v>410.08</v>
      </c>
      <c r="M38" s="85">
        <v>447.75</v>
      </c>
      <c r="N38" s="107">
        <v>444.86</v>
      </c>
      <c r="O38" s="79">
        <v>1</v>
      </c>
      <c r="P38" s="80">
        <f>+K38+L38+M38+N38+O38</f>
        <v>1522.9499999999998</v>
      </c>
    </row>
    <row r="39" spans="2:19" s="89" customFormat="1" ht="13.5" customHeight="1" x14ac:dyDescent="0.2">
      <c r="B39" s="154"/>
      <c r="C39" s="157"/>
      <c r="D39" s="141"/>
      <c r="E39" s="150"/>
      <c r="F39" s="154"/>
      <c r="G39" s="140"/>
      <c r="H39" s="159"/>
      <c r="I39" s="137"/>
      <c r="J39" s="82" t="s">
        <v>54</v>
      </c>
      <c r="K39" s="67">
        <v>228.54</v>
      </c>
      <c r="L39" s="67">
        <v>380.8</v>
      </c>
      <c r="M39" s="67">
        <v>451.01</v>
      </c>
      <c r="N39" s="107">
        <v>53.52</v>
      </c>
      <c r="O39" s="67"/>
      <c r="P39" s="88">
        <f>+K39+L39+M39+N39+O39</f>
        <v>1113.8699999999999</v>
      </c>
    </row>
    <row r="40" spans="2:19" ht="13.5" customHeight="1" x14ac:dyDescent="0.2">
      <c r="B40" s="154"/>
      <c r="C40" s="157"/>
      <c r="D40" s="141"/>
      <c r="E40" s="150"/>
      <c r="F40" s="154"/>
      <c r="G40" s="140"/>
      <c r="H40" s="159"/>
      <c r="I40" s="137"/>
      <c r="J40" s="77" t="s">
        <v>14</v>
      </c>
      <c r="K40" s="70">
        <f>+K39/K38</f>
        <v>1.0423241813372253</v>
      </c>
      <c r="L40" s="70">
        <f>+L39/L38</f>
        <v>0.9285992976980102</v>
      </c>
      <c r="M40" s="86">
        <f t="shared" ref="M40" si="20">+M39/M38</f>
        <v>1.0072808486878839</v>
      </c>
      <c r="N40" s="70">
        <f t="shared" ref="N40" si="21">+N39/N38</f>
        <v>0.1203075124758351</v>
      </c>
      <c r="O40" s="70">
        <f t="shared" ref="O40" si="22">+O39/O38</f>
        <v>0</v>
      </c>
      <c r="P40" s="81">
        <f>+(0.125*K40)+(0.25*L40)+(0.25*M40)+(0.25*N40)+(0.125*O40)</f>
        <v>0.64433743738258553</v>
      </c>
      <c r="S40" s="76"/>
    </row>
    <row r="41" spans="2:19" ht="13.5" customHeight="1" x14ac:dyDescent="0.2">
      <c r="B41" s="154"/>
      <c r="C41" s="157"/>
      <c r="D41" s="141"/>
      <c r="E41" s="150"/>
      <c r="F41" s="154"/>
      <c r="G41" s="23"/>
      <c r="H41" s="22"/>
      <c r="I41" s="27"/>
      <c r="J41" s="27"/>
      <c r="K41" s="52"/>
      <c r="L41" s="52"/>
      <c r="M41" s="52"/>
      <c r="N41" s="52"/>
      <c r="O41" s="52"/>
      <c r="P41" s="53"/>
      <c r="S41" s="76"/>
    </row>
    <row r="42" spans="2:19" ht="13.5" customHeight="1" x14ac:dyDescent="0.2">
      <c r="B42" s="154"/>
      <c r="C42" s="157"/>
      <c r="D42" s="141"/>
      <c r="E42" s="150"/>
      <c r="F42" s="154"/>
      <c r="G42" s="140" t="s">
        <v>61</v>
      </c>
      <c r="H42" s="147" t="s">
        <v>16</v>
      </c>
      <c r="I42" s="135">
        <v>83838</v>
      </c>
      <c r="J42" s="37" t="s">
        <v>53</v>
      </c>
      <c r="K42" s="46">
        <v>8.85</v>
      </c>
      <c r="L42" s="46">
        <v>20</v>
      </c>
      <c r="M42" s="87">
        <v>29</v>
      </c>
      <c r="N42" s="46">
        <v>20</v>
      </c>
      <c r="O42" s="109">
        <v>10.66</v>
      </c>
      <c r="P42" s="110">
        <f>+K42+L42+M42+N42+O42</f>
        <v>88.509999999999991</v>
      </c>
      <c r="R42" s="32"/>
      <c r="S42" s="46"/>
    </row>
    <row r="43" spans="2:19" s="89" customFormat="1" ht="13.5" customHeight="1" x14ac:dyDescent="0.2">
      <c r="B43" s="154"/>
      <c r="C43" s="157"/>
      <c r="D43" s="141"/>
      <c r="E43" s="150"/>
      <c r="F43" s="154"/>
      <c r="G43" s="140"/>
      <c r="H43" s="147"/>
      <c r="I43" s="135"/>
      <c r="J43" s="82" t="s">
        <v>54</v>
      </c>
      <c r="K43" s="67">
        <v>14.11</v>
      </c>
      <c r="L43" s="67">
        <v>19.54</v>
      </c>
      <c r="M43" s="87">
        <v>30.12</v>
      </c>
      <c r="N43" s="67">
        <v>10.17</v>
      </c>
      <c r="O43" s="67"/>
      <c r="P43" s="88">
        <f>+K43+L43+M43+N43+O43</f>
        <v>73.94</v>
      </c>
      <c r="S43" s="92"/>
    </row>
    <row r="44" spans="2:19" ht="13.5" customHeight="1" x14ac:dyDescent="0.2">
      <c r="B44" s="154"/>
      <c r="C44" s="157"/>
      <c r="D44" s="141"/>
      <c r="E44" s="150"/>
      <c r="F44" s="154"/>
      <c r="G44" s="140"/>
      <c r="H44" s="147"/>
      <c r="I44" s="135"/>
      <c r="J44" s="37" t="s">
        <v>14</v>
      </c>
      <c r="K44" s="50">
        <f>+K43/K42</f>
        <v>1.5943502824858757</v>
      </c>
      <c r="L44" s="50">
        <f>+L43/L42</f>
        <v>0.97699999999999998</v>
      </c>
      <c r="M44" s="50">
        <f t="shared" ref="M44" si="23">+M43/M42</f>
        <v>1.0386206896551724</v>
      </c>
      <c r="N44" s="50">
        <f t="shared" ref="N44" si="24">+N43/N42</f>
        <v>0.50849999999999995</v>
      </c>
      <c r="O44" s="50">
        <f t="shared" ref="O44" si="25">+O43/O42</f>
        <v>0</v>
      </c>
      <c r="P44" s="49">
        <f>+(0.125*K44)+(0.25*L44)+(0.25*M44)+(0.25*N44)+(0.125*O44)</f>
        <v>0.83032395772452761</v>
      </c>
    </row>
    <row r="45" spans="2:19" ht="13.5" customHeight="1" x14ac:dyDescent="0.2">
      <c r="B45" s="154"/>
      <c r="C45" s="157"/>
      <c r="D45" s="141"/>
      <c r="E45" s="150"/>
      <c r="F45" s="154"/>
      <c r="G45" s="23"/>
      <c r="H45" s="22"/>
      <c r="I45" s="27"/>
      <c r="J45" s="27"/>
      <c r="K45" s="52"/>
      <c r="L45" s="52"/>
      <c r="M45" s="52"/>
      <c r="N45" s="52"/>
      <c r="O45" s="52"/>
      <c r="P45" s="53"/>
    </row>
    <row r="46" spans="2:19" ht="13.5" customHeight="1" x14ac:dyDescent="0.2">
      <c r="B46" s="154"/>
      <c r="C46" s="157"/>
      <c r="D46" s="141"/>
      <c r="E46" s="150"/>
      <c r="F46" s="154"/>
      <c r="G46" s="140" t="s">
        <v>17</v>
      </c>
      <c r="H46" s="160" t="s">
        <v>18</v>
      </c>
      <c r="I46" s="135">
        <v>402</v>
      </c>
      <c r="J46" s="78" t="s">
        <v>53</v>
      </c>
      <c r="K46" s="67">
        <v>0.1</v>
      </c>
      <c r="L46" s="67">
        <v>0.25</v>
      </c>
      <c r="M46" s="67">
        <v>0.25</v>
      </c>
      <c r="N46" s="46">
        <v>0.4</v>
      </c>
      <c r="O46" s="46">
        <v>1.1E-5</v>
      </c>
      <c r="P46" s="32">
        <f>+K46+L46+M46+N46+O46</f>
        <v>1.000011</v>
      </c>
      <c r="S46" s="32"/>
    </row>
    <row r="47" spans="2:19" s="89" customFormat="1" ht="13.5" customHeight="1" x14ac:dyDescent="0.2">
      <c r="B47" s="154"/>
      <c r="C47" s="157"/>
      <c r="D47" s="141"/>
      <c r="E47" s="150"/>
      <c r="F47" s="154"/>
      <c r="G47" s="140"/>
      <c r="H47" s="160"/>
      <c r="I47" s="135"/>
      <c r="J47" s="82" t="s">
        <v>54</v>
      </c>
      <c r="K47" s="67">
        <v>0.1</v>
      </c>
      <c r="L47" s="67">
        <v>0.25</v>
      </c>
      <c r="M47" s="67">
        <v>0.25</v>
      </c>
      <c r="N47" s="67">
        <v>0.09</v>
      </c>
      <c r="O47" s="67">
        <v>0</v>
      </c>
      <c r="P47" s="88">
        <f>+K47+L47+M47+N47+O47</f>
        <v>0.69</v>
      </c>
    </row>
    <row r="48" spans="2:19" ht="13.5" customHeight="1" x14ac:dyDescent="0.2">
      <c r="B48" s="154"/>
      <c r="C48" s="157"/>
      <c r="D48" s="141"/>
      <c r="E48" s="150"/>
      <c r="F48" s="154"/>
      <c r="G48" s="140"/>
      <c r="H48" s="160"/>
      <c r="I48" s="135"/>
      <c r="J48" s="78" t="s">
        <v>14</v>
      </c>
      <c r="K48" s="74">
        <f>+K47/K46</f>
        <v>1</v>
      </c>
      <c r="L48" s="74">
        <f>+L47/L46</f>
        <v>1</v>
      </c>
      <c r="M48" s="74">
        <f t="shared" ref="M48" si="26">+M47/M46</f>
        <v>1</v>
      </c>
      <c r="N48" s="50">
        <f t="shared" ref="N48" si="27">+N47/N46</f>
        <v>0.22499999999999998</v>
      </c>
      <c r="O48" s="50">
        <f t="shared" ref="O48" si="28">+O47/O46</f>
        <v>0</v>
      </c>
      <c r="P48" s="49">
        <f>+(0.125*K48)+(0.25*L48)+(0.25*M48)+(0.25*N48)+(0.125*O48)</f>
        <v>0.68125000000000002</v>
      </c>
      <c r="S48" s="32"/>
    </row>
    <row r="49" spans="2:19" ht="13.5" customHeight="1" x14ac:dyDescent="0.2">
      <c r="B49" s="154"/>
      <c r="C49" s="157"/>
      <c r="D49" s="141"/>
      <c r="E49" s="150"/>
      <c r="F49" s="154"/>
      <c r="G49" s="23"/>
      <c r="H49" s="22"/>
      <c r="I49" s="27"/>
      <c r="J49" s="27"/>
      <c r="K49" s="52"/>
      <c r="L49" s="52"/>
      <c r="M49" s="52"/>
      <c r="N49" s="52"/>
      <c r="O49" s="52"/>
      <c r="P49" s="53"/>
    </row>
    <row r="50" spans="2:19" ht="13.5" customHeight="1" x14ac:dyDescent="0.2">
      <c r="B50" s="154"/>
      <c r="C50" s="157"/>
      <c r="D50" s="141"/>
      <c r="E50" s="150"/>
      <c r="F50" s="154"/>
      <c r="G50" s="140" t="s">
        <v>64</v>
      </c>
      <c r="H50" s="147" t="s">
        <v>19</v>
      </c>
      <c r="I50" s="135">
        <v>44582</v>
      </c>
      <c r="J50" s="37" t="s">
        <v>53</v>
      </c>
      <c r="K50" s="46">
        <v>7</v>
      </c>
      <c r="L50" s="46">
        <v>16.5</v>
      </c>
      <c r="M50" s="87">
        <v>20.3</v>
      </c>
      <c r="N50" s="46">
        <v>28</v>
      </c>
      <c r="O50" s="46">
        <v>19.899999999999999</v>
      </c>
      <c r="P50" s="32">
        <f>+K50+L50+M50+N50+O50</f>
        <v>91.699999999999989</v>
      </c>
    </row>
    <row r="51" spans="2:19" s="89" customFormat="1" ht="13.5" customHeight="1" x14ac:dyDescent="0.2">
      <c r="B51" s="154"/>
      <c r="C51" s="157"/>
      <c r="D51" s="141"/>
      <c r="E51" s="150"/>
      <c r="F51" s="154"/>
      <c r="G51" s="140"/>
      <c r="H51" s="147"/>
      <c r="I51" s="135"/>
      <c r="J51" s="82" t="s">
        <v>54</v>
      </c>
      <c r="K51" s="67">
        <v>7.83</v>
      </c>
      <c r="L51" s="67">
        <v>27.53</v>
      </c>
      <c r="M51" s="87">
        <v>21.09</v>
      </c>
      <c r="N51" s="87">
        <v>2.38</v>
      </c>
      <c r="O51" s="67"/>
      <c r="P51" s="88">
        <f>+K51+L51+M51+N51+O51</f>
        <v>58.830000000000005</v>
      </c>
      <c r="S51" s="67"/>
    </row>
    <row r="52" spans="2:19" ht="13.5" customHeight="1" x14ac:dyDescent="0.2">
      <c r="B52" s="154"/>
      <c r="C52" s="157"/>
      <c r="D52" s="141"/>
      <c r="E52" s="150"/>
      <c r="F52" s="154"/>
      <c r="G52" s="140"/>
      <c r="H52" s="147"/>
      <c r="I52" s="135"/>
      <c r="J52" s="37" t="s">
        <v>14</v>
      </c>
      <c r="K52" s="50">
        <f>+K51/K50</f>
        <v>1.1185714285714285</v>
      </c>
      <c r="L52" s="50">
        <f>+L51/L50</f>
        <v>1.6684848484848485</v>
      </c>
      <c r="M52" s="50">
        <f t="shared" ref="M52" si="29">+M51/M50</f>
        <v>1.0389162561576355</v>
      </c>
      <c r="N52" s="108">
        <f t="shared" ref="N52" si="30">+N51/N50</f>
        <v>8.4999999999999992E-2</v>
      </c>
      <c r="O52" s="50">
        <f t="shared" ref="O52" si="31">+O51/O50</f>
        <v>0</v>
      </c>
      <c r="P52" s="49">
        <f>+(0.125*K52)+(0.25*L52)+(0.25*M52)+(0.25*N52)+(0.125*O52)</f>
        <v>0.83792170473204952</v>
      </c>
    </row>
    <row r="53" spans="2:19" ht="13.5" customHeight="1" x14ac:dyDescent="0.2">
      <c r="B53" s="154"/>
      <c r="C53" s="157"/>
      <c r="D53" s="141"/>
      <c r="E53" s="150"/>
      <c r="F53" s="154"/>
      <c r="G53" s="23"/>
      <c r="H53" s="22"/>
      <c r="I53" s="27"/>
      <c r="J53" s="27"/>
      <c r="K53" s="52"/>
      <c r="L53" s="52"/>
      <c r="M53" s="52"/>
      <c r="N53" s="52"/>
      <c r="O53" s="52"/>
      <c r="P53" s="53"/>
    </row>
    <row r="54" spans="2:19" ht="13.5" customHeight="1" x14ac:dyDescent="0.2">
      <c r="B54" s="154"/>
      <c r="C54" s="157"/>
      <c r="D54" s="141"/>
      <c r="E54" s="150"/>
      <c r="F54" s="154"/>
      <c r="G54" s="161" t="s">
        <v>20</v>
      </c>
      <c r="H54" s="147" t="s">
        <v>21</v>
      </c>
      <c r="I54" s="135">
        <v>29009</v>
      </c>
      <c r="J54" s="37" t="s">
        <v>53</v>
      </c>
      <c r="K54" s="46">
        <v>1.44</v>
      </c>
      <c r="L54" s="46">
        <v>7</v>
      </c>
      <c r="M54" s="46">
        <v>9.5</v>
      </c>
      <c r="N54" s="46">
        <v>10</v>
      </c>
      <c r="O54" s="46">
        <v>6.0600000000000032</v>
      </c>
      <c r="P54" s="32">
        <f>+K54+L54+M54+N54+O54</f>
        <v>34</v>
      </c>
      <c r="R54" s="18">
        <v>34</v>
      </c>
    </row>
    <row r="55" spans="2:19" s="89" customFormat="1" ht="13.5" customHeight="1" x14ac:dyDescent="0.2">
      <c r="B55" s="154"/>
      <c r="C55" s="157"/>
      <c r="D55" s="141"/>
      <c r="E55" s="150"/>
      <c r="F55" s="154"/>
      <c r="G55" s="162"/>
      <c r="H55" s="147"/>
      <c r="I55" s="135"/>
      <c r="J55" s="82" t="s">
        <v>54</v>
      </c>
      <c r="K55" s="67">
        <v>2.7</v>
      </c>
      <c r="L55" s="67">
        <v>7.18</v>
      </c>
      <c r="M55" s="87">
        <v>9.68</v>
      </c>
      <c r="N55" s="67">
        <v>1.92</v>
      </c>
      <c r="O55" s="67">
        <v>4.4400000000000004</v>
      </c>
      <c r="P55" s="88">
        <f>+K55+L55+M55+N55+O55</f>
        <v>25.919999999999998</v>
      </c>
      <c r="R55" s="89">
        <f>+R54-P54</f>
        <v>0</v>
      </c>
    </row>
    <row r="56" spans="2:19" ht="13.5" customHeight="1" thickBot="1" x14ac:dyDescent="0.25">
      <c r="B56" s="155"/>
      <c r="C56" s="158"/>
      <c r="D56" s="142"/>
      <c r="E56" s="151"/>
      <c r="F56" s="155"/>
      <c r="G56" s="163"/>
      <c r="H56" s="148"/>
      <c r="I56" s="136"/>
      <c r="J56" s="38" t="s">
        <v>14</v>
      </c>
      <c r="K56" s="57">
        <f>+K55/K54</f>
        <v>1.8750000000000002</v>
      </c>
      <c r="L56" s="57">
        <f>+L55/L54</f>
        <v>1.0257142857142856</v>
      </c>
      <c r="M56" s="57">
        <f t="shared" ref="M56" si="32">+M55/M54</f>
        <v>1.0189473684210526</v>
      </c>
      <c r="N56" s="57">
        <f t="shared" ref="N56" si="33">+N55/N54</f>
        <v>0.192</v>
      </c>
      <c r="O56" s="57">
        <f t="shared" ref="O56" si="34">+O55/O54</f>
        <v>0.73267326732673232</v>
      </c>
      <c r="P56" s="45">
        <f>+(0.125*K56)+(0.25*L56)+(0.25*M56)+(0.25*N56)+(0.125*O56)</f>
        <v>0.8851245719496762</v>
      </c>
      <c r="R56" s="18">
        <f>+R55+O54</f>
        <v>6.0600000000000032</v>
      </c>
    </row>
    <row r="57" spans="2:19" ht="16.5" customHeight="1" x14ac:dyDescent="0.2">
      <c r="B57" s="145" t="s">
        <v>32</v>
      </c>
      <c r="C57" s="132">
        <v>0.15</v>
      </c>
      <c r="D57" s="143">
        <f>(P59*0.15)</f>
        <v>8.6503297983185595E-2</v>
      </c>
      <c r="E57" s="149" t="s">
        <v>48</v>
      </c>
      <c r="F57" s="145" t="s">
        <v>44</v>
      </c>
      <c r="G57" s="165" t="s">
        <v>62</v>
      </c>
      <c r="H57" s="126" t="s">
        <v>23</v>
      </c>
      <c r="I57" s="129">
        <v>18446</v>
      </c>
      <c r="J57" s="41" t="s">
        <v>53</v>
      </c>
      <c r="K57" s="54">
        <v>0</v>
      </c>
      <c r="L57" s="48">
        <v>30000</v>
      </c>
      <c r="M57" s="98">
        <v>48184.9</v>
      </c>
      <c r="N57" s="98">
        <v>30000</v>
      </c>
      <c r="O57" s="98">
        <v>8185.76</v>
      </c>
      <c r="P57" s="47">
        <f>+K57+L57+M57+N57+O57</f>
        <v>116370.65999999999</v>
      </c>
    </row>
    <row r="58" spans="2:19" s="89" customFormat="1" ht="16.5" customHeight="1" x14ac:dyDescent="0.25">
      <c r="B58" s="146"/>
      <c r="C58" s="133"/>
      <c r="D58" s="144"/>
      <c r="E58" s="150"/>
      <c r="F58" s="146"/>
      <c r="G58" s="140"/>
      <c r="H58" s="127"/>
      <c r="I58" s="130"/>
      <c r="J58" s="90" t="s">
        <v>54</v>
      </c>
      <c r="K58" s="91"/>
      <c r="L58" s="68">
        <v>31152</v>
      </c>
      <c r="M58" s="99">
        <v>47154.64</v>
      </c>
      <c r="N58" s="99">
        <v>8692.08</v>
      </c>
      <c r="O58" s="68"/>
      <c r="P58" s="68">
        <f>+K58+L58+M58+N58+O58</f>
        <v>86998.720000000001</v>
      </c>
    </row>
    <row r="59" spans="2:19" ht="16.5" customHeight="1" thickBot="1" x14ac:dyDescent="0.25">
      <c r="B59" s="146"/>
      <c r="C59" s="134"/>
      <c r="D59" s="144"/>
      <c r="E59" s="151"/>
      <c r="F59" s="152"/>
      <c r="G59" s="166"/>
      <c r="H59" s="128"/>
      <c r="I59" s="131"/>
      <c r="J59" s="42" t="s">
        <v>14</v>
      </c>
      <c r="K59" s="55"/>
      <c r="L59" s="56">
        <f>+L58/L57</f>
        <v>1.0384</v>
      </c>
      <c r="M59" s="56">
        <f t="shared" ref="M59:N59" si="35">+M58/M57</f>
        <v>0.97861861288494945</v>
      </c>
      <c r="N59" s="56">
        <f t="shared" si="35"/>
        <v>0.28973599999999999</v>
      </c>
      <c r="O59" s="56">
        <v>0</v>
      </c>
      <c r="P59" s="45">
        <f>+(0.125*K59)+(0.25*L59)+(0.25*M59)+(0.25*N59)+(0.125*O59)</f>
        <v>0.5766886532212373</v>
      </c>
    </row>
    <row r="60" spans="2:19" ht="13.5" thickBot="1" x14ac:dyDescent="0.25">
      <c r="B60" s="30" t="s">
        <v>34</v>
      </c>
      <c r="C60" s="35">
        <f>SUM(C8:C59)</f>
        <v>1</v>
      </c>
      <c r="D60" s="65">
        <f>SUM(D8:D59)</f>
        <v>0.68627148196020327</v>
      </c>
    </row>
    <row r="66" spans="7:7" x14ac:dyDescent="0.2">
      <c r="G66" s="24"/>
    </row>
    <row r="67" spans="7:7" x14ac:dyDescent="0.2">
      <c r="G67" s="24"/>
    </row>
  </sheetData>
  <mergeCells count="75">
    <mergeCell ref="B11:B33"/>
    <mergeCell ref="C11:C33"/>
    <mergeCell ref="D11:D33"/>
    <mergeCell ref="E11:E33"/>
    <mergeCell ref="F11:F33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49"/>
  <sheetViews>
    <sheetView tabSelected="1" topLeftCell="B1" zoomScale="80" zoomScaleNormal="80" workbookViewId="0">
      <pane ySplit="6" topLeftCell="A22" activePane="bottomLeft" state="frozen"/>
      <selection pane="bottomLeft" activeCell="E10" sqref="E10:E27"/>
    </sheetView>
  </sheetViews>
  <sheetFormatPr baseColWidth="10" defaultRowHeight="15" x14ac:dyDescent="0.25"/>
  <cols>
    <col min="3" max="3" width="34.28515625" customWidth="1"/>
    <col min="4" max="4" width="13.7109375" customWidth="1"/>
    <col min="5" max="5" width="18.28515625" customWidth="1"/>
    <col min="6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2" ht="15.75" thickBot="1" x14ac:dyDescent="0.3"/>
    <row r="5" spans="3:12" ht="15" customHeight="1" x14ac:dyDescent="0.25">
      <c r="C5" s="194" t="s">
        <v>3</v>
      </c>
      <c r="D5" s="167" t="s">
        <v>4</v>
      </c>
      <c r="E5" s="167" t="s">
        <v>65</v>
      </c>
      <c r="F5" s="167" t="s">
        <v>58</v>
      </c>
      <c r="G5" s="167" t="s">
        <v>58</v>
      </c>
      <c r="H5" s="167" t="s">
        <v>12</v>
      </c>
      <c r="I5" s="167" t="s">
        <v>66</v>
      </c>
      <c r="J5" s="216" t="s">
        <v>60</v>
      </c>
    </row>
    <row r="6" spans="3:12" ht="15.75" thickBot="1" x14ac:dyDescent="0.3">
      <c r="C6" s="195"/>
      <c r="D6" s="168"/>
      <c r="E6" s="168"/>
      <c r="F6" s="168"/>
      <c r="G6" s="168"/>
      <c r="H6" s="168"/>
      <c r="I6" s="168"/>
      <c r="J6" s="217"/>
    </row>
    <row r="7" spans="3:12" x14ac:dyDescent="0.25">
      <c r="C7" s="264" t="s">
        <v>59</v>
      </c>
      <c r="D7" s="260">
        <v>0.1</v>
      </c>
      <c r="E7" s="178">
        <f>+I7</f>
        <v>0.05</v>
      </c>
      <c r="F7" s="261">
        <f>+Avance!D8</f>
        <v>6.3750000000000001E-2</v>
      </c>
      <c r="G7" s="191">
        <f>+F7/D7</f>
        <v>0.63749999999999996</v>
      </c>
      <c r="H7" s="265" t="s">
        <v>51</v>
      </c>
      <c r="I7" s="244">
        <f>+Avance!N10</f>
        <v>0.05</v>
      </c>
      <c r="J7" s="249">
        <f>+Avance!P10</f>
        <v>0.63749999999999996</v>
      </c>
    </row>
    <row r="8" spans="3:12" x14ac:dyDescent="0.25">
      <c r="C8" s="154"/>
      <c r="D8" s="157"/>
      <c r="E8" s="179"/>
      <c r="F8" s="262"/>
      <c r="G8" s="192"/>
      <c r="H8" s="266"/>
      <c r="I8" s="221"/>
      <c r="J8" s="224"/>
    </row>
    <row r="9" spans="3:12" ht="21.75" customHeight="1" thickBot="1" x14ac:dyDescent="0.3">
      <c r="C9" s="155"/>
      <c r="D9" s="158"/>
      <c r="E9" s="180"/>
      <c r="F9" s="263"/>
      <c r="G9" s="193"/>
      <c r="H9" s="267"/>
      <c r="I9" s="233"/>
      <c r="J9" s="234"/>
    </row>
    <row r="10" spans="3:12" x14ac:dyDescent="0.25">
      <c r="C10" s="235" t="s">
        <v>46</v>
      </c>
      <c r="D10" s="260">
        <v>0.15</v>
      </c>
      <c r="E10" s="178">
        <f>+(I10*0.166666666666667)+(I13*0.166666666666667)+(I16*0.166666666666667)+(I19*0.166666666666667)+(I22*0.166666666666667)+(I25*0.166666666666667)</f>
        <v>0.26647880621207032</v>
      </c>
      <c r="F10" s="261">
        <f>+Avance!D11</f>
        <v>0.10362241679813379</v>
      </c>
      <c r="G10" s="191">
        <f>+F10/D10</f>
        <v>0.69081611198755866</v>
      </c>
      <c r="H10" s="243" t="s">
        <v>49</v>
      </c>
      <c r="I10" s="244">
        <f>+Avance!N13</f>
        <v>0.05</v>
      </c>
      <c r="J10" s="249">
        <f>+Avance!P13</f>
        <v>0.63749999999999996</v>
      </c>
      <c r="L10">
        <f>100/6</f>
        <v>16.666666666666668</v>
      </c>
    </row>
    <row r="11" spans="3:12" x14ac:dyDescent="0.25">
      <c r="C11" s="236"/>
      <c r="D11" s="157"/>
      <c r="E11" s="179"/>
      <c r="F11" s="262"/>
      <c r="G11" s="192"/>
      <c r="H11" s="218"/>
      <c r="I11" s="221"/>
      <c r="J11" s="224"/>
      <c r="L11">
        <f>+(I28*0.06)+(I31*0.06)+(I34*0.06)+(I37*0.06)+(I40*0.06)+(I43*0.06)</f>
        <v>8.8848450748550092E-2</v>
      </c>
    </row>
    <row r="12" spans="3:12" x14ac:dyDescent="0.25">
      <c r="C12" s="236"/>
      <c r="D12" s="157"/>
      <c r="E12" s="179"/>
      <c r="F12" s="262"/>
      <c r="G12" s="192"/>
      <c r="H12" s="218"/>
      <c r="I12" s="221"/>
      <c r="J12" s="224"/>
    </row>
    <row r="13" spans="3:12" x14ac:dyDescent="0.25">
      <c r="C13" s="236"/>
      <c r="D13" s="157"/>
      <c r="E13" s="179"/>
      <c r="F13" s="262"/>
      <c r="G13" s="192"/>
      <c r="H13" s="218" t="s">
        <v>37</v>
      </c>
      <c r="I13" s="220">
        <f>+Avance!N17</f>
        <v>1.0213728372724187</v>
      </c>
      <c r="J13" s="223">
        <f>+Avance!P17</f>
        <v>0.88593833859201854</v>
      </c>
      <c r="L13">
        <v>0.16666666666666699</v>
      </c>
    </row>
    <row r="14" spans="3:12" x14ac:dyDescent="0.25">
      <c r="C14" s="236"/>
      <c r="D14" s="157"/>
      <c r="E14" s="179"/>
      <c r="F14" s="262"/>
      <c r="G14" s="192"/>
      <c r="H14" s="218"/>
      <c r="I14" s="221"/>
      <c r="J14" s="224"/>
    </row>
    <row r="15" spans="3:12" x14ac:dyDescent="0.25">
      <c r="C15" s="236"/>
      <c r="D15" s="157"/>
      <c r="E15" s="179"/>
      <c r="F15" s="262"/>
      <c r="G15" s="192"/>
      <c r="H15" s="218"/>
      <c r="I15" s="221"/>
      <c r="J15" s="224"/>
    </row>
    <row r="16" spans="3:12" x14ac:dyDescent="0.25">
      <c r="C16" s="236"/>
      <c r="D16" s="157"/>
      <c r="E16" s="179"/>
      <c r="F16" s="262"/>
      <c r="G16" s="192"/>
      <c r="H16" s="218" t="s">
        <v>25</v>
      </c>
      <c r="I16" s="220">
        <f>+Avance!N21</f>
        <v>0.25</v>
      </c>
      <c r="J16" s="223">
        <f>+Avance!P21</f>
        <v>0.6875</v>
      </c>
    </row>
    <row r="17" spans="3:10" x14ac:dyDescent="0.25">
      <c r="C17" s="236"/>
      <c r="D17" s="157"/>
      <c r="E17" s="179"/>
      <c r="F17" s="262"/>
      <c r="G17" s="192"/>
      <c r="H17" s="218"/>
      <c r="I17" s="221"/>
      <c r="J17" s="224"/>
    </row>
    <row r="18" spans="3:10" x14ac:dyDescent="0.25">
      <c r="C18" s="236"/>
      <c r="D18" s="157"/>
      <c r="E18" s="179"/>
      <c r="F18" s="262"/>
      <c r="G18" s="192"/>
      <c r="H18" s="218"/>
      <c r="I18" s="221"/>
      <c r="J18" s="224"/>
    </row>
    <row r="19" spans="3:10" x14ac:dyDescent="0.25">
      <c r="C19" s="236"/>
      <c r="D19" s="157"/>
      <c r="E19" s="179"/>
      <c r="F19" s="262"/>
      <c r="G19" s="192"/>
      <c r="H19" s="218" t="s">
        <v>36</v>
      </c>
      <c r="I19" s="227">
        <f>+Avance!N25</f>
        <v>1.0833333333333334E-2</v>
      </c>
      <c r="J19" s="230">
        <f>+Avance!P25</f>
        <v>0.62770833333333331</v>
      </c>
    </row>
    <row r="20" spans="3:10" x14ac:dyDescent="0.25">
      <c r="C20" s="236"/>
      <c r="D20" s="157"/>
      <c r="E20" s="179"/>
      <c r="F20" s="262"/>
      <c r="G20" s="192"/>
      <c r="H20" s="218"/>
      <c r="I20" s="228"/>
      <c r="J20" s="231"/>
    </row>
    <row r="21" spans="3:10" x14ac:dyDescent="0.25">
      <c r="C21" s="236"/>
      <c r="D21" s="157"/>
      <c r="E21" s="179"/>
      <c r="F21" s="262"/>
      <c r="G21" s="192"/>
      <c r="H21" s="218"/>
      <c r="I21" s="229"/>
      <c r="J21" s="226"/>
    </row>
    <row r="22" spans="3:10" x14ac:dyDescent="0.25">
      <c r="C22" s="236"/>
      <c r="D22" s="157"/>
      <c r="E22" s="179"/>
      <c r="F22" s="262"/>
      <c r="G22" s="192"/>
      <c r="H22" s="218" t="s">
        <v>39</v>
      </c>
      <c r="I22" s="227">
        <f>+Avance!N29</f>
        <v>0.16666666666666666</v>
      </c>
      <c r="J22" s="230">
        <f>+Avance!P29</f>
        <v>0.65625</v>
      </c>
    </row>
    <row r="23" spans="3:10" x14ac:dyDescent="0.25">
      <c r="C23" s="236"/>
      <c r="D23" s="157"/>
      <c r="E23" s="179"/>
      <c r="F23" s="262"/>
      <c r="G23" s="192"/>
      <c r="H23" s="218"/>
      <c r="I23" s="228"/>
      <c r="J23" s="231"/>
    </row>
    <row r="24" spans="3:10" x14ac:dyDescent="0.25">
      <c r="C24" s="236"/>
      <c r="D24" s="157"/>
      <c r="E24" s="179"/>
      <c r="F24" s="262"/>
      <c r="G24" s="192"/>
      <c r="H24" s="218"/>
      <c r="I24" s="229"/>
      <c r="J24" s="226"/>
    </row>
    <row r="25" spans="3:10" x14ac:dyDescent="0.25">
      <c r="C25" s="236"/>
      <c r="D25" s="157"/>
      <c r="E25" s="179"/>
      <c r="F25" s="262"/>
      <c r="G25" s="192"/>
      <c r="H25" s="218" t="s">
        <v>27</v>
      </c>
      <c r="I25" s="220">
        <f>+Avance!N33</f>
        <v>0.1</v>
      </c>
      <c r="J25" s="223">
        <f>+Avance!P33</f>
        <v>0.65</v>
      </c>
    </row>
    <row r="26" spans="3:10" x14ac:dyDescent="0.25">
      <c r="C26" s="236"/>
      <c r="D26" s="157"/>
      <c r="E26" s="179"/>
      <c r="F26" s="262"/>
      <c r="G26" s="192"/>
      <c r="H26" s="218"/>
      <c r="I26" s="221"/>
      <c r="J26" s="224"/>
    </row>
    <row r="27" spans="3:10" ht="15.75" thickBot="1" x14ac:dyDescent="0.3">
      <c r="C27" s="237"/>
      <c r="D27" s="158"/>
      <c r="E27" s="180"/>
      <c r="F27" s="263"/>
      <c r="G27" s="193"/>
      <c r="H27" s="232"/>
      <c r="I27" s="233"/>
      <c r="J27" s="234"/>
    </row>
    <row r="28" spans="3:10" x14ac:dyDescent="0.25">
      <c r="C28" s="252" t="s">
        <v>47</v>
      </c>
      <c r="D28" s="156">
        <v>0.6</v>
      </c>
      <c r="E28" s="178">
        <f>+(I28*0.166666666666667)+(I31*0.166666666666667)+(I34*0.166666666666667)+(I37*0.166666666666667)+(I40*0.166666666666667)+(I43*0.166666666666667)</f>
        <v>0.24680125207930628</v>
      </c>
      <c r="F28" s="255">
        <f>+Avance!D34</f>
        <v>0.43239576717888384</v>
      </c>
      <c r="G28" s="259">
        <f>+F28/D28</f>
        <v>0.72065961196480643</v>
      </c>
      <c r="H28" s="258" t="s">
        <v>55</v>
      </c>
      <c r="I28" s="229">
        <f>+Avance!N36</f>
        <v>0.35</v>
      </c>
      <c r="J28" s="226">
        <f>+Avance!P36</f>
        <v>0.44499999999999995</v>
      </c>
    </row>
    <row r="29" spans="3:10" x14ac:dyDescent="0.25">
      <c r="C29" s="236"/>
      <c r="D29" s="157"/>
      <c r="E29" s="179"/>
      <c r="F29" s="256"/>
      <c r="G29" s="141"/>
      <c r="H29" s="218"/>
      <c r="I29" s="221"/>
      <c r="J29" s="224"/>
    </row>
    <row r="30" spans="3:10" x14ac:dyDescent="0.25">
      <c r="C30" s="236"/>
      <c r="D30" s="157"/>
      <c r="E30" s="179"/>
      <c r="F30" s="256"/>
      <c r="G30" s="141"/>
      <c r="H30" s="218"/>
      <c r="I30" s="221"/>
      <c r="J30" s="224"/>
    </row>
    <row r="31" spans="3:10" x14ac:dyDescent="0.25">
      <c r="C31" s="236"/>
      <c r="D31" s="157"/>
      <c r="E31" s="179"/>
      <c r="F31" s="256"/>
      <c r="G31" s="141"/>
      <c r="H31" s="218" t="str">
        <f>+Avance!G38</f>
        <v>Conservar1,506.21 Km carril de la malla vial local e intermedia Distrito Capital</v>
      </c>
      <c r="I31" s="220">
        <f>+Avance!N40</f>
        <v>0.1203075124758351</v>
      </c>
      <c r="J31" s="223">
        <f>+Avance!P40</f>
        <v>0.64433743738258553</v>
      </c>
    </row>
    <row r="32" spans="3:10" x14ac:dyDescent="0.25">
      <c r="C32" s="236"/>
      <c r="D32" s="157"/>
      <c r="E32" s="179"/>
      <c r="F32" s="256"/>
      <c r="G32" s="141"/>
      <c r="H32" s="218"/>
      <c r="I32" s="221"/>
      <c r="J32" s="224"/>
    </row>
    <row r="33" spans="3:10" x14ac:dyDescent="0.25">
      <c r="C33" s="236"/>
      <c r="D33" s="157"/>
      <c r="E33" s="179"/>
      <c r="F33" s="256"/>
      <c r="G33" s="141"/>
      <c r="H33" s="218"/>
      <c r="I33" s="221"/>
      <c r="J33" s="224"/>
    </row>
    <row r="34" spans="3:10" x14ac:dyDescent="0.25">
      <c r="C34" s="236"/>
      <c r="D34" s="157"/>
      <c r="E34" s="179"/>
      <c r="F34" s="256"/>
      <c r="G34" s="141"/>
      <c r="H34" s="218" t="str">
        <f>+Avance!G42</f>
        <v>Conservar 94,43 Km carril de la malla vial arterial del distrito capital, realizar apoyos interinstitucionales e implementar obras de bioingeniería</v>
      </c>
      <c r="I34" s="220">
        <f>+Avance!N44</f>
        <v>0.50849999999999995</v>
      </c>
      <c r="J34" s="223">
        <f>+Avance!P44</f>
        <v>0.83032395772452761</v>
      </c>
    </row>
    <row r="35" spans="3:10" x14ac:dyDescent="0.25">
      <c r="C35" s="236"/>
      <c r="D35" s="157"/>
      <c r="E35" s="179"/>
      <c r="F35" s="256"/>
      <c r="G35" s="141"/>
      <c r="H35" s="218"/>
      <c r="I35" s="221"/>
      <c r="J35" s="224"/>
    </row>
    <row r="36" spans="3:10" x14ac:dyDescent="0.25">
      <c r="C36" s="236"/>
      <c r="D36" s="157"/>
      <c r="E36" s="179"/>
      <c r="F36" s="256"/>
      <c r="G36" s="141"/>
      <c r="H36" s="218"/>
      <c r="I36" s="221"/>
      <c r="J36" s="224"/>
    </row>
    <row r="37" spans="3:10" x14ac:dyDescent="0.25">
      <c r="C37" s="236"/>
      <c r="D37" s="157"/>
      <c r="E37" s="179"/>
      <c r="F37" s="256"/>
      <c r="G37" s="141"/>
      <c r="H37" s="218" t="s">
        <v>17</v>
      </c>
      <c r="I37" s="250">
        <f>+Avance!N48</f>
        <v>0.22499999999999998</v>
      </c>
      <c r="J37" s="251">
        <f>+Avance!P48</f>
        <v>0.68125000000000002</v>
      </c>
    </row>
    <row r="38" spans="3:10" x14ac:dyDescent="0.25">
      <c r="C38" s="236"/>
      <c r="D38" s="157"/>
      <c r="E38" s="179"/>
      <c r="F38" s="256"/>
      <c r="G38" s="141"/>
      <c r="H38" s="218"/>
      <c r="I38" s="250"/>
      <c r="J38" s="251"/>
    </row>
    <row r="39" spans="3:10" x14ac:dyDescent="0.25">
      <c r="C39" s="236"/>
      <c r="D39" s="157"/>
      <c r="E39" s="179"/>
      <c r="F39" s="256"/>
      <c r="G39" s="141"/>
      <c r="H39" s="218"/>
      <c r="I39" s="250"/>
      <c r="J39" s="251"/>
    </row>
    <row r="40" spans="3:10" x14ac:dyDescent="0.25">
      <c r="C40" s="236"/>
      <c r="D40" s="157"/>
      <c r="E40" s="179"/>
      <c r="F40" s="256"/>
      <c r="G40" s="141"/>
      <c r="H40" s="218" t="str">
        <f>+Avance!G50</f>
        <v>Conservar  86.35 Km de Cicloinfraestructura del Distrito Capital</v>
      </c>
      <c r="I40" s="220">
        <f>+Avance!N52</f>
        <v>8.4999999999999992E-2</v>
      </c>
      <c r="J40" s="223">
        <f>+Avance!P52</f>
        <v>0.83792170473204952</v>
      </c>
    </row>
    <row r="41" spans="3:10" x14ac:dyDescent="0.25">
      <c r="C41" s="236"/>
      <c r="D41" s="157"/>
      <c r="E41" s="179"/>
      <c r="F41" s="256"/>
      <c r="G41" s="141"/>
      <c r="H41" s="218"/>
      <c r="I41" s="221"/>
      <c r="J41" s="224"/>
    </row>
    <row r="42" spans="3:10" x14ac:dyDescent="0.25">
      <c r="C42" s="236"/>
      <c r="D42" s="157"/>
      <c r="E42" s="179"/>
      <c r="F42" s="256"/>
      <c r="G42" s="141"/>
      <c r="H42" s="218"/>
      <c r="I42" s="221"/>
      <c r="J42" s="224"/>
    </row>
    <row r="43" spans="3:10" x14ac:dyDescent="0.25">
      <c r="C43" s="236"/>
      <c r="D43" s="157"/>
      <c r="E43" s="179"/>
      <c r="F43" s="256"/>
      <c r="G43" s="141"/>
      <c r="H43" s="218" t="s">
        <v>20</v>
      </c>
      <c r="I43" s="220">
        <f>+Avance!N56</f>
        <v>0.192</v>
      </c>
      <c r="J43" s="223">
        <f>+Avance!P56</f>
        <v>0.8851245719496762</v>
      </c>
    </row>
    <row r="44" spans="3:10" x14ac:dyDescent="0.25">
      <c r="C44" s="236"/>
      <c r="D44" s="157"/>
      <c r="E44" s="179"/>
      <c r="F44" s="256"/>
      <c r="G44" s="141"/>
      <c r="H44" s="218"/>
      <c r="I44" s="221"/>
      <c r="J44" s="224"/>
    </row>
    <row r="45" spans="3:10" ht="15.75" thickBot="1" x14ac:dyDescent="0.3">
      <c r="C45" s="253"/>
      <c r="D45" s="254"/>
      <c r="E45" s="180"/>
      <c r="F45" s="257"/>
      <c r="G45" s="142"/>
      <c r="H45" s="219"/>
      <c r="I45" s="222"/>
      <c r="J45" s="225"/>
    </row>
    <row r="46" spans="3:10" x14ac:dyDescent="0.25">
      <c r="C46" s="235" t="s">
        <v>48</v>
      </c>
      <c r="D46" s="238">
        <v>0.15</v>
      </c>
      <c r="E46" s="245">
        <f>+I46</f>
        <v>0.28973599999999999</v>
      </c>
      <c r="F46" s="240">
        <f>+Avance!D57</f>
        <v>8.6503297983185595E-2</v>
      </c>
      <c r="G46" s="143">
        <f>+F46/D46</f>
        <v>0.5766886532212373</v>
      </c>
      <c r="H46" s="243" t="str">
        <f>+Avance!G57</f>
        <v>Intervenir 116.500.00 Metros2 de espacio público de la ciudad</v>
      </c>
      <c r="I46" s="244">
        <f>+Avance!N59</f>
        <v>0.28973599999999999</v>
      </c>
      <c r="J46" s="249">
        <f>+Avance!P59</f>
        <v>0.5766886532212373</v>
      </c>
    </row>
    <row r="47" spans="3:10" x14ac:dyDescent="0.25">
      <c r="C47" s="236"/>
      <c r="D47" s="133"/>
      <c r="E47" s="246"/>
      <c r="F47" s="241"/>
      <c r="G47" s="144"/>
      <c r="H47" s="218"/>
      <c r="I47" s="221"/>
      <c r="J47" s="224"/>
    </row>
    <row r="48" spans="3:10" ht="24" customHeight="1" thickBot="1" x14ac:dyDescent="0.3">
      <c r="C48" s="237"/>
      <c r="D48" s="239"/>
      <c r="E48" s="247"/>
      <c r="F48" s="242"/>
      <c r="G48" s="248"/>
      <c r="H48" s="232"/>
      <c r="I48" s="233"/>
      <c r="J48" s="234"/>
    </row>
    <row r="49" spans="3:10" ht="15.75" thickBot="1" x14ac:dyDescent="0.3">
      <c r="C49" s="93" t="s">
        <v>34</v>
      </c>
      <c r="D49" s="94">
        <f>SUM(D7:D48)</f>
        <v>1</v>
      </c>
      <c r="E49" s="94">
        <f>+(E7*0.25)+(E10*0.15)+(E28*0.6)+(E46*0.15)</f>
        <v>0.24401297217939433</v>
      </c>
      <c r="F49" s="95">
        <f>SUM(F7:F48)</f>
        <v>0.68627148196020327</v>
      </c>
      <c r="G49" s="95">
        <f>+F49/D49</f>
        <v>0.68627148196020327</v>
      </c>
      <c r="H49" s="96"/>
      <c r="I49" s="96"/>
      <c r="J49" s="97"/>
    </row>
  </sheetData>
  <mergeCells count="70"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  <mergeCell ref="G7:G9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J13:J15"/>
    <mergeCell ref="H16:H18"/>
    <mergeCell ref="I16:I18"/>
    <mergeCell ref="J16:J18"/>
    <mergeCell ref="H19:H21"/>
    <mergeCell ref="I19:I21"/>
    <mergeCell ref="J19:J21"/>
    <mergeCell ref="C28:C45"/>
    <mergeCell ref="D28:D45"/>
    <mergeCell ref="F28:F45"/>
    <mergeCell ref="H28:H30"/>
    <mergeCell ref="I28:I30"/>
    <mergeCell ref="H31:H33"/>
    <mergeCell ref="I31:I33"/>
    <mergeCell ref="H34:H36"/>
    <mergeCell ref="G10:G27"/>
    <mergeCell ref="G28:G45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C46:C48"/>
    <mergeCell ref="D46:D48"/>
    <mergeCell ref="F46:F48"/>
    <mergeCell ref="H46:H48"/>
    <mergeCell ref="I46:I48"/>
    <mergeCell ref="E46:E48"/>
    <mergeCell ref="G46:G48"/>
    <mergeCell ref="I5:I6"/>
    <mergeCell ref="J5:J6"/>
    <mergeCell ref="E7:E9"/>
    <mergeCell ref="E10:E27"/>
    <mergeCell ref="E28:E45"/>
    <mergeCell ref="H43:H45"/>
    <mergeCell ref="I43:I45"/>
    <mergeCell ref="J43:J45"/>
    <mergeCell ref="J28:J30"/>
    <mergeCell ref="J31:J33"/>
    <mergeCell ref="H22:H24"/>
    <mergeCell ref="I22:I24"/>
    <mergeCell ref="J22:J24"/>
    <mergeCell ref="H25:H27"/>
    <mergeCell ref="I25:I27"/>
    <mergeCell ref="J25:J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D11" sqref="D11"/>
    </sheetView>
  </sheetViews>
  <sheetFormatPr baseColWidth="10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68" t="s">
        <v>5</v>
      </c>
      <c r="C2" s="112" t="s">
        <v>4</v>
      </c>
      <c r="D2" s="122" t="s">
        <v>3</v>
      </c>
      <c r="E2" s="112" t="s">
        <v>13</v>
      </c>
      <c r="F2" s="112" t="s">
        <v>12</v>
      </c>
      <c r="G2" s="112" t="s">
        <v>11</v>
      </c>
      <c r="H2" s="122" t="s">
        <v>6</v>
      </c>
      <c r="I2" s="119" t="s">
        <v>7</v>
      </c>
      <c r="J2" s="119"/>
      <c r="K2" s="119"/>
      <c r="L2" s="119"/>
      <c r="M2" s="119"/>
      <c r="N2" s="120"/>
    </row>
    <row r="3" spans="2:14" ht="29.25" customHeight="1" thickBot="1" x14ac:dyDescent="0.3">
      <c r="B3" s="269"/>
      <c r="C3" s="113"/>
      <c r="D3" s="123"/>
      <c r="E3" s="113"/>
      <c r="F3" s="113"/>
      <c r="G3" s="113"/>
      <c r="H3" s="123"/>
      <c r="I3" s="10" t="s">
        <v>9</v>
      </c>
      <c r="J3" s="10">
        <v>2021</v>
      </c>
      <c r="K3" s="10">
        <v>2022</v>
      </c>
      <c r="L3" s="10">
        <v>2023</v>
      </c>
      <c r="M3" s="10">
        <v>2024</v>
      </c>
      <c r="N3" s="11" t="s">
        <v>8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45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ALEXPEREA</cp:lastModifiedBy>
  <dcterms:created xsi:type="dcterms:W3CDTF">2020-11-24T13:38:59Z</dcterms:created>
  <dcterms:modified xsi:type="dcterms:W3CDTF">2023-04-27T22:59:15Z</dcterms:modified>
</cp:coreProperties>
</file>