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OneDrive - uaermv\Escritorio\"/>
    </mc:Choice>
  </mc:AlternateContent>
  <bookViews>
    <workbookView xWindow="-120" yWindow="-120" windowWidth="20730" windowHeight="11160"/>
  </bookViews>
  <sheets>
    <sheet name="RESUMEN EJECUCIÓN" sheetId="1" r:id="rId1"/>
  </sheets>
  <externalReferences>
    <externalReference r:id="rId2"/>
  </externalReferences>
  <definedNames>
    <definedName name="ESTADO">[1]LISTAS!$B$4:$B$11</definedName>
    <definedName name="MODALIDAD">[1]LISTAS!$D$4:$D$11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N17" i="1"/>
  <c r="N18" i="1"/>
  <c r="N15" i="1"/>
  <c r="N13" i="1"/>
  <c r="N12" i="1"/>
  <c r="N10" i="1"/>
  <c r="N11" i="1"/>
  <c r="N9" i="1"/>
  <c r="L19" i="1"/>
  <c r="L16" i="1"/>
  <c r="L17" i="1"/>
  <c r="L18" i="1"/>
  <c r="L15" i="1"/>
  <c r="L13" i="1"/>
  <c r="L12" i="1"/>
  <c r="L10" i="1"/>
  <c r="L11" i="1"/>
  <c r="L9" i="1"/>
  <c r="L8" i="1"/>
  <c r="L7" i="1"/>
  <c r="O16" i="1"/>
  <c r="O17" i="1"/>
  <c r="M19" i="1"/>
  <c r="M17" i="1"/>
  <c r="M16" i="1"/>
  <c r="K17" i="1"/>
  <c r="I18" i="1"/>
  <c r="K19" i="1"/>
  <c r="K16" i="1"/>
  <c r="I19" i="1"/>
  <c r="J19" i="1" s="1"/>
  <c r="J18" i="1"/>
  <c r="I17" i="1"/>
  <c r="I16" i="1"/>
  <c r="J16" i="1" s="1"/>
  <c r="J17" i="1"/>
  <c r="J15" i="1"/>
  <c r="J9" i="1"/>
  <c r="J10" i="1"/>
  <c r="J11" i="1"/>
  <c r="J8" i="1"/>
  <c r="H18" i="1"/>
  <c r="H17" i="1"/>
  <c r="H16" i="1"/>
  <c r="O13" i="1" l="1"/>
  <c r="O12" i="1" s="1"/>
  <c r="O8" i="1"/>
  <c r="K8" i="1"/>
  <c r="O7" i="1" l="1"/>
  <c r="H15" i="1"/>
  <c r="H13" i="1" s="1"/>
  <c r="H12" i="1" s="1"/>
  <c r="H10" i="1"/>
  <c r="H11" i="1"/>
  <c r="H9" i="1"/>
  <c r="G13" i="1"/>
  <c r="G12" i="1" s="1"/>
  <c r="G7" i="1" s="1"/>
  <c r="G8" i="1"/>
  <c r="F7" i="1"/>
  <c r="F12" i="1"/>
  <c r="F13" i="1"/>
  <c r="F8" i="1"/>
  <c r="F19" i="1"/>
  <c r="F16" i="1"/>
  <c r="F17" i="1"/>
  <c r="F18" i="1"/>
  <c r="F15" i="1"/>
  <c r="F10" i="1"/>
  <c r="F11" i="1"/>
  <c r="F9" i="1"/>
  <c r="I13" i="1"/>
  <c r="I12" i="1" s="1"/>
  <c r="D16" i="1"/>
  <c r="E8" i="1"/>
  <c r="E7" i="1" s="1"/>
  <c r="I8" i="1"/>
  <c r="I7" i="1" l="1"/>
  <c r="H8" i="1"/>
  <c r="H7" i="1" s="1"/>
  <c r="N19" i="1"/>
  <c r="M13" i="1"/>
  <c r="K13" i="1"/>
  <c r="K12" i="1" s="1"/>
  <c r="M14" i="1"/>
  <c r="K14" i="1"/>
  <c r="J7" i="1" l="1"/>
  <c r="D13" i="1"/>
  <c r="D12" i="1" s="1"/>
  <c r="E14" i="1"/>
  <c r="D14" i="1"/>
  <c r="M12" i="1"/>
  <c r="E13" i="1" l="1"/>
  <c r="E12" i="1" s="1"/>
  <c r="J12" i="1" s="1"/>
  <c r="J14" i="1"/>
  <c r="N14" i="1"/>
  <c r="L14" i="1"/>
  <c r="J13" i="1" l="1"/>
  <c r="D8" i="1" l="1"/>
  <c r="M8" i="1" l="1"/>
  <c r="D7" i="1"/>
  <c r="N8" i="1" l="1"/>
  <c r="M7" i="1"/>
  <c r="K7" i="1"/>
  <c r="N7" i="1" l="1"/>
</calcChain>
</file>

<file path=xl/sharedStrings.xml><?xml version="1.0" encoding="utf-8"?>
<sst xmlns="http://schemas.openxmlformats.org/spreadsheetml/2006/main" count="43" uniqueCount="41">
  <si>
    <t xml:space="preserve">UNIDAD DE MANTENIMIENTO VIAL </t>
  </si>
  <si>
    <t>CÓDIGO</t>
  </si>
  <si>
    <t>RUBRO</t>
  </si>
  <si>
    <t>PRESUPUESTO INCIAL</t>
  </si>
  <si>
    <t>PRESUPUESTO POSTERIOR CIRCULAR SHD 002</t>
  </si>
  <si>
    <t>% EJECUCIÒN</t>
  </si>
  <si>
    <t>GIROS</t>
  </si>
  <si>
    <t>% GIROS</t>
  </si>
  <si>
    <t>3</t>
  </si>
  <si>
    <t>GASTOS</t>
  </si>
  <si>
    <t>3-1</t>
  </si>
  <si>
    <t xml:space="preserve">FUNCIONAMIENTO </t>
  </si>
  <si>
    <t>3-1-1</t>
  </si>
  <si>
    <t>Gastos de Personal Permanente</t>
  </si>
  <si>
    <t>3-1-3</t>
  </si>
  <si>
    <t>3-3</t>
  </si>
  <si>
    <t xml:space="preserve">INVERSIÓN </t>
  </si>
  <si>
    <t>INVERSIÓN DIRECTA</t>
  </si>
  <si>
    <t>3-3-1</t>
  </si>
  <si>
    <t>UN NUEVO CONTRATO SOCIAL Y AMBIENTAL PARA LA BOGOTÁ DEL SIGLO XXI *</t>
  </si>
  <si>
    <t>7858</t>
  </si>
  <si>
    <t>Conservación de la Malla Vial Distrital y Cicloinfraestructura de Bogotá</t>
  </si>
  <si>
    <t>7859</t>
  </si>
  <si>
    <t>Fortalecimiento Institucional</t>
  </si>
  <si>
    <t>7860</t>
  </si>
  <si>
    <t>Fortalecimiento de los componentes de TI para la transformación digital</t>
  </si>
  <si>
    <t>7903</t>
  </si>
  <si>
    <t>Apoyo a la Adecuación  y conservación del espacio público</t>
  </si>
  <si>
    <t>3-3-4</t>
  </si>
  <si>
    <t>PASIVOS EXIGIBLES</t>
  </si>
  <si>
    <t xml:space="preserve">EJECUCIÓN PRESUPUESTAL </t>
  </si>
  <si>
    <t>RECORTE  CIRCULAR SHD 001</t>
  </si>
  <si>
    <t>Trabajadores Oficiales</t>
  </si>
  <si>
    <t>Adqusición de Bienes y Servicios</t>
  </si>
  <si>
    <t>VALOR DISPONIBILIDADES</t>
  </si>
  <si>
    <t>% CDP´S</t>
  </si>
  <si>
    <t>RECURSOS REACTIVACIÓN ECONÓMICA</t>
  </si>
  <si>
    <t>CORTE 31 DE DICIEMBRE DE 2021</t>
  </si>
  <si>
    <t>PRESUPUESTO VIGENTE A DICIEMBRE</t>
  </si>
  <si>
    <t>EJECUCIÓN A 31 DE DICIEMBRE</t>
  </si>
  <si>
    <t>PENDIENTE DE GIRO       (RESERVA PPTAL)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</si>
</sst>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9"/>
      <color theme="1"/>
      <name val="Segoe UI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49" fontId="0" fillId="2" borderId="0" xfId="1" applyNumberFormat="1" applyFont="1" applyFill="1" applyAlignment="1">
      <alignment vertical="center"/>
    </xf>
    <xf numFmtId="164" fontId="0" fillId="2" borderId="0" xfId="1" applyNumberFormat="1" applyFont="1" applyFill="1"/>
    <xf numFmtId="164" fontId="0" fillId="2" borderId="0" xfId="1" applyNumberFormat="1" applyFont="1" applyFill="1" applyAlignment="1">
      <alignment vertical="center"/>
    </xf>
    <xf numFmtId="9" fontId="0" fillId="2" borderId="0" xfId="2" applyFont="1" applyFill="1" applyAlignment="1">
      <alignment horizontal="center" vertical="center"/>
    </xf>
    <xf numFmtId="49" fontId="2" fillId="2" borderId="0" xfId="1" applyNumberFormat="1" applyFont="1" applyFill="1" applyAlignment="1">
      <alignment vertical="center"/>
    </xf>
    <xf numFmtId="49" fontId="2" fillId="2" borderId="0" xfId="1" applyNumberFormat="1" applyFont="1" applyFill="1" applyAlignment="1">
      <alignment horizontal="center" vertical="top"/>
    </xf>
    <xf numFmtId="49" fontId="0" fillId="2" borderId="0" xfId="1" applyNumberFormat="1" applyFont="1" applyFill="1" applyAlignment="1">
      <alignment horizontal="center" vertical="center" wrapText="1"/>
    </xf>
    <xf numFmtId="49" fontId="0" fillId="2" borderId="0" xfId="1" applyNumberFormat="1" applyFont="1" applyFill="1" applyAlignment="1">
      <alignment horizontal="center" wrapText="1"/>
    </xf>
    <xf numFmtId="9" fontId="2" fillId="2" borderId="0" xfId="2" applyFont="1" applyFill="1" applyAlignment="1">
      <alignment horizontal="center" vertical="center" wrapText="1"/>
    </xf>
    <xf numFmtId="49" fontId="0" fillId="2" borderId="0" xfId="1" applyNumberFormat="1" applyFont="1" applyFill="1"/>
    <xf numFmtId="49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49" fontId="2" fillId="0" borderId="2" xfId="1" applyNumberFormat="1" applyFont="1" applyBorder="1" applyAlignment="1">
      <alignment vertical="center"/>
    </xf>
    <xf numFmtId="164" fontId="2" fillId="0" borderId="3" xfId="1" applyNumberFormat="1" applyFont="1" applyBorder="1"/>
    <xf numFmtId="164" fontId="2" fillId="0" borderId="3" xfId="1" applyNumberFormat="1" applyFont="1" applyBorder="1" applyAlignment="1">
      <alignment vertical="center"/>
    </xf>
    <xf numFmtId="164" fontId="0" fillId="0" borderId="0" xfId="1" applyNumberFormat="1" applyFont="1"/>
    <xf numFmtId="0" fontId="0" fillId="0" borderId="5" xfId="0" applyBorder="1"/>
    <xf numFmtId="164" fontId="2" fillId="0" borderId="6" xfId="1" applyNumberFormat="1" applyFont="1" applyBorder="1"/>
    <xf numFmtId="164" fontId="2" fillId="0" borderId="6" xfId="1" applyNumberFormat="1" applyFont="1" applyBorder="1" applyAlignment="1">
      <alignment vertical="center"/>
    </xf>
    <xf numFmtId="49" fontId="0" fillId="0" borderId="5" xfId="1" applyNumberFormat="1" applyFont="1" applyBorder="1" applyAlignment="1">
      <alignment vertical="center"/>
    </xf>
    <xf numFmtId="164" fontId="0" fillId="0" borderId="6" xfId="1" applyNumberFormat="1" applyFont="1" applyBorder="1"/>
    <xf numFmtId="164" fontId="0" fillId="0" borderId="6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wrapText="1"/>
    </xf>
    <xf numFmtId="164" fontId="2" fillId="0" borderId="6" xfId="1" applyNumberFormat="1" applyFont="1" applyBorder="1" applyAlignment="1">
      <alignment vertical="center" wrapText="1"/>
    </xf>
    <xf numFmtId="164" fontId="0" fillId="0" borderId="6" xfId="1" applyNumberFormat="1" applyFont="1" applyBorder="1" applyAlignment="1">
      <alignment vertical="center" wrapText="1"/>
    </xf>
    <xf numFmtId="49" fontId="0" fillId="0" borderId="5" xfId="1" applyNumberFormat="1" applyFont="1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9" xfId="1" applyNumberFormat="1" applyFont="1" applyBorder="1" applyAlignment="1">
      <alignment vertical="center" wrapText="1"/>
    </xf>
    <xf numFmtId="164" fontId="2" fillId="0" borderId="9" xfId="1" applyNumberFormat="1" applyFont="1" applyBorder="1" applyAlignment="1">
      <alignment vertical="center"/>
    </xf>
    <xf numFmtId="164" fontId="2" fillId="2" borderId="0" xfId="1" applyNumberFormat="1" applyFont="1" applyFill="1"/>
    <xf numFmtId="164" fontId="2" fillId="0" borderId="0" xfId="1" applyNumberFormat="1" applyFont="1"/>
    <xf numFmtId="165" fontId="2" fillId="0" borderId="3" xfId="2" applyNumberFormat="1" applyFont="1" applyBorder="1" applyAlignment="1">
      <alignment horizontal="center" vertical="center"/>
    </xf>
    <xf numFmtId="165" fontId="2" fillId="0" borderId="6" xfId="2" applyNumberFormat="1" applyFont="1" applyBorder="1" applyAlignment="1">
      <alignment horizontal="center" vertical="center"/>
    </xf>
    <xf numFmtId="165" fontId="0" fillId="0" borderId="6" xfId="2" applyNumberFormat="1" applyFont="1" applyBorder="1" applyAlignment="1">
      <alignment horizontal="center" vertical="center"/>
    </xf>
    <xf numFmtId="1" fontId="2" fillId="0" borderId="9" xfId="1" applyNumberFormat="1" applyFont="1" applyBorder="1" applyAlignment="1">
      <alignment vertical="center" wrapText="1"/>
    </xf>
    <xf numFmtId="164" fontId="0" fillId="2" borderId="0" xfId="1" applyNumberFormat="1" applyFont="1" applyFill="1" applyAlignment="1">
      <alignment horizontal="center" vertical="center"/>
    </xf>
    <xf numFmtId="165" fontId="1" fillId="0" borderId="6" xfId="2" applyNumberFormat="1" applyFont="1" applyBorder="1" applyAlignment="1">
      <alignment horizontal="center" vertical="center"/>
    </xf>
    <xf numFmtId="165" fontId="2" fillId="0" borderId="9" xfId="2" applyNumberFormat="1" applyFont="1" applyBorder="1" applyAlignment="1">
      <alignment horizontal="center" vertical="center"/>
    </xf>
    <xf numFmtId="164" fontId="2" fillId="0" borderId="4" xfId="1" applyNumberFormat="1" applyFont="1" applyBorder="1"/>
    <xf numFmtId="164" fontId="2" fillId="0" borderId="7" xfId="1" applyNumberFormat="1" applyFont="1" applyBorder="1"/>
    <xf numFmtId="164" fontId="0" fillId="0" borderId="7" xfId="1" applyNumberFormat="1" applyFont="1" applyBorder="1"/>
    <xf numFmtId="9" fontId="2" fillId="0" borderId="6" xfId="2" applyFont="1" applyBorder="1" applyAlignment="1">
      <alignment horizontal="center" vertical="center"/>
    </xf>
    <xf numFmtId="164" fontId="2" fillId="0" borderId="7" xfId="1" applyNumberFormat="1" applyFont="1" applyBorder="1" applyAlignment="1">
      <alignment vertical="center"/>
    </xf>
    <xf numFmtId="164" fontId="0" fillId="0" borderId="7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0" fillId="2" borderId="0" xfId="1" applyNumberFormat="1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Users/andres.romero/Desktop/PROGRAMACI&#211;N%20FUNCIONAMIENTO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AA FUNC"/>
      <sheetName val="DETALLE PERSONAL 1171"/>
      <sheetName val="LISTAS"/>
    </sheetNames>
    <sheetDataSet>
      <sheetData sheetId="0"/>
      <sheetData sheetId="1"/>
      <sheetData sheetId="2"/>
      <sheetData sheetId="3">
        <row r="4">
          <cell r="B4" t="str">
            <v>PENDIENTE</v>
          </cell>
          <cell r="D4" t="str">
            <v>Acuerdo Marco</v>
          </cell>
        </row>
        <row r="5">
          <cell r="B5" t="str">
            <v>COTIZACIONES</v>
          </cell>
          <cell r="D5" t="str">
            <v>Adición</v>
          </cell>
        </row>
        <row r="6">
          <cell r="B6" t="str">
            <v>ESTUDIOS PREVIOS</v>
          </cell>
          <cell r="D6" t="str">
            <v>Concurso de Méritos</v>
          </cell>
        </row>
        <row r="7">
          <cell r="B7" t="str">
            <v>PUBLICADO</v>
          </cell>
          <cell r="D7" t="str">
            <v>Contratación Directa</v>
          </cell>
        </row>
        <row r="8">
          <cell r="B8" t="str">
            <v>CELEBRADO</v>
          </cell>
          <cell r="D8" t="str">
            <v>Licitación Pública</v>
          </cell>
        </row>
        <row r="9">
          <cell r="B9" t="str">
            <v>CELEBRADO PARCIAL</v>
          </cell>
          <cell r="D9" t="str">
            <v>Selección Abreviada-Subasta Inversa</v>
          </cell>
        </row>
        <row r="10">
          <cell r="B10" t="str">
            <v>ATRASADO</v>
          </cell>
          <cell r="D10" t="str">
            <v>Selección Abreviada-Mínima Cuantía</v>
          </cell>
        </row>
        <row r="11">
          <cell r="B11" t="str">
            <v>NO PROGRAMADO</v>
          </cell>
          <cell r="D11" t="str">
            <v>Selección Abreviada-Compra en Bolsa Mercantil de Colombia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9"/>
  <sheetViews>
    <sheetView tabSelected="1" zoomScaleNormal="100" workbookViewId="0">
      <selection activeCell="A7" sqref="A7"/>
    </sheetView>
  </sheetViews>
  <sheetFormatPr baseColWidth="10" defaultColWidth="17.5703125" defaultRowHeight="14.25" x14ac:dyDescent="0.25"/>
  <cols>
    <col min="1" max="1" width="1.140625" style="2" customWidth="1"/>
    <col min="2" max="2" width="8.28515625" style="1" bestFit="1" customWidth="1"/>
    <col min="3" max="3" width="28" style="2" customWidth="1"/>
    <col min="4" max="4" width="16.28515625" style="3" bestFit="1" customWidth="1"/>
    <col min="5" max="5" width="14.140625" style="3" bestFit="1" customWidth="1"/>
    <col min="6" max="6" width="16.7109375" style="3" bestFit="1" customWidth="1"/>
    <col min="7" max="7" width="15" style="3" customWidth="1"/>
    <col min="8" max="8" width="18" style="3" bestFit="1" customWidth="1"/>
    <col min="9" max="9" width="16.7109375" style="3" customWidth="1"/>
    <col min="10" max="10" width="7.5703125" style="44" customWidth="1"/>
    <col min="11" max="11" width="15.85546875" style="2" customWidth="1"/>
    <col min="12" max="12" width="9.5703125" style="2" customWidth="1"/>
    <col min="13" max="13" width="16.28515625" style="2" bestFit="1" customWidth="1"/>
    <col min="14" max="14" width="7" style="4" customWidth="1"/>
    <col min="15" max="15" width="15" style="2" customWidth="1"/>
    <col min="16" max="16384" width="17.5703125" style="2"/>
  </cols>
  <sheetData>
    <row r="2" spans="1:26" x14ac:dyDescent="0.25">
      <c r="B2" s="5" t="s">
        <v>0</v>
      </c>
    </row>
    <row r="3" spans="1:26" x14ac:dyDescent="0.25">
      <c r="B3" s="5" t="s">
        <v>30</v>
      </c>
    </row>
    <row r="4" spans="1:26" x14ac:dyDescent="0.25">
      <c r="B4" s="5" t="s">
        <v>37</v>
      </c>
    </row>
    <row r="5" spans="1:26" ht="15" thickBot="1" x14ac:dyDescent="0.3">
      <c r="D5" s="6"/>
      <c r="E5" s="6"/>
      <c r="F5" s="7"/>
      <c r="G5" s="55"/>
      <c r="H5" s="55"/>
      <c r="I5" s="55"/>
      <c r="J5" s="7"/>
      <c r="K5" s="6"/>
      <c r="L5" s="8"/>
      <c r="M5" s="56"/>
      <c r="N5" s="9"/>
      <c r="O5" s="56"/>
      <c r="P5" s="10"/>
      <c r="Q5" s="10"/>
      <c r="R5" s="10"/>
      <c r="S5" s="10"/>
      <c r="T5" s="10"/>
      <c r="U5" s="10"/>
      <c r="V5" s="10"/>
      <c r="W5" s="10"/>
    </row>
    <row r="6" spans="1:26" s="15" customFormat="1" ht="36.75" thickBot="1" x14ac:dyDescent="0.3">
      <c r="A6" s="14"/>
      <c r="B6" s="11" t="s">
        <v>1</v>
      </c>
      <c r="C6" s="12" t="s">
        <v>2</v>
      </c>
      <c r="D6" s="12" t="s">
        <v>3</v>
      </c>
      <c r="E6" s="12" t="s">
        <v>31</v>
      </c>
      <c r="F6" s="12" t="s">
        <v>4</v>
      </c>
      <c r="G6" s="12" t="s">
        <v>36</v>
      </c>
      <c r="H6" s="12" t="s">
        <v>38</v>
      </c>
      <c r="I6" s="12" t="s">
        <v>34</v>
      </c>
      <c r="J6" s="12" t="s">
        <v>35</v>
      </c>
      <c r="K6" s="12" t="s">
        <v>39</v>
      </c>
      <c r="L6" s="12" t="s">
        <v>5</v>
      </c>
      <c r="M6" s="12" t="s">
        <v>6</v>
      </c>
      <c r="N6" s="13" t="s">
        <v>7</v>
      </c>
      <c r="O6" s="12" t="s">
        <v>40</v>
      </c>
      <c r="P6" s="14"/>
      <c r="Q6" s="14"/>
    </row>
    <row r="7" spans="1:26" s="19" customFormat="1" x14ac:dyDescent="0.25">
      <c r="A7" s="2"/>
      <c r="B7" s="16" t="s">
        <v>8</v>
      </c>
      <c r="C7" s="17" t="s">
        <v>9</v>
      </c>
      <c r="D7" s="18">
        <f t="shared" ref="D7:I7" si="0">+D8+D12</f>
        <v>163886048000</v>
      </c>
      <c r="E7" s="18">
        <f t="shared" si="0"/>
        <v>1002000000</v>
      </c>
      <c r="F7" s="18">
        <f t="shared" si="0"/>
        <v>162884048000</v>
      </c>
      <c r="G7" s="18">
        <f t="shared" si="0"/>
        <v>15450000000</v>
      </c>
      <c r="H7" s="18">
        <f t="shared" si="0"/>
        <v>182984048000</v>
      </c>
      <c r="I7" s="18">
        <f t="shared" si="0"/>
        <v>168713970266</v>
      </c>
      <c r="J7" s="40">
        <f>+I7/H7</f>
        <v>0.92201463521016869</v>
      </c>
      <c r="K7" s="17">
        <f>+K8+K12</f>
        <v>168713970266</v>
      </c>
      <c r="L7" s="40">
        <f>+K7/H7</f>
        <v>0.92201463521016869</v>
      </c>
      <c r="M7" s="17">
        <f>+M8+M12</f>
        <v>114206248322</v>
      </c>
      <c r="N7" s="40">
        <f t="shared" ref="N7:N13" si="1">+M7/F7</f>
        <v>0.70115060206509605</v>
      </c>
      <c r="O7" s="47">
        <f>+O8+O12</f>
        <v>54507721944</v>
      </c>
      <c r="P7" s="2"/>
      <c r="Q7" s="2"/>
    </row>
    <row r="8" spans="1:26" s="19" customFormat="1" x14ac:dyDescent="0.25">
      <c r="A8" s="2"/>
      <c r="B8" s="20" t="s">
        <v>10</v>
      </c>
      <c r="C8" s="21" t="s">
        <v>11</v>
      </c>
      <c r="D8" s="22">
        <f t="shared" ref="D8:I8" si="2">SUM(D9:D11)</f>
        <v>29552359000</v>
      </c>
      <c r="E8" s="22">
        <f t="shared" si="2"/>
        <v>530000000</v>
      </c>
      <c r="F8" s="22">
        <f t="shared" si="2"/>
        <v>29022359000</v>
      </c>
      <c r="G8" s="26">
        <f t="shared" si="2"/>
        <v>0</v>
      </c>
      <c r="H8" s="22">
        <f t="shared" si="2"/>
        <v>29022359000</v>
      </c>
      <c r="I8" s="22">
        <f t="shared" si="2"/>
        <v>23175871672</v>
      </c>
      <c r="J8" s="41">
        <f>+I8/H8</f>
        <v>0.79855230486260609</v>
      </c>
      <c r="K8" s="21">
        <f>SUM(K9:K11)</f>
        <v>23175871672</v>
      </c>
      <c r="L8" s="41">
        <f>+K8/H8</f>
        <v>0.79855230486260609</v>
      </c>
      <c r="M8" s="21">
        <f>SUM(M9:M11)</f>
        <v>20837282143</v>
      </c>
      <c r="N8" s="41">
        <f t="shared" si="1"/>
        <v>0.71797341294689376</v>
      </c>
      <c r="O8" s="48">
        <f>SUM(O9:O11)</f>
        <v>2338589529</v>
      </c>
      <c r="P8" s="2"/>
      <c r="Q8" s="2"/>
    </row>
    <row r="9" spans="1:26" s="19" customFormat="1" x14ac:dyDescent="0.25">
      <c r="A9" s="2"/>
      <c r="B9" s="23" t="s">
        <v>12</v>
      </c>
      <c r="C9" s="24" t="s">
        <v>13</v>
      </c>
      <c r="D9" s="25">
        <v>9975768000</v>
      </c>
      <c r="E9" s="25"/>
      <c r="F9" s="26">
        <f>+D9-E9</f>
        <v>9975768000</v>
      </c>
      <c r="G9" s="26">
        <v>0</v>
      </c>
      <c r="H9" s="26">
        <f>+F9+G9</f>
        <v>9975768000</v>
      </c>
      <c r="I9" s="26">
        <v>9638280134</v>
      </c>
      <c r="J9" s="45">
        <f t="shared" ref="J9:J11" si="3">+I9/H9</f>
        <v>0.96616923468949956</v>
      </c>
      <c r="K9" s="24">
        <v>9638280134</v>
      </c>
      <c r="L9" s="42">
        <f>+K9/H9</f>
        <v>0.96616923468949956</v>
      </c>
      <c r="M9" s="24">
        <v>9638280134</v>
      </c>
      <c r="N9" s="45">
        <f>+M9/H9</f>
        <v>0.96616923468949956</v>
      </c>
      <c r="O9" s="49"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19" customFormat="1" x14ac:dyDescent="0.25">
      <c r="A10" s="2"/>
      <c r="B10" s="23" t="s">
        <v>12</v>
      </c>
      <c r="C10" s="24" t="s">
        <v>32</v>
      </c>
      <c r="D10" s="24">
        <v>11881746000</v>
      </c>
      <c r="E10" s="25"/>
      <c r="F10" s="26">
        <f t="shared" ref="F10:F11" si="4">+D10-E10</f>
        <v>11881746000</v>
      </c>
      <c r="G10" s="26">
        <v>0</v>
      </c>
      <c r="H10" s="26">
        <f t="shared" ref="H10:H11" si="5">+F10+G10</f>
        <v>11881746000</v>
      </c>
      <c r="I10" s="26">
        <v>8330804785</v>
      </c>
      <c r="J10" s="45">
        <f t="shared" si="3"/>
        <v>0.70114314722768856</v>
      </c>
      <c r="K10" s="24">
        <v>8330804785</v>
      </c>
      <c r="L10" s="42">
        <f t="shared" ref="L10:L11" si="6">+K10/H10</f>
        <v>0.70114314722768856</v>
      </c>
      <c r="M10" s="24">
        <v>8269273493</v>
      </c>
      <c r="N10" s="45">
        <f t="shared" ref="N10:N11" si="7">+M10/H10</f>
        <v>0.69596450664742371</v>
      </c>
      <c r="O10" s="49">
        <v>61531292</v>
      </c>
      <c r="P10" s="2"/>
      <c r="Q10" s="2"/>
    </row>
    <row r="11" spans="1:26" s="19" customFormat="1" x14ac:dyDescent="0.25">
      <c r="A11" s="2"/>
      <c r="B11" s="23" t="s">
        <v>14</v>
      </c>
      <c r="C11" s="24" t="s">
        <v>33</v>
      </c>
      <c r="D11" s="24">
        <v>7694845000</v>
      </c>
      <c r="E11" s="25">
        <v>530000000</v>
      </c>
      <c r="F11" s="26">
        <f t="shared" si="4"/>
        <v>7164845000</v>
      </c>
      <c r="G11" s="26">
        <v>0</v>
      </c>
      <c r="H11" s="26">
        <f t="shared" si="5"/>
        <v>7164845000</v>
      </c>
      <c r="I11" s="26">
        <v>5206786753</v>
      </c>
      <c r="J11" s="45">
        <f t="shared" si="3"/>
        <v>0.72671310447050841</v>
      </c>
      <c r="K11" s="24">
        <v>5206786753</v>
      </c>
      <c r="L11" s="42">
        <f t="shared" si="6"/>
        <v>0.72671310447050841</v>
      </c>
      <c r="M11" s="24">
        <v>2929728516</v>
      </c>
      <c r="N11" s="45">
        <f t="shared" si="7"/>
        <v>0.40890326531837046</v>
      </c>
      <c r="O11" s="49">
        <v>2277058237</v>
      </c>
      <c r="P11" s="2"/>
      <c r="Q11" s="2"/>
      <c r="R11" s="2"/>
      <c r="S11" s="2"/>
      <c r="T11" s="2"/>
      <c r="U11" s="2"/>
      <c r="V11" s="2"/>
      <c r="W11" s="2"/>
    </row>
    <row r="12" spans="1:26" s="19" customFormat="1" x14ac:dyDescent="0.25">
      <c r="A12" s="2"/>
      <c r="B12" s="27" t="s">
        <v>15</v>
      </c>
      <c r="C12" s="21" t="s">
        <v>16</v>
      </c>
      <c r="D12" s="21">
        <f t="shared" ref="D12:I12" si="8">+D13+D19</f>
        <v>134333689000</v>
      </c>
      <c r="E12" s="21">
        <f t="shared" si="8"/>
        <v>472000000</v>
      </c>
      <c r="F12" s="21">
        <f t="shared" si="8"/>
        <v>133861689000</v>
      </c>
      <c r="G12" s="21">
        <f t="shared" si="8"/>
        <v>15450000000</v>
      </c>
      <c r="H12" s="21">
        <f t="shared" si="8"/>
        <v>153961689000</v>
      </c>
      <c r="I12" s="21">
        <f t="shared" si="8"/>
        <v>145538098594</v>
      </c>
      <c r="J12" s="41">
        <f t="shared" ref="J10:J18" si="9">+I12/F12</f>
        <v>1.0872274186978172</v>
      </c>
      <c r="K12" s="21">
        <f>+K13+K19</f>
        <v>145538098594</v>
      </c>
      <c r="L12" s="41">
        <f>+K12/H12</f>
        <v>0.94528775008437327</v>
      </c>
      <c r="M12" s="21">
        <f>+M13+M19</f>
        <v>93368966179</v>
      </c>
      <c r="N12" s="41">
        <f>+M13/H13</f>
        <v>0.62326577784085324</v>
      </c>
      <c r="O12" s="48">
        <f>+O13+O19</f>
        <v>52169132415</v>
      </c>
      <c r="P12" s="2"/>
      <c r="Q12" s="2"/>
    </row>
    <row r="13" spans="1:26" s="19" customFormat="1" x14ac:dyDescent="0.25">
      <c r="A13" s="2"/>
      <c r="B13" s="27" t="s">
        <v>15</v>
      </c>
      <c r="C13" s="21" t="s">
        <v>17</v>
      </c>
      <c r="D13" s="22">
        <f>SUM(D15:D18)</f>
        <v>130096195000</v>
      </c>
      <c r="E13" s="22">
        <f>SUM(E16:E18)</f>
        <v>472000000</v>
      </c>
      <c r="F13" s="22">
        <f>SUM(F15:F18)</f>
        <v>129624195000</v>
      </c>
      <c r="G13" s="22">
        <f>SUM(G15:G18)</f>
        <v>15450000000</v>
      </c>
      <c r="H13" s="22">
        <f>SUM(H15:H18)</f>
        <v>149691788120</v>
      </c>
      <c r="I13" s="22">
        <f>SUM(I15:I18)</f>
        <v>145466901174</v>
      </c>
      <c r="J13" s="41">
        <f t="shared" si="9"/>
        <v>1.122220285911901</v>
      </c>
      <c r="K13" s="22">
        <f>SUM(K15:K18)</f>
        <v>145466901174</v>
      </c>
      <c r="L13" s="41">
        <f>+K13/H13</f>
        <v>0.97177609407262122</v>
      </c>
      <c r="M13" s="21">
        <f>SUM(M15:M18)</f>
        <v>93297768759</v>
      </c>
      <c r="N13" s="41">
        <f>+M13/H13</f>
        <v>0.62326577784085324</v>
      </c>
      <c r="O13" s="48">
        <f>SUM(O15:O18)</f>
        <v>52169132415</v>
      </c>
      <c r="P13" s="2"/>
      <c r="Q13" s="2"/>
    </row>
    <row r="14" spans="1:26" s="19" customFormat="1" ht="42.75" hidden="1" x14ac:dyDescent="0.25">
      <c r="A14" s="2"/>
      <c r="B14" s="27" t="s">
        <v>18</v>
      </c>
      <c r="C14" s="28" t="s">
        <v>19</v>
      </c>
      <c r="D14" s="29">
        <f>SUM(D16:D18)</f>
        <v>126088146000</v>
      </c>
      <c r="E14" s="29">
        <f>SUM(E16:E18)</f>
        <v>472000000</v>
      </c>
      <c r="F14" s="22"/>
      <c r="G14" s="22"/>
      <c r="H14" s="26"/>
      <c r="I14" s="22"/>
      <c r="J14" s="45" t="e">
        <f t="shared" si="9"/>
        <v>#DIV/0!</v>
      </c>
      <c r="K14" s="22">
        <f>SUM(K16:K18)</f>
        <v>142011292512</v>
      </c>
      <c r="L14" s="41" t="e">
        <f>+K14/#REF!</f>
        <v>#REF!</v>
      </c>
      <c r="M14" s="22">
        <f>SUM(M16:M18)</f>
        <v>90562251683</v>
      </c>
      <c r="N14" s="50" t="e">
        <f>+M14/#REF!</f>
        <v>#REF!</v>
      </c>
      <c r="O14" s="51"/>
      <c r="P14" s="2"/>
      <c r="Q14" s="2"/>
    </row>
    <row r="15" spans="1:26" s="19" customFormat="1" ht="42.75" x14ac:dyDescent="0.25">
      <c r="A15" s="2"/>
      <c r="B15" s="33" t="s">
        <v>26</v>
      </c>
      <c r="C15" s="30" t="s">
        <v>27</v>
      </c>
      <c r="D15" s="30">
        <v>4008049000</v>
      </c>
      <c r="E15" s="30">
        <v>0</v>
      </c>
      <c r="F15" s="26">
        <f>+D15-E15</f>
        <v>4008049000</v>
      </c>
      <c r="G15" s="26">
        <v>0</v>
      </c>
      <c r="H15" s="26">
        <f>+F15+G15</f>
        <v>4008049000</v>
      </c>
      <c r="I15" s="26">
        <v>3455608662</v>
      </c>
      <c r="J15" s="45">
        <f>+I15/H15</f>
        <v>0.8621672694121254</v>
      </c>
      <c r="K15" s="25">
        <v>3455608662</v>
      </c>
      <c r="L15" s="42">
        <f>+K15/H15</f>
        <v>0.8621672694121254</v>
      </c>
      <c r="M15" s="25">
        <v>2735517076</v>
      </c>
      <c r="N15" s="45">
        <f>+M15/H15</f>
        <v>0.68250589650974824</v>
      </c>
      <c r="O15" s="52">
        <v>720091586</v>
      </c>
      <c r="P15" s="2"/>
      <c r="Q15" s="2"/>
    </row>
    <row r="16" spans="1:26" s="19" customFormat="1" ht="42.75" x14ac:dyDescent="0.25">
      <c r="A16" s="2"/>
      <c r="B16" s="23" t="s">
        <v>20</v>
      </c>
      <c r="C16" s="30" t="s">
        <v>21</v>
      </c>
      <c r="D16" s="30">
        <f>106278575000-4237494000</f>
        <v>102041081000</v>
      </c>
      <c r="E16" s="30">
        <v>387040000</v>
      </c>
      <c r="F16" s="26">
        <f t="shared" ref="F16:F18" si="10">+D16-E16</f>
        <v>101654041000</v>
      </c>
      <c r="G16" s="26">
        <v>15450000000</v>
      </c>
      <c r="H16" s="26">
        <f>125991535000-3629059748</f>
        <v>122362475252</v>
      </c>
      <c r="I16" s="26">
        <f>119694329819-60106288</f>
        <v>119634223531</v>
      </c>
      <c r="J16" s="45">
        <f t="shared" ref="J16:J18" si="11">+I16/H16</f>
        <v>0.97770352622091627</v>
      </c>
      <c r="K16" s="26">
        <f>119694329819-60106288</f>
        <v>119634223531</v>
      </c>
      <c r="L16" s="42">
        <f t="shared" ref="L16:L18" si="12">+K16/H16</f>
        <v>0.97770352622091627</v>
      </c>
      <c r="M16" s="26">
        <f>72909568711-60106288</f>
        <v>72849462423</v>
      </c>
      <c r="N16" s="45">
        <f t="shared" ref="N16:N18" si="13">+M16/H16</f>
        <v>0.59535786827595483</v>
      </c>
      <c r="O16" s="53">
        <f>46784761108</f>
        <v>46784761108</v>
      </c>
      <c r="P16" s="2"/>
      <c r="Q16" s="2"/>
    </row>
    <row r="17" spans="1:17" s="19" customFormat="1" x14ac:dyDescent="0.25">
      <c r="A17" s="2"/>
      <c r="B17" s="31" t="s">
        <v>22</v>
      </c>
      <c r="C17" s="32" t="s">
        <v>23</v>
      </c>
      <c r="D17" s="32">
        <v>18213467000</v>
      </c>
      <c r="E17" s="30">
        <v>66080000</v>
      </c>
      <c r="F17" s="26">
        <f t="shared" si="10"/>
        <v>18147387000</v>
      </c>
      <c r="G17" s="26">
        <v>0</v>
      </c>
      <c r="H17" s="26">
        <f>+F17+G17-11091132</f>
        <v>18136295868</v>
      </c>
      <c r="I17" s="26">
        <f>17542806160-11091132</f>
        <v>17531715028</v>
      </c>
      <c r="J17" s="45">
        <f t="shared" si="11"/>
        <v>0.96666459102783309</v>
      </c>
      <c r="K17" s="26">
        <f>17542806160-11091132</f>
        <v>17531715028</v>
      </c>
      <c r="L17" s="42">
        <f t="shared" si="12"/>
        <v>0.96666459102783309</v>
      </c>
      <c r="M17" s="26">
        <f>14005967548-11091132</f>
        <v>13994876416</v>
      </c>
      <c r="N17" s="45">
        <f t="shared" si="13"/>
        <v>0.77165020453227207</v>
      </c>
      <c r="O17" s="53">
        <f>3536838612</f>
        <v>3536838612</v>
      </c>
      <c r="P17" s="2"/>
      <c r="Q17" s="2"/>
    </row>
    <row r="18" spans="1:17" s="19" customFormat="1" ht="42.75" x14ac:dyDescent="0.25">
      <c r="A18" s="2"/>
      <c r="B18" s="33" t="s">
        <v>24</v>
      </c>
      <c r="C18" s="30" t="s">
        <v>25</v>
      </c>
      <c r="D18" s="30">
        <v>5833598000</v>
      </c>
      <c r="E18" s="30">
        <v>18880000</v>
      </c>
      <c r="F18" s="26">
        <f t="shared" si="10"/>
        <v>5814718000</v>
      </c>
      <c r="G18" s="26">
        <v>0</v>
      </c>
      <c r="H18" s="26">
        <f>+F18+G18-629750000</f>
        <v>5184968000</v>
      </c>
      <c r="I18" s="26">
        <f>4845353953</f>
        <v>4845353953</v>
      </c>
      <c r="J18" s="45">
        <f t="shared" si="11"/>
        <v>0.93450026171810507</v>
      </c>
      <c r="K18" s="25">
        <v>4845353953</v>
      </c>
      <c r="L18" s="42">
        <f t="shared" si="12"/>
        <v>0.93450026171810507</v>
      </c>
      <c r="M18" s="25">
        <v>3717912844</v>
      </c>
      <c r="N18" s="45">
        <f t="shared" si="13"/>
        <v>0.71705608289192913</v>
      </c>
      <c r="O18" s="52">
        <v>1127441109</v>
      </c>
      <c r="P18" s="2"/>
      <c r="Q18" s="2"/>
    </row>
    <row r="19" spans="1:17" s="39" customFormat="1" ht="18" customHeight="1" thickBot="1" x14ac:dyDescent="0.3">
      <c r="A19" s="2"/>
      <c r="B19" s="34" t="s">
        <v>28</v>
      </c>
      <c r="C19" s="35" t="s">
        <v>29</v>
      </c>
      <c r="D19" s="36">
        <v>4237494000</v>
      </c>
      <c r="E19" s="43">
        <v>0</v>
      </c>
      <c r="F19" s="37">
        <f>+D19-E19</f>
        <v>4237494000</v>
      </c>
      <c r="G19" s="37">
        <v>0</v>
      </c>
      <c r="H19" s="37">
        <v>4269900880</v>
      </c>
      <c r="I19" s="37">
        <f>60106288+11091132</f>
        <v>71197420</v>
      </c>
      <c r="J19" s="46">
        <f>+I19/H19</f>
        <v>1.6674255913874985E-2</v>
      </c>
      <c r="K19" s="37">
        <f>60106288+11091132</f>
        <v>71197420</v>
      </c>
      <c r="L19" s="46">
        <f>+K19/H19</f>
        <v>1.6674255913874985E-2</v>
      </c>
      <c r="M19" s="37">
        <f>60106288+11091132</f>
        <v>71197420</v>
      </c>
      <c r="N19" s="46">
        <f>+M19/D19</f>
        <v>1.6801774822572019E-2</v>
      </c>
      <c r="O19" s="54">
        <v>0</v>
      </c>
      <c r="P19" s="38"/>
      <c r="Q19" s="38"/>
    </row>
  </sheetData>
  <phoneticPr fontId="4" type="noConversion"/>
  <pageMargins left="0.7" right="0.7" top="0.75" bottom="0.75" header="0.3" footer="0.3"/>
  <pageSetup orientation="portrait" r:id="rId1"/>
  <ignoredErrors>
    <ignoredError sqref="J7:J19 L7:L19 K12 N7:N8" formula="1"/>
    <ignoredError sqref="M13 G13" formulaRange="1"/>
    <ignoredError sqref="B7:B8 B12:B18" numberStoredAsText="1"/>
    <ignoredError sqref="B9 B19 B11" twoDigitTextYear="1" numberStoredAsText="1"/>
    <ignoredError sqref="E13 K1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G. Romero</dc:creator>
  <cp:lastModifiedBy>Andres Gustavo Romero Quinones</cp:lastModifiedBy>
  <dcterms:created xsi:type="dcterms:W3CDTF">2021-05-06T13:19:00Z</dcterms:created>
  <dcterms:modified xsi:type="dcterms:W3CDTF">2022-01-12T21:59:56Z</dcterms:modified>
</cp:coreProperties>
</file>