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gela.cifuentes\Documents\UMV 2021\Riesgos\"/>
    </mc:Choice>
  </mc:AlternateContent>
  <bookViews>
    <workbookView xWindow="0" yWindow="0" windowWidth="20490" windowHeight="7020" tabRatio="1000" firstSheet="1" activeTab="1"/>
  </bookViews>
  <sheets>
    <sheet name="FORMULAS" sheetId="11" state="hidden" r:id="rId1"/>
    <sheet name="MAPA DE RIESGOS GESTION" sheetId="20" r:id="rId2"/>
    <sheet name="MAPA DE RIESGOS CORRUPCION" sheetId="23" r:id="rId3"/>
    <sheet name="MAPA DE RIESGOS SEGURIDAD I" sheetId="21" r:id="rId4"/>
    <sheet name="TIPOLOGÍA DE RIESGOS" sheetId="17" state="hidden" r:id="rId5"/>
    <sheet name="PROBABILIDAD" sheetId="12" state="hidden" r:id="rId6"/>
    <sheet name="IMPACTO GESTIÓN" sheetId="13" state="hidden" r:id="rId7"/>
    <sheet name="IMPACTO CORRUPCIÓN" sheetId="18" state="hidden" r:id="rId8"/>
    <sheet name="IMPACTO SEGURIDAD I" sheetId="14"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1" hidden="1">'MAPA DE RIESGOS GESTION'!$B$8:$BJ$104</definedName>
    <definedName name="A">[1]FORMULAS!$C$4:$C$6</definedName>
    <definedName name="Acciones_no_autorizadas">FORMULAS!$F$19:$F$20</definedName>
    <definedName name="_xlnm.Print_Area" localSheetId="7">'IMPACTO CORRUPCIÓN'!$A$1:$G$26</definedName>
    <definedName name="_xlnm.Print_Area" localSheetId="6">'IMPACTO GESTIÓN'!$A$1:$E$48</definedName>
    <definedName name="_xlnm.Print_Area" localSheetId="8">'IMPACTO SEGURIDAD I'!$A$1:$F$19</definedName>
    <definedName name="_xlnm.Print_Area" localSheetId="2">'MAPA DE RIESGOS CORRUPCION'!$A$1:$BJ$29</definedName>
    <definedName name="_xlnm.Print_Area" localSheetId="1">'MAPA DE RIESGOS GESTION'!$A$1:$BJ$44</definedName>
    <definedName name="_xlnm.Print_Area" localSheetId="3">'MAPA DE RIESGOS SEGURIDAD I'!$A$1:$BJ$74</definedName>
    <definedName name="_xlnm.Print_Area" localSheetId="5">PROBABILIDAD!$A$1:$G$9</definedName>
    <definedName name="_xlnm.Print_Area" localSheetId="4">'TIPOLOGÍA DE RIESGOS'!$A$1:$D$11</definedName>
    <definedName name="B" localSheetId="2">[2]FORMULAS!$G$4:$G$8</definedName>
    <definedName name="B" localSheetId="1">[2]FORMULAS!$G$4:$G$8</definedName>
    <definedName name="clasificaciónriesgos" localSheetId="8">#REF!</definedName>
    <definedName name="clasificaciónriesgos" localSheetId="2">#REF!</definedName>
    <definedName name="clasificaciónriesgos" localSheetId="1">#REF!</definedName>
    <definedName name="clasificaciónriesgos" localSheetId="3">#REF!</definedName>
    <definedName name="clasificaciónriesgos">#REF!</definedName>
    <definedName name="códigos" localSheetId="8">#REF!</definedName>
    <definedName name="códigos" localSheetId="2">#REF!</definedName>
    <definedName name="códigos" localSheetId="1">#REF!</definedName>
    <definedName name="códigos" localSheetId="3">#REF!</definedName>
    <definedName name="códigos">#REF!</definedName>
    <definedName name="Compromiso_de_la_informacion">FORMULAS!$F$12:$F$13</definedName>
    <definedName name="Compromiso_de_las_funciones">FORMULAS!$F$21:$F$22</definedName>
    <definedName name="Corrupcion">FORMULAS!$D$11</definedName>
    <definedName name="Daño_fisico">FORMULAS!$F$4:$F$5</definedName>
    <definedName name="Direccionamiento_Estratégico" localSheetId="8">#REF!</definedName>
    <definedName name="Direccionamiento_Estratégico" localSheetId="2">#REF!</definedName>
    <definedName name="Direccionamiento_Estratégico" localSheetId="1">#REF!</definedName>
    <definedName name="Direccionamiento_Estratégico" localSheetId="3">#REF!</definedName>
    <definedName name="Direccionamiento_Estratégico">#REF!</definedName>
    <definedName name="económicos" localSheetId="8">#REF!</definedName>
    <definedName name="económicos" localSheetId="2">#REF!</definedName>
    <definedName name="económicos" localSheetId="1">#REF!</definedName>
    <definedName name="económicos" localSheetId="3">#REF!</definedName>
    <definedName name="económicos">#REF!</definedName>
    <definedName name="Eventos_naturales">FORMULAS!$F$6:$F$7</definedName>
    <definedName name="externo" localSheetId="8">#REF!</definedName>
    <definedName name="externo" localSheetId="2">#REF!</definedName>
    <definedName name="externo" localSheetId="1">#REF!</definedName>
    <definedName name="externo" localSheetId="3">#REF!</definedName>
    <definedName name="externo">#REF!</definedName>
    <definedName name="externos2" localSheetId="8">#REF!</definedName>
    <definedName name="externos2" localSheetId="2">#REF!</definedName>
    <definedName name="externos2" localSheetId="1">#REF!</definedName>
    <definedName name="externos2" localSheetId="3">#REF!</definedName>
    <definedName name="externos2">#REF!</definedName>
    <definedName name="factores" localSheetId="8">#REF!</definedName>
    <definedName name="factores" localSheetId="2">#REF!</definedName>
    <definedName name="factores" localSheetId="1">#REF!</definedName>
    <definedName name="factores" localSheetId="3">#REF!</definedName>
    <definedName name="factores">#REF!</definedName>
    <definedName name="Fallas_tecnicas">FORMULAS!$F$14:$F$18</definedName>
    <definedName name="Gestion">FORMULAS!$D$4:$D$9</definedName>
    <definedName name="impacto" localSheetId="7">#REF!</definedName>
    <definedName name="impacto" localSheetId="6">#REF!</definedName>
    <definedName name="impacto" localSheetId="8">#REF!</definedName>
    <definedName name="impacto">FORMULAS!$J$4:$J$8</definedName>
    <definedName name="impactoco" localSheetId="8">#REF!</definedName>
    <definedName name="impactoco" localSheetId="2">#REF!</definedName>
    <definedName name="impactoco" localSheetId="1">#REF!</definedName>
    <definedName name="impactoco" localSheetId="3">#REF!</definedName>
    <definedName name="impactoco">#REF!</definedName>
    <definedName name="impactocorrupcion">FORMULAS!$I$4:$I$6</definedName>
    <definedName name="infraestructura" localSheetId="8">#REF!</definedName>
    <definedName name="infraestructura" localSheetId="2">#REF!</definedName>
    <definedName name="infraestructura" localSheetId="1">#REF!</definedName>
    <definedName name="infraestructura" localSheetId="3">#REF!</definedName>
    <definedName name="infraestructura">#REF!</definedName>
    <definedName name="interno" localSheetId="8">#REF!</definedName>
    <definedName name="interno" localSheetId="2">#REF!</definedName>
    <definedName name="interno" localSheetId="1">#REF!</definedName>
    <definedName name="interno" localSheetId="3">#REF!</definedName>
    <definedName name="interno">#REF!</definedName>
    <definedName name="macroprocesos" localSheetId="8">#REF!</definedName>
    <definedName name="macroprocesos" localSheetId="2">#REF!</definedName>
    <definedName name="macroprocesos" localSheetId="1">#REF!</definedName>
    <definedName name="macroprocesos" localSheetId="3">#REF!</definedName>
    <definedName name="macroprocesos">#REF!</definedName>
    <definedName name="medio_ambientales" localSheetId="8">#REF!</definedName>
    <definedName name="medio_ambientales" localSheetId="2">#REF!</definedName>
    <definedName name="medio_ambientales" localSheetId="1">#REF!</definedName>
    <definedName name="medio_ambientales" localSheetId="3">#REF!</definedName>
    <definedName name="medio_ambientales">#REF!</definedName>
    <definedName name="n">[3]FORMULAS!$C$4:$C$6</definedName>
    <definedName name="opciondelriesgo" localSheetId="7">[4]FORMULAS!$K$4:$K$7</definedName>
    <definedName name="opciondelriesgo" localSheetId="6">[5]FORMULAS!$K$4:$K$7</definedName>
    <definedName name="opciondelriesgo" localSheetId="8">[5]FORMULAS!$K$4:$K$7</definedName>
    <definedName name="opciondelriesgo" localSheetId="5">[5]FORMULAS!$K$4:$K$7</definedName>
    <definedName name="opciondelriesgo" localSheetId="4">[4]FORMULAS!$K$4:$K$7</definedName>
    <definedName name="opciondelriesgo">FORMULAS!$K$4:$K$7</definedName>
    <definedName name="Perdidas_de_los_servicios_esenciales">FORMULAS!$F$8:$F$9</definedName>
    <definedName name="personal" localSheetId="8">#REF!</definedName>
    <definedName name="personal" localSheetId="2">#REF!</definedName>
    <definedName name="personal" localSheetId="1">#REF!</definedName>
    <definedName name="personal" localSheetId="3">#REF!</definedName>
    <definedName name="personal">#REF!</definedName>
    <definedName name="Perturbacion_debida_a_la_radiacion">FORMULAS!$F$10:$F$11</definedName>
    <definedName name="políticos" localSheetId="8">#REF!</definedName>
    <definedName name="políticos" localSheetId="2">#REF!</definedName>
    <definedName name="políticos" localSheetId="1">#REF!</definedName>
    <definedName name="políticos" localSheetId="3">#REF!</definedName>
    <definedName name="políticos">#REF!</definedName>
    <definedName name="probabilidad" localSheetId="7">#REF!</definedName>
    <definedName name="probabilidad" localSheetId="6">#REF!</definedName>
    <definedName name="probabilidad" localSheetId="8">#REF!</definedName>
    <definedName name="probabilidad" localSheetId="5">[5]FORMULAS!$G$4:$G$8</definedName>
    <definedName name="probabilidad" localSheetId="4">[4]FORMULAS!$G$4:$G$8</definedName>
    <definedName name="probabilidad">FORMULAS!$G$4:$G$8</definedName>
    <definedName name="proceso" localSheetId="8">#REF!</definedName>
    <definedName name="proceso" localSheetId="2">#REF!</definedName>
    <definedName name="proceso" localSheetId="1">#REF!</definedName>
    <definedName name="proceso" localSheetId="3">#REF!</definedName>
    <definedName name="proceso">#REF!</definedName>
    <definedName name="procesos" localSheetId="7">#REF!</definedName>
    <definedName name="procesos" localSheetId="6">#REF!</definedName>
    <definedName name="procesos" localSheetId="8">#REF!</definedName>
    <definedName name="procesos" localSheetId="5">[5]FORMULAS!$B$4:$B$20</definedName>
    <definedName name="procesos" localSheetId="4">[4]FORMULAS!$B$4:$B$20</definedName>
    <definedName name="procesos">FORMULAS!$B$4:$B$20</definedName>
    <definedName name="Seguridad_de_la_informacion">FORMULAS!$D$13:$D$15</definedName>
    <definedName name="sociales" localSheetId="8">#REF!</definedName>
    <definedName name="sociales" localSheetId="2">#REF!</definedName>
    <definedName name="sociales" localSheetId="1">#REF!</definedName>
    <definedName name="sociales" localSheetId="3">#REF!</definedName>
    <definedName name="sociales">#REF!</definedName>
    <definedName name="tecnología" localSheetId="8">#REF!</definedName>
    <definedName name="tecnología" localSheetId="2">#REF!</definedName>
    <definedName name="tecnología" localSheetId="1">#REF!</definedName>
    <definedName name="tecnología" localSheetId="3">#REF!</definedName>
    <definedName name="tecnología">#REF!</definedName>
    <definedName name="tecnológicos" localSheetId="8">#REF!</definedName>
    <definedName name="tecnológicos" localSheetId="2">#REF!</definedName>
    <definedName name="tecnológicos" localSheetId="1">#REF!</definedName>
    <definedName name="tecnológicos" localSheetId="3">#REF!</definedName>
    <definedName name="tecnológicos">#REF!</definedName>
    <definedName name="tipo_de_amenaza" localSheetId="7">[4]FORMULAS!$E$4:$E$11</definedName>
    <definedName name="tipo_de_amenaza" localSheetId="6">[5]FORMULAS!$E$4:$E$11</definedName>
    <definedName name="tipo_de_amenaza" localSheetId="8">[5]FORMULAS!$E$4:$E$11</definedName>
    <definedName name="tipo_de_amenaza" localSheetId="5">[5]FORMULAS!$E$4:$E$11</definedName>
    <definedName name="tipo_de_amenaza" localSheetId="4">[4]FORMULAS!$E$4:$E$11</definedName>
    <definedName name="tipo_de_amenaza">FORMULAS!$E$4:$E$11</definedName>
    <definedName name="tipo_de_riesgos" localSheetId="7">[4]FORMULAS!$C$4:$C$6</definedName>
    <definedName name="tipo_de_riesgos" localSheetId="6">[5]FORMULAS!$C$4:$C$6</definedName>
    <definedName name="tipo_de_riesgos" localSheetId="8">[5]FORMULAS!$C$4:$C$6</definedName>
    <definedName name="tipo_de_riesgos" localSheetId="5">[5]FORMULAS!$C$4:$C$6</definedName>
    <definedName name="tipo_de_riesgos" localSheetId="4">[4]FORMULAS!$C$4:$C$6</definedName>
    <definedName name="tipo_de_riesgos">FORMULAS!$C$4:$C$6</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98" i="20" l="1"/>
  <c r="AG98" i="20"/>
  <c r="AE98" i="20"/>
  <c r="AC98" i="20"/>
  <c r="AA98" i="20"/>
  <c r="Y98" i="20"/>
  <c r="W98" i="20"/>
  <c r="U98" i="20"/>
  <c r="AH98" i="20" s="1"/>
  <c r="AI98" i="20" s="1"/>
  <c r="AL98" i="20" s="1"/>
  <c r="AM98" i="20" s="1"/>
  <c r="AN98" i="20" s="1"/>
  <c r="AK97" i="20"/>
  <c r="AG97" i="20"/>
  <c r="AE97" i="20"/>
  <c r="AC97" i="20"/>
  <c r="AA97" i="20"/>
  <c r="Y97" i="20"/>
  <c r="W97" i="20"/>
  <c r="U97" i="20"/>
  <c r="AH97" i="20" s="1"/>
  <c r="AI97" i="20" s="1"/>
  <c r="AL97" i="20" s="1"/>
  <c r="AM97" i="20" s="1"/>
  <c r="AN97" i="20" s="1"/>
  <c r="AK96" i="20"/>
  <c r="AG96" i="20"/>
  <c r="AE96" i="20"/>
  <c r="AC96" i="20"/>
  <c r="AA96" i="20"/>
  <c r="Y96" i="20"/>
  <c r="W96" i="20"/>
  <c r="U96" i="20"/>
  <c r="AH96" i="20" s="1"/>
  <c r="AI96" i="20" s="1"/>
  <c r="AL96" i="20" s="1"/>
  <c r="AM96" i="20" s="1"/>
  <c r="AN96" i="20" s="1"/>
  <c r="AK95" i="20"/>
  <c r="AH95" i="20"/>
  <c r="AI95" i="20" s="1"/>
  <c r="AL95" i="20" s="1"/>
  <c r="AM95" i="20" s="1"/>
  <c r="AN95" i="20" s="1"/>
  <c r="AO95" i="20" s="1"/>
  <c r="AP95" i="20" s="1"/>
  <c r="AS95" i="20" s="1"/>
  <c r="AG95" i="20"/>
  <c r="AE95" i="20"/>
  <c r="AC95" i="20"/>
  <c r="AA95" i="20"/>
  <c r="Y95" i="20"/>
  <c r="W95" i="20"/>
  <c r="U95" i="20"/>
  <c r="AU95" i="20" l="1"/>
  <c r="AT95" i="20"/>
  <c r="AL71" i="20" l="1"/>
  <c r="AG71" i="20"/>
  <c r="AE71" i="20"/>
  <c r="AC71" i="20"/>
  <c r="AA71" i="20"/>
  <c r="Y71" i="20"/>
  <c r="W71" i="20"/>
  <c r="U71" i="20"/>
  <c r="AK70" i="20"/>
  <c r="AG70" i="20"/>
  <c r="AE70" i="20"/>
  <c r="AC70" i="20"/>
  <c r="AA70" i="20"/>
  <c r="Y70" i="20"/>
  <c r="W70" i="20"/>
  <c r="U70" i="20"/>
  <c r="AH70" i="20" s="1"/>
  <c r="AI70" i="20" s="1"/>
  <c r="AL70" i="20" s="1"/>
  <c r="AM70" i="20" s="1"/>
  <c r="AN70" i="20" s="1"/>
  <c r="AO70" i="20" s="1"/>
  <c r="AP70" i="20" s="1"/>
  <c r="AS70" i="20" s="1"/>
  <c r="AK68" i="20"/>
  <c r="AG68" i="20"/>
  <c r="AE68" i="20"/>
  <c r="AC68" i="20"/>
  <c r="AA68" i="20"/>
  <c r="Y68" i="20"/>
  <c r="W68" i="20"/>
  <c r="U68" i="20"/>
  <c r="AH68" i="20" s="1"/>
  <c r="AI68" i="20" s="1"/>
  <c r="AL68" i="20" s="1"/>
  <c r="AM68" i="20" s="1"/>
  <c r="AN68" i="20" s="1"/>
  <c r="AO68" i="20" s="1"/>
  <c r="AP68" i="20" s="1"/>
  <c r="AS68" i="20" s="1"/>
  <c r="AK66" i="20"/>
  <c r="AG66" i="20"/>
  <c r="AH66" i="20" s="1"/>
  <c r="AI66" i="20" s="1"/>
  <c r="AL66" i="20" s="1"/>
  <c r="AM66" i="20" s="1"/>
  <c r="AN66" i="20" s="1"/>
  <c r="AO66" i="20" s="1"/>
  <c r="AP66" i="20" s="1"/>
  <c r="AS66" i="20" s="1"/>
  <c r="AE66" i="20"/>
  <c r="AC66" i="20"/>
  <c r="AA66" i="20"/>
  <c r="Y66" i="20"/>
  <c r="W66" i="20"/>
  <c r="U66" i="20"/>
  <c r="AT70" i="20" l="1"/>
  <c r="AU70" i="20"/>
  <c r="AT68" i="20"/>
  <c r="AU68" i="20"/>
  <c r="AU66" i="20"/>
  <c r="AT66" i="20"/>
  <c r="AK87" i="20" l="1"/>
  <c r="AG87" i="20"/>
  <c r="AE87" i="20"/>
  <c r="AC87" i="20"/>
  <c r="AA87" i="20"/>
  <c r="Y87" i="20"/>
  <c r="W87" i="20"/>
  <c r="U87" i="20"/>
  <c r="AH87" i="20" s="1"/>
  <c r="AI87" i="20" s="1"/>
  <c r="AL87" i="20" s="1"/>
  <c r="AM87" i="20" s="1"/>
  <c r="AN87" i="20" s="1"/>
  <c r="AK86" i="20"/>
  <c r="AG86" i="20"/>
  <c r="AE86" i="20"/>
  <c r="AH86" i="20" s="1"/>
  <c r="AI86" i="20" s="1"/>
  <c r="AL86" i="20" s="1"/>
  <c r="AM86" i="20" s="1"/>
  <c r="AN86" i="20" s="1"/>
  <c r="AO86" i="20" s="1"/>
  <c r="AP86" i="20" s="1"/>
  <c r="AS86" i="20" s="1"/>
  <c r="AC86" i="20"/>
  <c r="AA86" i="20"/>
  <c r="Y86" i="20"/>
  <c r="W86" i="20"/>
  <c r="U86" i="20"/>
  <c r="AK85" i="20"/>
  <c r="AG85" i="20"/>
  <c r="AE85" i="20"/>
  <c r="AC85" i="20"/>
  <c r="AA85" i="20"/>
  <c r="Y85" i="20"/>
  <c r="W85" i="20"/>
  <c r="U85" i="20"/>
  <c r="AH85" i="20" s="1"/>
  <c r="AI85" i="20" s="1"/>
  <c r="AL85" i="20" s="1"/>
  <c r="AM85" i="20" s="1"/>
  <c r="AN85" i="20" s="1"/>
  <c r="AK84" i="20"/>
  <c r="AG84" i="20"/>
  <c r="AE84" i="20"/>
  <c r="AH84" i="20" s="1"/>
  <c r="AI84" i="20" s="1"/>
  <c r="AL84" i="20" s="1"/>
  <c r="AM84" i="20" s="1"/>
  <c r="AN84" i="20" s="1"/>
  <c r="AO84" i="20" s="1"/>
  <c r="AP84" i="20" s="1"/>
  <c r="AS84" i="20" s="1"/>
  <c r="AC84" i="20"/>
  <c r="AA84" i="20"/>
  <c r="Y84" i="20"/>
  <c r="W84" i="20"/>
  <c r="U84" i="20"/>
  <c r="AK83" i="20"/>
  <c r="AG83" i="20"/>
  <c r="AE83" i="20"/>
  <c r="AC83" i="20"/>
  <c r="AA83" i="20"/>
  <c r="Y83" i="20"/>
  <c r="W83" i="20"/>
  <c r="U83" i="20"/>
  <c r="AH83" i="20" s="1"/>
  <c r="AI83" i="20" s="1"/>
  <c r="AL83" i="20" s="1"/>
  <c r="AM83" i="20" s="1"/>
  <c r="AN83" i="20" s="1"/>
  <c r="AK82" i="20"/>
  <c r="AH82" i="20"/>
  <c r="AI82" i="20" s="1"/>
  <c r="AL82" i="20" s="1"/>
  <c r="AM82" i="20" s="1"/>
  <c r="AN82" i="20" s="1"/>
  <c r="AG82" i="20"/>
  <c r="AE82" i="20"/>
  <c r="AC82" i="20"/>
  <c r="AA82" i="20"/>
  <c r="Y82" i="20"/>
  <c r="W82" i="20"/>
  <c r="U82" i="20"/>
  <c r="AY86" i="20"/>
  <c r="AZ86" i="20" s="1"/>
  <c r="Q86" i="20"/>
  <c r="P86" i="20"/>
  <c r="M86" i="20"/>
  <c r="AY84" i="20"/>
  <c r="AZ84" i="20" s="1"/>
  <c r="P84" i="20"/>
  <c r="Q84" i="20" s="1"/>
  <c r="M84" i="20"/>
  <c r="AY82" i="20"/>
  <c r="AZ82" i="20" s="1"/>
  <c r="P82" i="20"/>
  <c r="Q82" i="20" s="1"/>
  <c r="M82" i="20"/>
  <c r="AT86" i="20" l="1"/>
  <c r="AU86" i="20"/>
  <c r="AU84" i="20"/>
  <c r="AT84" i="20"/>
  <c r="AO82" i="20"/>
  <c r="AP82" i="20" s="1"/>
  <c r="AS82" i="20" s="1"/>
  <c r="AU82" i="20" l="1"/>
  <c r="AT82" i="20"/>
  <c r="AV82" i="20" s="1"/>
  <c r="AV86" i="20"/>
  <c r="AV84" i="20"/>
  <c r="AY60" i="20" l="1"/>
  <c r="AZ60" i="20" s="1"/>
  <c r="AT60" i="20"/>
  <c r="AV60" i="20" s="1"/>
  <c r="AK60" i="20"/>
  <c r="AL60" i="20" s="1"/>
  <c r="AM60" i="20" s="1"/>
  <c r="AN60" i="20" s="1"/>
  <c r="AO60" i="20" s="1"/>
  <c r="AP60" i="20" s="1"/>
  <c r="AQ60" i="20" s="1"/>
  <c r="AG61" i="20"/>
  <c r="AE61" i="20"/>
  <c r="AC61" i="20"/>
  <c r="AA61" i="20"/>
  <c r="Y61" i="20"/>
  <c r="W61" i="20"/>
  <c r="U61" i="20"/>
  <c r="AG60" i="20"/>
  <c r="AE60" i="20"/>
  <c r="AC60" i="20"/>
  <c r="AA60" i="20"/>
  <c r="Y60" i="20"/>
  <c r="W60" i="20"/>
  <c r="U60" i="20"/>
  <c r="AH60" i="20" s="1"/>
  <c r="AI60" i="20" s="1"/>
  <c r="P61" i="20"/>
  <c r="Q61" i="20" s="1"/>
  <c r="M61" i="20"/>
  <c r="P60" i="20"/>
  <c r="Q60" i="20" s="1"/>
  <c r="M60" i="20"/>
  <c r="AY58" i="20"/>
  <c r="AZ58" i="20" s="1"/>
  <c r="AK58" i="20"/>
  <c r="AG58" i="20"/>
  <c r="AE58" i="20"/>
  <c r="AC58" i="20"/>
  <c r="AA58" i="20"/>
  <c r="Y58" i="20"/>
  <c r="W58" i="20"/>
  <c r="U58" i="20"/>
  <c r="P58" i="20"/>
  <c r="Q58" i="20" s="1"/>
  <c r="M58" i="20"/>
  <c r="AY56" i="20"/>
  <c r="AZ56" i="20" s="1"/>
  <c r="AK56" i="20"/>
  <c r="AG56" i="20"/>
  <c r="AE56" i="20"/>
  <c r="AC56" i="20"/>
  <c r="AA56" i="20"/>
  <c r="Y56" i="20"/>
  <c r="W56" i="20"/>
  <c r="U56" i="20"/>
  <c r="P56" i="20"/>
  <c r="Q56" i="20" s="1"/>
  <c r="M56" i="20"/>
  <c r="AU60" i="20" l="1"/>
  <c r="AH58" i="20"/>
  <c r="AI58" i="20" s="1"/>
  <c r="AL58" i="20" s="1"/>
  <c r="AM58" i="20" s="1"/>
  <c r="AN58" i="20" s="1"/>
  <c r="AO58" i="20" s="1"/>
  <c r="AP58" i="20" s="1"/>
  <c r="AS58" i="20" s="1"/>
  <c r="AU58" i="20" s="1"/>
  <c r="AH56" i="20"/>
  <c r="AI56" i="20" s="1"/>
  <c r="AL56" i="20" s="1"/>
  <c r="AM56" i="20" s="1"/>
  <c r="AN56" i="20" s="1"/>
  <c r="AO56" i="20" s="1"/>
  <c r="AP56" i="20" s="1"/>
  <c r="AS56" i="20" s="1"/>
  <c r="AT56" i="20" s="1"/>
  <c r="AT58" i="20" l="1"/>
  <c r="AY95" i="20" l="1"/>
  <c r="P95" i="20"/>
  <c r="Q95" i="20" s="1"/>
  <c r="M95" i="20"/>
  <c r="AK94" i="20"/>
  <c r="AG94" i="20"/>
  <c r="AE94" i="20"/>
  <c r="AC94" i="20"/>
  <c r="AA94" i="20"/>
  <c r="Y94" i="20"/>
  <c r="W94" i="20"/>
  <c r="U94" i="20"/>
  <c r="AY93" i="20"/>
  <c r="AK93" i="20"/>
  <c r="AG93" i="20"/>
  <c r="AE93" i="20"/>
  <c r="AC93" i="20"/>
  <c r="AA93" i="20"/>
  <c r="Y93" i="20"/>
  <c r="W93" i="20"/>
  <c r="U93" i="20"/>
  <c r="P93" i="20"/>
  <c r="Q93" i="20" s="1"/>
  <c r="M93" i="20"/>
  <c r="AH93" i="20" l="1"/>
  <c r="AI93" i="20" s="1"/>
  <c r="AL93" i="20" s="1"/>
  <c r="AM93" i="20" s="1"/>
  <c r="AN93" i="20" s="1"/>
  <c r="AH94" i="20"/>
  <c r="AI94" i="20" s="1"/>
  <c r="AL94" i="20" s="1"/>
  <c r="AM94" i="20" s="1"/>
  <c r="AN94" i="20" s="1"/>
  <c r="AP93" i="20" l="1"/>
  <c r="AQ93" i="20" s="1"/>
  <c r="AT93" i="20" s="1"/>
  <c r="AU93" i="20" s="1"/>
  <c r="AV93" i="20" l="1"/>
  <c r="AV95" i="20"/>
  <c r="AY69" i="21" l="1"/>
  <c r="AZ69" i="21" s="1"/>
  <c r="AK69" i="21"/>
  <c r="AG69" i="21"/>
  <c r="AE69" i="21"/>
  <c r="AC69" i="21"/>
  <c r="AA69" i="21"/>
  <c r="Y69" i="21"/>
  <c r="W69" i="21"/>
  <c r="U69" i="21"/>
  <c r="P69" i="21"/>
  <c r="Q69" i="21" s="1"/>
  <c r="M69" i="21"/>
  <c r="AY20" i="23"/>
  <c r="AZ20" i="23" s="1"/>
  <c r="AK20" i="23"/>
  <c r="AG20" i="23"/>
  <c r="AE20" i="23"/>
  <c r="AC20" i="23"/>
  <c r="AA20" i="23"/>
  <c r="Y20" i="23"/>
  <c r="W20" i="23"/>
  <c r="U20" i="23"/>
  <c r="P20" i="23"/>
  <c r="Q20" i="23" s="1"/>
  <c r="M20" i="23"/>
  <c r="AY71" i="20"/>
  <c r="P71" i="20"/>
  <c r="Q71" i="20" s="1"/>
  <c r="M71" i="20"/>
  <c r="AY70" i="20"/>
  <c r="AZ70" i="20" s="1"/>
  <c r="P70" i="20"/>
  <c r="Q70" i="20" s="1"/>
  <c r="M70" i="20"/>
  <c r="AY68" i="20"/>
  <c r="AZ68" i="20" s="1"/>
  <c r="P68" i="20"/>
  <c r="Q68" i="20" s="1"/>
  <c r="M68" i="20"/>
  <c r="AY66" i="20"/>
  <c r="AZ66" i="20" s="1"/>
  <c r="P66" i="20"/>
  <c r="Q66" i="20" s="1"/>
  <c r="M66" i="20"/>
  <c r="AV70" i="20" l="1"/>
  <c r="AH69" i="21"/>
  <c r="AI69" i="21" s="1"/>
  <c r="AL69" i="21" s="1"/>
  <c r="AM69" i="21" s="1"/>
  <c r="AN69" i="21" s="1"/>
  <c r="AO69" i="21" s="1"/>
  <c r="AQ69" i="21" s="1"/>
  <c r="AT69" i="21" s="1"/>
  <c r="AU69" i="21" s="1"/>
  <c r="AH20" i="23"/>
  <c r="AI20" i="23" s="1"/>
  <c r="AL20" i="23" s="1"/>
  <c r="AM20" i="23" s="1"/>
  <c r="AN20" i="23" s="1"/>
  <c r="AO20" i="23" s="1"/>
  <c r="AQ20" i="23" s="1"/>
  <c r="AT20" i="23" s="1"/>
  <c r="AV20" i="23" s="1"/>
  <c r="AV66" i="20" l="1"/>
  <c r="AV68" i="20"/>
  <c r="AV69" i="21"/>
  <c r="AU20" i="23"/>
  <c r="AK19" i="23"/>
  <c r="AG19" i="23"/>
  <c r="AE19" i="23"/>
  <c r="AC19" i="23"/>
  <c r="AA19" i="23"/>
  <c r="Y19" i="23"/>
  <c r="W19" i="23"/>
  <c r="U19" i="23"/>
  <c r="AY18" i="23"/>
  <c r="AZ18" i="23" s="1"/>
  <c r="AK18" i="23"/>
  <c r="AG18" i="23"/>
  <c r="AE18" i="23"/>
  <c r="AC18" i="23"/>
  <c r="AA18" i="23"/>
  <c r="Y18" i="23"/>
  <c r="W18" i="23"/>
  <c r="U18" i="23"/>
  <c r="P18" i="23"/>
  <c r="Q18" i="23" s="1"/>
  <c r="M18" i="23"/>
  <c r="AK65" i="20"/>
  <c r="AG65" i="20"/>
  <c r="AE65" i="20"/>
  <c r="AC65" i="20"/>
  <c r="AA65" i="20"/>
  <c r="Y65" i="20"/>
  <c r="W65" i="20"/>
  <c r="U65" i="20"/>
  <c r="AK64" i="20"/>
  <c r="AG64" i="20"/>
  <c r="AE64" i="20"/>
  <c r="AC64" i="20"/>
  <c r="AA64" i="20"/>
  <c r="Y64" i="20"/>
  <c r="W64" i="20"/>
  <c r="U64" i="20"/>
  <c r="AK63" i="20"/>
  <c r="AG63" i="20"/>
  <c r="AE63" i="20"/>
  <c r="AC63" i="20"/>
  <c r="AA63" i="20"/>
  <c r="Y63" i="20"/>
  <c r="W63" i="20"/>
  <c r="U63" i="20"/>
  <c r="AY62" i="20"/>
  <c r="AZ62" i="20" s="1"/>
  <c r="AK62" i="20"/>
  <c r="AG62" i="20"/>
  <c r="AE62" i="20"/>
  <c r="AC62" i="20"/>
  <c r="AA62" i="20"/>
  <c r="Y62" i="20"/>
  <c r="W62" i="20"/>
  <c r="U62" i="20"/>
  <c r="P62" i="20"/>
  <c r="Q62" i="20" s="1"/>
  <c r="M62" i="20"/>
  <c r="AH62" i="20" l="1"/>
  <c r="AI62" i="20" s="1"/>
  <c r="AL62" i="20" s="1"/>
  <c r="AM62" i="20" s="1"/>
  <c r="AN62" i="20" s="1"/>
  <c r="AH19" i="23"/>
  <c r="AI19" i="23" s="1"/>
  <c r="AL19" i="23" s="1"/>
  <c r="AM19" i="23" s="1"/>
  <c r="AN19" i="23" s="1"/>
  <c r="AH18" i="23"/>
  <c r="AI18" i="23" s="1"/>
  <c r="AL18" i="23" s="1"/>
  <c r="AM18" i="23" s="1"/>
  <c r="AN18" i="23" s="1"/>
  <c r="AO18" i="23" s="1"/>
  <c r="AQ18" i="23" s="1"/>
  <c r="AT18" i="23" s="1"/>
  <c r="AV18" i="23" s="1"/>
  <c r="AH65" i="20"/>
  <c r="AI65" i="20" s="1"/>
  <c r="AL65" i="20" s="1"/>
  <c r="AM65" i="20" s="1"/>
  <c r="AN65" i="20" s="1"/>
  <c r="AH64" i="20"/>
  <c r="AI64" i="20" s="1"/>
  <c r="AL64" i="20" s="1"/>
  <c r="AM64" i="20" s="1"/>
  <c r="AN64" i="20" s="1"/>
  <c r="AH63" i="20"/>
  <c r="AI63" i="20" s="1"/>
  <c r="AL63" i="20" s="1"/>
  <c r="AM63" i="20" s="1"/>
  <c r="AN63" i="20" s="1"/>
  <c r="AK66" i="21"/>
  <c r="AG66" i="21"/>
  <c r="AE66" i="21"/>
  <c r="AC66" i="21"/>
  <c r="AA66" i="21"/>
  <c r="Y66" i="21"/>
  <c r="W66" i="21"/>
  <c r="U66" i="21"/>
  <c r="AK65" i="21"/>
  <c r="AG65" i="21"/>
  <c r="AE65" i="21"/>
  <c r="AC65" i="21"/>
  <c r="AA65" i="21"/>
  <c r="Y65" i="21"/>
  <c r="W65" i="21"/>
  <c r="U65" i="21"/>
  <c r="AY64" i="21"/>
  <c r="AZ64" i="21" s="1"/>
  <c r="AK64" i="21"/>
  <c r="AG64" i="21"/>
  <c r="AE64" i="21"/>
  <c r="AC64" i="21"/>
  <c r="AA64" i="21"/>
  <c r="Y64" i="21"/>
  <c r="W64" i="21"/>
  <c r="U64" i="21"/>
  <c r="P64" i="21"/>
  <c r="Q64" i="21" s="1"/>
  <c r="M64" i="21"/>
  <c r="AK17" i="23"/>
  <c r="AG17" i="23"/>
  <c r="AE17" i="23"/>
  <c r="AC17" i="23"/>
  <c r="AA17" i="23"/>
  <c r="Y17" i="23"/>
  <c r="W17" i="23"/>
  <c r="U17" i="23"/>
  <c r="AK16" i="23"/>
  <c r="AG16" i="23"/>
  <c r="AE16" i="23"/>
  <c r="AC16" i="23"/>
  <c r="AA16" i="23"/>
  <c r="Y16" i="23"/>
  <c r="W16" i="23"/>
  <c r="U16" i="23"/>
  <c r="AY15" i="23"/>
  <c r="AZ15" i="23" s="1"/>
  <c r="AK15" i="23"/>
  <c r="AG15" i="23"/>
  <c r="AE15" i="23"/>
  <c r="AC15" i="23"/>
  <c r="AA15" i="23"/>
  <c r="Y15" i="23"/>
  <c r="W15" i="23"/>
  <c r="U15" i="23"/>
  <c r="P15" i="23"/>
  <c r="Q15" i="23" s="1"/>
  <c r="M15" i="23"/>
  <c r="AP62" i="20" l="1"/>
  <c r="AQ62" i="20" s="1"/>
  <c r="AT62" i="20" s="1"/>
  <c r="AU62" i="20" s="1"/>
  <c r="AH64" i="21"/>
  <c r="AI64" i="21" s="1"/>
  <c r="AL64" i="21" s="1"/>
  <c r="AO64" i="21" s="1"/>
  <c r="AH65" i="21"/>
  <c r="AI65" i="21" s="1"/>
  <c r="AL65" i="21" s="1"/>
  <c r="AO65" i="21" s="1"/>
  <c r="AH66" i="21"/>
  <c r="AI66" i="21" s="1"/>
  <c r="AL66" i="21" s="1"/>
  <c r="AO66" i="21" s="1"/>
  <c r="AH17" i="23"/>
  <c r="AI17" i="23" s="1"/>
  <c r="AL17" i="23" s="1"/>
  <c r="AM17" i="23" s="1"/>
  <c r="AN17" i="23" s="1"/>
  <c r="AH15" i="23"/>
  <c r="AI15" i="23" s="1"/>
  <c r="AL15" i="23" s="1"/>
  <c r="AM15" i="23" s="1"/>
  <c r="AN15" i="23" s="1"/>
  <c r="AH16" i="23"/>
  <c r="AI16" i="23" s="1"/>
  <c r="AL16" i="23" s="1"/>
  <c r="AM16" i="23" s="1"/>
  <c r="AN16" i="23" s="1"/>
  <c r="AU18" i="23"/>
  <c r="AM65" i="21"/>
  <c r="AN65" i="21" s="1"/>
  <c r="AV62" i="20" l="1"/>
  <c r="AM66" i="21"/>
  <c r="AN66" i="21" s="1"/>
  <c r="AM64" i="21"/>
  <c r="AN64" i="21" s="1"/>
  <c r="AP64" i="21" s="1"/>
  <c r="AQ64" i="21" s="1"/>
  <c r="AT64" i="21" s="1"/>
  <c r="AO17" i="23"/>
  <c r="AO15" i="23"/>
  <c r="AO16" i="23"/>
  <c r="AP15" i="23"/>
  <c r="AQ15" i="23" s="1"/>
  <c r="AT15" i="23" s="1"/>
  <c r="AV64" i="21" l="1"/>
  <c r="AU64" i="21"/>
  <c r="AU15" i="23"/>
  <c r="AV15" i="23"/>
  <c r="AK63" i="21" l="1"/>
  <c r="AG63" i="21"/>
  <c r="AE63" i="21"/>
  <c r="AC63" i="21"/>
  <c r="AA63" i="21"/>
  <c r="Y63" i="21"/>
  <c r="W63" i="21"/>
  <c r="U63" i="21"/>
  <c r="AK62" i="21"/>
  <c r="AG62" i="21"/>
  <c r="AE62" i="21"/>
  <c r="AC62" i="21"/>
  <c r="AA62" i="21"/>
  <c r="Y62" i="21"/>
  <c r="W62" i="21"/>
  <c r="U62" i="21"/>
  <c r="AY61" i="21"/>
  <c r="AZ61" i="21" s="1"/>
  <c r="AK61" i="21"/>
  <c r="AG61" i="21"/>
  <c r="AE61" i="21"/>
  <c r="AC61" i="21"/>
  <c r="AA61" i="21"/>
  <c r="Y61" i="21"/>
  <c r="W61" i="21"/>
  <c r="U61" i="21"/>
  <c r="P61" i="21"/>
  <c r="Q61" i="21" s="1"/>
  <c r="M61" i="21"/>
  <c r="AK60" i="21"/>
  <c r="AG60" i="21"/>
  <c r="AE60" i="21"/>
  <c r="AC60" i="21"/>
  <c r="AA60" i="21"/>
  <c r="Y60" i="21"/>
  <c r="W60" i="21"/>
  <c r="U60" i="21"/>
  <c r="AY59" i="21"/>
  <c r="AZ59" i="21" s="1"/>
  <c r="AK59" i="21"/>
  <c r="AG59" i="21"/>
  <c r="AE59" i="21"/>
  <c r="AC59" i="21"/>
  <c r="AA59" i="21"/>
  <c r="Y59" i="21"/>
  <c r="W59" i="21"/>
  <c r="U59" i="21"/>
  <c r="P59" i="21"/>
  <c r="Q59" i="21" s="1"/>
  <c r="M59" i="21"/>
  <c r="AK58" i="21"/>
  <c r="AG58" i="21"/>
  <c r="AE58" i="21"/>
  <c r="AC58" i="21"/>
  <c r="AA58" i="21"/>
  <c r="Y58" i="21"/>
  <c r="W58" i="21"/>
  <c r="U58" i="21"/>
  <c r="AY57" i="21"/>
  <c r="AZ57" i="21" s="1"/>
  <c r="AK57" i="21"/>
  <c r="AG57" i="21"/>
  <c r="AE57" i="21"/>
  <c r="AC57" i="21"/>
  <c r="AA57" i="21"/>
  <c r="Y57" i="21"/>
  <c r="W57" i="21"/>
  <c r="U57" i="21"/>
  <c r="P57" i="21"/>
  <c r="Q57" i="21" s="1"/>
  <c r="M57" i="21"/>
  <c r="AK56" i="21"/>
  <c r="AG56" i="21"/>
  <c r="AE56" i="21"/>
  <c r="AC56" i="21"/>
  <c r="AA56" i="21"/>
  <c r="Y56" i="21"/>
  <c r="W56" i="21"/>
  <c r="U56" i="21"/>
  <c r="AY55" i="21"/>
  <c r="AZ55" i="21" s="1"/>
  <c r="AK55" i="21"/>
  <c r="AG55" i="21"/>
  <c r="AE55" i="21"/>
  <c r="AC55" i="21"/>
  <c r="AA55" i="21"/>
  <c r="Y55" i="21"/>
  <c r="W55" i="21"/>
  <c r="U55" i="21"/>
  <c r="P55" i="21"/>
  <c r="Q55" i="21" s="1"/>
  <c r="M55" i="21"/>
  <c r="AK54" i="21"/>
  <c r="AG54" i="21"/>
  <c r="AE54" i="21"/>
  <c r="AC54" i="21"/>
  <c r="AA54" i="21"/>
  <c r="Y54" i="21"/>
  <c r="W54" i="21"/>
  <c r="U54" i="21"/>
  <c r="AY53" i="21"/>
  <c r="AZ53" i="21" s="1"/>
  <c r="AK53" i="21"/>
  <c r="AG53" i="21"/>
  <c r="AE53" i="21"/>
  <c r="AC53" i="21"/>
  <c r="AA53" i="21"/>
  <c r="Y53" i="21"/>
  <c r="W53" i="21"/>
  <c r="U53" i="21"/>
  <c r="P53" i="21"/>
  <c r="Q53" i="21" s="1"/>
  <c r="M53" i="21"/>
  <c r="AK52" i="21"/>
  <c r="AG52" i="21"/>
  <c r="AE52" i="21"/>
  <c r="AC52" i="21"/>
  <c r="AA52" i="21"/>
  <c r="Y52" i="21"/>
  <c r="W52" i="21"/>
  <c r="U52" i="21"/>
  <c r="AY51" i="21"/>
  <c r="AZ51" i="21" s="1"/>
  <c r="AK51" i="21"/>
  <c r="AG51" i="21"/>
  <c r="AE51" i="21"/>
  <c r="AC51" i="21"/>
  <c r="AA51" i="21"/>
  <c r="Y51" i="21"/>
  <c r="W51" i="21"/>
  <c r="U51" i="21"/>
  <c r="P51" i="21"/>
  <c r="Q51" i="21" s="1"/>
  <c r="M51" i="21"/>
  <c r="AK50" i="21"/>
  <c r="AG50" i="21"/>
  <c r="AE50" i="21"/>
  <c r="AC50" i="21"/>
  <c r="AA50" i="21"/>
  <c r="Y50" i="21"/>
  <c r="W50" i="21"/>
  <c r="U50" i="21"/>
  <c r="AK49" i="21"/>
  <c r="AG49" i="21"/>
  <c r="AE49" i="21"/>
  <c r="AC49" i="21"/>
  <c r="AA49" i="21"/>
  <c r="Y49" i="21"/>
  <c r="W49" i="21"/>
  <c r="U49" i="21"/>
  <c r="AY48" i="21"/>
  <c r="AZ48" i="21" s="1"/>
  <c r="AK48" i="21"/>
  <c r="AG48" i="21"/>
  <c r="AE48" i="21"/>
  <c r="AC48" i="21"/>
  <c r="AA48" i="21"/>
  <c r="Y48" i="21"/>
  <c r="W48" i="21"/>
  <c r="U48" i="21"/>
  <c r="P48" i="21"/>
  <c r="Q48" i="21" s="1"/>
  <c r="M48" i="21"/>
  <c r="AK47" i="21"/>
  <c r="AG47" i="21"/>
  <c r="AE47" i="21"/>
  <c r="AC47" i="21"/>
  <c r="AA47" i="21"/>
  <c r="Y47" i="21"/>
  <c r="W47" i="21"/>
  <c r="U47" i="21"/>
  <c r="AY46" i="21"/>
  <c r="AZ46" i="21" s="1"/>
  <c r="AK46" i="21"/>
  <c r="AG46" i="21"/>
  <c r="AE46" i="21"/>
  <c r="AC46" i="21"/>
  <c r="AA46" i="21"/>
  <c r="Y46" i="21"/>
  <c r="W46" i="21"/>
  <c r="U46" i="21"/>
  <c r="P46" i="21"/>
  <c r="Q46" i="21" s="1"/>
  <c r="M46" i="21"/>
  <c r="AK45" i="21"/>
  <c r="AG45" i="21"/>
  <c r="AE45" i="21"/>
  <c r="AC45" i="21"/>
  <c r="AA45" i="21"/>
  <c r="Y45" i="21"/>
  <c r="W45" i="21"/>
  <c r="U45" i="21"/>
  <c r="AK44" i="21"/>
  <c r="AG44" i="21"/>
  <c r="AE44" i="21"/>
  <c r="AC44" i="21"/>
  <c r="AA44" i="21"/>
  <c r="Y44" i="21"/>
  <c r="W44" i="21"/>
  <c r="U44" i="21"/>
  <c r="AK43" i="21"/>
  <c r="AG43" i="21"/>
  <c r="AE43" i="21"/>
  <c r="AC43" i="21"/>
  <c r="AA43" i="21"/>
  <c r="Y43" i="21"/>
  <c r="W43" i="21"/>
  <c r="U43" i="21"/>
  <c r="AK42" i="21"/>
  <c r="AG42" i="21"/>
  <c r="AE42" i="21"/>
  <c r="AC42" i="21"/>
  <c r="AA42" i="21"/>
  <c r="Y42" i="21"/>
  <c r="W42" i="21"/>
  <c r="U42" i="21"/>
  <c r="AY41" i="21"/>
  <c r="AZ41" i="21" s="1"/>
  <c r="AK41" i="21"/>
  <c r="AG41" i="21"/>
  <c r="AE41" i="21"/>
  <c r="AC41" i="21"/>
  <c r="AA41" i="21"/>
  <c r="Y41" i="21"/>
  <c r="W41" i="21"/>
  <c r="U41" i="21"/>
  <c r="P41" i="21"/>
  <c r="Q41" i="21" s="1"/>
  <c r="M41" i="21"/>
  <c r="M39" i="21"/>
  <c r="P39" i="21"/>
  <c r="Q39" i="21" s="1"/>
  <c r="U39" i="21"/>
  <c r="W39" i="21"/>
  <c r="Y39" i="21"/>
  <c r="AA39" i="21"/>
  <c r="AC39" i="21"/>
  <c r="AE39" i="21"/>
  <c r="AG39" i="21"/>
  <c r="AK39" i="21"/>
  <c r="AY39" i="21"/>
  <c r="AZ39" i="21" s="1"/>
  <c r="AK40" i="21"/>
  <c r="AG40" i="21"/>
  <c r="AE40" i="21"/>
  <c r="AC40" i="21"/>
  <c r="AA40" i="21"/>
  <c r="Y40" i="21"/>
  <c r="W40" i="21"/>
  <c r="U40" i="21"/>
  <c r="AH62" i="21" l="1"/>
  <c r="AI62" i="21" s="1"/>
  <c r="AL62" i="21" s="1"/>
  <c r="AM62" i="21" s="1"/>
  <c r="AN62" i="21" s="1"/>
  <c r="AH61" i="21"/>
  <c r="AI61" i="21" s="1"/>
  <c r="AL61" i="21" s="1"/>
  <c r="AM61" i="21" s="1"/>
  <c r="AN61" i="21" s="1"/>
  <c r="AH63" i="21"/>
  <c r="AI63" i="21" s="1"/>
  <c r="AL63" i="21" s="1"/>
  <c r="AM63" i="21" s="1"/>
  <c r="AN63" i="21" s="1"/>
  <c r="AH59" i="21"/>
  <c r="AI59" i="21" s="1"/>
  <c r="AL59" i="21" s="1"/>
  <c r="AM59" i="21" s="1"/>
  <c r="AN59" i="21" s="1"/>
  <c r="AH57" i="21"/>
  <c r="AI57" i="21" s="1"/>
  <c r="AL57" i="21" s="1"/>
  <c r="AM57" i="21" s="1"/>
  <c r="AN57" i="21" s="1"/>
  <c r="AH60" i="21"/>
  <c r="AI60" i="21" s="1"/>
  <c r="AL60" i="21" s="1"/>
  <c r="AM60" i="21" s="1"/>
  <c r="AN60" i="21" s="1"/>
  <c r="AO59" i="21" s="1"/>
  <c r="AQ59" i="21" s="1"/>
  <c r="AT59" i="21" s="1"/>
  <c r="AH55" i="21"/>
  <c r="AI55" i="21" s="1"/>
  <c r="AL55" i="21" s="1"/>
  <c r="AM55" i="21" s="1"/>
  <c r="AN55" i="21" s="1"/>
  <c r="AH58" i="21"/>
  <c r="AI58" i="21" s="1"/>
  <c r="AL58" i="21" s="1"/>
  <c r="AM58" i="21" s="1"/>
  <c r="AN58" i="21" s="1"/>
  <c r="AO57" i="21" s="1"/>
  <c r="AQ57" i="21" s="1"/>
  <c r="AT57" i="21" s="1"/>
  <c r="AH56" i="21"/>
  <c r="AI56" i="21" s="1"/>
  <c r="AL56" i="21" s="1"/>
  <c r="AM56" i="21" s="1"/>
  <c r="AN56" i="21" s="1"/>
  <c r="AH54" i="21"/>
  <c r="AI54" i="21" s="1"/>
  <c r="AL54" i="21" s="1"/>
  <c r="AM54" i="21" s="1"/>
  <c r="AN54" i="21" s="1"/>
  <c r="AO54" i="21" s="1"/>
  <c r="AQ54" i="21" s="1"/>
  <c r="AT54" i="21" s="1"/>
  <c r="AV54" i="21" s="1"/>
  <c r="AH52" i="21"/>
  <c r="AI52" i="21" s="1"/>
  <c r="AL52" i="21" s="1"/>
  <c r="AM52" i="21" s="1"/>
  <c r="AN52" i="21" s="1"/>
  <c r="AH53" i="21"/>
  <c r="AI53" i="21" s="1"/>
  <c r="AL53" i="21" s="1"/>
  <c r="AM53" i="21" s="1"/>
  <c r="AN53" i="21" s="1"/>
  <c r="AO53" i="21" s="1"/>
  <c r="AQ53" i="21" s="1"/>
  <c r="AT53" i="21" s="1"/>
  <c r="AU53" i="21" s="1"/>
  <c r="AH51" i="21"/>
  <c r="AI51" i="21" s="1"/>
  <c r="AL51" i="21" s="1"/>
  <c r="AM51" i="21" s="1"/>
  <c r="AN51" i="21" s="1"/>
  <c r="AH48" i="21"/>
  <c r="AI48" i="21" s="1"/>
  <c r="AL48" i="21" s="1"/>
  <c r="AM48" i="21" s="1"/>
  <c r="AN48" i="21" s="1"/>
  <c r="AH49" i="21"/>
  <c r="AI49" i="21" s="1"/>
  <c r="AL49" i="21" s="1"/>
  <c r="AM49" i="21" s="1"/>
  <c r="AN49" i="21" s="1"/>
  <c r="AH50" i="21"/>
  <c r="AI50" i="21" s="1"/>
  <c r="AL50" i="21" s="1"/>
  <c r="AM50" i="21" s="1"/>
  <c r="AN50" i="21" s="1"/>
  <c r="AH47" i="21"/>
  <c r="AI47" i="21" s="1"/>
  <c r="AL47" i="21" s="1"/>
  <c r="AM47" i="21" s="1"/>
  <c r="AN47" i="21" s="1"/>
  <c r="AO47" i="21" s="1"/>
  <c r="AQ47" i="21" s="1"/>
  <c r="AT47" i="21" s="1"/>
  <c r="AV47" i="21" s="1"/>
  <c r="AH46" i="21"/>
  <c r="AI46" i="21" s="1"/>
  <c r="AL46" i="21" s="1"/>
  <c r="AM46" i="21" s="1"/>
  <c r="AN46" i="21" s="1"/>
  <c r="AO46" i="21" s="1"/>
  <c r="AQ46" i="21" s="1"/>
  <c r="AT46" i="21" s="1"/>
  <c r="AU46" i="21" s="1"/>
  <c r="AH42" i="21"/>
  <c r="AI42" i="21" s="1"/>
  <c r="AL42" i="21" s="1"/>
  <c r="AM42" i="21" s="1"/>
  <c r="AN42" i="21" s="1"/>
  <c r="AH43" i="21"/>
  <c r="AI43" i="21" s="1"/>
  <c r="AL43" i="21" s="1"/>
  <c r="AM43" i="21" s="1"/>
  <c r="AN43" i="21" s="1"/>
  <c r="AH44" i="21"/>
  <c r="AI44" i="21" s="1"/>
  <c r="AL44" i="21" s="1"/>
  <c r="AM44" i="21" s="1"/>
  <c r="AN44" i="21" s="1"/>
  <c r="AH45" i="21"/>
  <c r="AI45" i="21" s="1"/>
  <c r="AL45" i="21" s="1"/>
  <c r="AM45" i="21" s="1"/>
  <c r="AN45" i="21" s="1"/>
  <c r="AH39" i="21"/>
  <c r="AI39" i="21" s="1"/>
  <c r="AL39" i="21" s="1"/>
  <c r="AM39" i="21" s="1"/>
  <c r="AN39" i="21" s="1"/>
  <c r="AO39" i="21" s="1"/>
  <c r="AQ39" i="21" s="1"/>
  <c r="AT39" i="21" s="1"/>
  <c r="AV39" i="21" s="1"/>
  <c r="AH41" i="21"/>
  <c r="AI41" i="21" s="1"/>
  <c r="AL41" i="21" s="1"/>
  <c r="AM41" i="21" s="1"/>
  <c r="AN41" i="21" s="1"/>
  <c r="AH40" i="21"/>
  <c r="AI40" i="21" s="1"/>
  <c r="AL40" i="21" s="1"/>
  <c r="AM40" i="21" s="1"/>
  <c r="AN40" i="21" s="1"/>
  <c r="AO40" i="21" s="1"/>
  <c r="AQ40" i="21" s="1"/>
  <c r="AT40" i="21" s="1"/>
  <c r="AV40" i="21" s="1"/>
  <c r="AL38" i="21"/>
  <c r="AG38" i="21"/>
  <c r="AE38" i="21"/>
  <c r="AC38" i="21"/>
  <c r="AA38" i="21"/>
  <c r="Y38" i="21"/>
  <c r="W38" i="21"/>
  <c r="U38" i="21"/>
  <c r="AL37" i="21"/>
  <c r="AG37" i="21"/>
  <c r="AE37" i="21"/>
  <c r="AC37" i="21"/>
  <c r="AA37" i="21"/>
  <c r="Y37" i="21"/>
  <c r="W37" i="21"/>
  <c r="U37" i="21"/>
  <c r="AL36" i="21"/>
  <c r="AG36" i="21"/>
  <c r="AE36" i="21"/>
  <c r="AC36" i="21"/>
  <c r="AA36" i="21"/>
  <c r="Y36" i="21"/>
  <c r="W36" i="21"/>
  <c r="U36" i="21"/>
  <c r="AY35" i="21"/>
  <c r="AK35" i="21"/>
  <c r="AG35" i="21"/>
  <c r="AE35" i="21"/>
  <c r="AC35" i="21"/>
  <c r="AA35" i="21"/>
  <c r="Y35" i="21"/>
  <c r="W35" i="21"/>
  <c r="U35" i="21"/>
  <c r="P35" i="21"/>
  <c r="M35" i="21"/>
  <c r="AL34" i="21"/>
  <c r="AG34" i="21"/>
  <c r="AE34" i="21"/>
  <c r="AC34" i="21"/>
  <c r="AA34" i="21"/>
  <c r="Y34" i="21"/>
  <c r="W34" i="21"/>
  <c r="U34" i="21"/>
  <c r="AL33" i="21"/>
  <c r="AG33" i="21"/>
  <c r="AE33" i="21"/>
  <c r="AC33" i="21"/>
  <c r="AA33" i="21"/>
  <c r="Y33" i="21"/>
  <c r="W33" i="21"/>
  <c r="U33" i="21"/>
  <c r="AL32" i="21"/>
  <c r="AG32" i="21"/>
  <c r="AE32" i="21"/>
  <c r="AC32" i="21"/>
  <c r="AA32" i="21"/>
  <c r="Y32" i="21"/>
  <c r="W32" i="21"/>
  <c r="U32" i="21"/>
  <c r="AY31" i="21"/>
  <c r="AK31" i="21"/>
  <c r="AG31" i="21"/>
  <c r="AE31" i="21"/>
  <c r="AC31" i="21"/>
  <c r="AA31" i="21"/>
  <c r="Y31" i="21"/>
  <c r="W31" i="21"/>
  <c r="U31" i="21"/>
  <c r="P31" i="21"/>
  <c r="M31" i="21"/>
  <c r="AL30" i="21"/>
  <c r="AG30" i="21"/>
  <c r="AE30" i="21"/>
  <c r="AC30" i="21"/>
  <c r="AA30" i="21"/>
  <c r="Y30" i="21"/>
  <c r="W30" i="21"/>
  <c r="U30" i="21"/>
  <c r="AL29" i="21"/>
  <c r="AG29" i="21"/>
  <c r="AE29" i="21"/>
  <c r="AC29" i="21"/>
  <c r="AA29" i="21"/>
  <c r="Y29" i="21"/>
  <c r="W29" i="21"/>
  <c r="U29" i="21"/>
  <c r="AL28" i="21"/>
  <c r="AG28" i="21"/>
  <c r="AE28" i="21"/>
  <c r="AC28" i="21"/>
  <c r="AA28" i="21"/>
  <c r="Y28" i="21"/>
  <c r="W28" i="21"/>
  <c r="U28" i="21"/>
  <c r="AY27" i="21"/>
  <c r="AZ27" i="21" s="1"/>
  <c r="AK27" i="21"/>
  <c r="AG27" i="21"/>
  <c r="AE27" i="21"/>
  <c r="AC27" i="21"/>
  <c r="AA27" i="21"/>
  <c r="Y27" i="21"/>
  <c r="W27" i="21"/>
  <c r="U27" i="21"/>
  <c r="P27" i="21"/>
  <c r="Q27" i="21" s="1"/>
  <c r="M27" i="21"/>
  <c r="AO61" i="21" l="1"/>
  <c r="AQ61" i="21" s="1"/>
  <c r="AT61" i="21" s="1"/>
  <c r="AV61" i="21" s="1"/>
  <c r="AU54" i="21"/>
  <c r="AV59" i="21"/>
  <c r="AU59" i="21"/>
  <c r="AO55" i="21"/>
  <c r="AQ55" i="21" s="1"/>
  <c r="AT55" i="21" s="1"/>
  <c r="AV53" i="21"/>
  <c r="AV57" i="21"/>
  <c r="AU57" i="21"/>
  <c r="AO51" i="21"/>
  <c r="AQ51" i="21" s="1"/>
  <c r="AT51" i="21" s="1"/>
  <c r="AV51" i="21" s="1"/>
  <c r="AO48" i="21"/>
  <c r="AQ48" i="21" s="1"/>
  <c r="AT48" i="21" s="1"/>
  <c r="AV46" i="21"/>
  <c r="AU47" i="21"/>
  <c r="AU39" i="21"/>
  <c r="AO41" i="21"/>
  <c r="AQ41" i="21" s="1"/>
  <c r="AT41" i="21" s="1"/>
  <c r="AU40" i="21"/>
  <c r="AH27" i="21"/>
  <c r="AI27" i="21" s="1"/>
  <c r="AL27" i="21" s="1"/>
  <c r="AM27" i="21" s="1"/>
  <c r="AN27" i="21" s="1"/>
  <c r="AO27" i="21" s="1"/>
  <c r="AQ27" i="21" s="1"/>
  <c r="AT27" i="21" s="1"/>
  <c r="AV27" i="21" s="1"/>
  <c r="AH35" i="21"/>
  <c r="AI35" i="21" s="1"/>
  <c r="AL35" i="21" s="1"/>
  <c r="AM35" i="21" s="1"/>
  <c r="AN35" i="21" s="1"/>
  <c r="AO35" i="21" s="1"/>
  <c r="AQ35" i="21" s="1"/>
  <c r="AT35" i="21" s="1"/>
  <c r="AV35" i="21" s="1"/>
  <c r="AH31" i="21"/>
  <c r="AI31" i="21" s="1"/>
  <c r="AL31" i="21" s="1"/>
  <c r="AM31" i="21" s="1"/>
  <c r="AN31" i="21" s="1"/>
  <c r="AO31" i="21" s="1"/>
  <c r="AQ31" i="21" s="1"/>
  <c r="AT31" i="21" s="1"/>
  <c r="AU31" i="21" s="1"/>
  <c r="AU61" i="21" l="1"/>
  <c r="AV55" i="21"/>
  <c r="AU55" i="21"/>
  <c r="AU51" i="21"/>
  <c r="AV48" i="21"/>
  <c r="AU48" i="21"/>
  <c r="AV41" i="21"/>
  <c r="AU41" i="21"/>
  <c r="AV31" i="21"/>
  <c r="AU27" i="21"/>
  <c r="AU35" i="21"/>
  <c r="AK55" i="20" l="1"/>
  <c r="AG55" i="20"/>
  <c r="AE55" i="20"/>
  <c r="AC55" i="20"/>
  <c r="AA55" i="20"/>
  <c r="Y55" i="20"/>
  <c r="W55" i="20"/>
  <c r="U55" i="20"/>
  <c r="AY54" i="20"/>
  <c r="AZ54" i="20" s="1"/>
  <c r="AK54" i="20"/>
  <c r="AG54" i="20"/>
  <c r="AE54" i="20"/>
  <c r="AC54" i="20"/>
  <c r="AA54" i="20"/>
  <c r="Y54" i="20"/>
  <c r="W54" i="20"/>
  <c r="U54" i="20"/>
  <c r="P54" i="20"/>
  <c r="Q54" i="20" s="1"/>
  <c r="M54" i="20"/>
  <c r="AH54" i="20" l="1"/>
  <c r="AI54" i="20" s="1"/>
  <c r="AL54" i="20" s="1"/>
  <c r="AM54" i="20" s="1"/>
  <c r="AN54" i="20" s="1"/>
  <c r="AH55" i="20"/>
  <c r="AI55" i="20" s="1"/>
  <c r="AL55" i="20" s="1"/>
  <c r="AM55" i="20" s="1"/>
  <c r="AN55" i="20" s="1"/>
  <c r="AL26" i="21"/>
  <c r="AG26" i="21"/>
  <c r="AE26" i="21"/>
  <c r="AC26" i="21"/>
  <c r="AA26" i="21"/>
  <c r="Y26" i="21"/>
  <c r="W26" i="21"/>
  <c r="U26" i="21"/>
  <c r="AL25" i="21"/>
  <c r="AG25" i="21"/>
  <c r="AE25" i="21"/>
  <c r="AC25" i="21"/>
  <c r="AA25" i="21"/>
  <c r="Y25" i="21"/>
  <c r="W25" i="21"/>
  <c r="U25" i="21"/>
  <c r="AL24" i="21"/>
  <c r="AG24" i="21"/>
  <c r="AE24" i="21"/>
  <c r="AC24" i="21"/>
  <c r="AA24" i="21"/>
  <c r="Y24" i="21"/>
  <c r="W24" i="21"/>
  <c r="U24" i="21"/>
  <c r="AK23" i="21"/>
  <c r="AG23" i="21"/>
  <c r="AE23" i="21"/>
  <c r="AC23" i="21"/>
  <c r="AA23" i="21"/>
  <c r="Y23" i="21"/>
  <c r="W23" i="21"/>
  <c r="U23" i="21"/>
  <c r="AL22" i="21"/>
  <c r="AG22" i="21"/>
  <c r="AE22" i="21"/>
  <c r="AC22" i="21"/>
  <c r="AA22" i="21"/>
  <c r="Y22" i="21"/>
  <c r="W22" i="21"/>
  <c r="U22" i="21"/>
  <c r="AL21" i="21"/>
  <c r="AG21" i="21"/>
  <c r="AE21" i="21"/>
  <c r="AC21" i="21"/>
  <c r="AA21" i="21"/>
  <c r="Y21" i="21"/>
  <c r="W21" i="21"/>
  <c r="U21" i="21"/>
  <c r="AL20" i="21"/>
  <c r="AG20" i="21"/>
  <c r="AE20" i="21"/>
  <c r="AC20" i="21"/>
  <c r="AA20" i="21"/>
  <c r="Y20" i="21"/>
  <c r="W20" i="21"/>
  <c r="U20" i="21"/>
  <c r="AK19" i="21"/>
  <c r="AG19" i="21"/>
  <c r="AE19" i="21"/>
  <c r="AC19" i="21"/>
  <c r="AA19" i="21"/>
  <c r="Y19" i="21"/>
  <c r="W19" i="21"/>
  <c r="U19" i="21"/>
  <c r="AL18" i="21"/>
  <c r="AG18" i="21"/>
  <c r="AE18" i="21"/>
  <c r="AC18" i="21"/>
  <c r="AA18" i="21"/>
  <c r="Y18" i="21"/>
  <c r="W18" i="21"/>
  <c r="U18" i="21"/>
  <c r="AL17" i="21"/>
  <c r="AG17" i="21"/>
  <c r="AE17" i="21"/>
  <c r="AC17" i="21"/>
  <c r="AA17" i="21"/>
  <c r="Y17" i="21"/>
  <c r="W17" i="21"/>
  <c r="U17" i="21"/>
  <c r="AL16" i="21"/>
  <c r="AG16" i="21"/>
  <c r="AE16" i="21"/>
  <c r="AC16" i="21"/>
  <c r="AA16" i="21"/>
  <c r="Y16" i="21"/>
  <c r="W16" i="21"/>
  <c r="U16" i="21"/>
  <c r="AK15" i="21"/>
  <c r="AG15" i="21"/>
  <c r="AE15" i="21"/>
  <c r="AC15" i="21"/>
  <c r="AA15" i="21"/>
  <c r="Y15" i="21"/>
  <c r="W15" i="21"/>
  <c r="U15" i="21"/>
  <c r="AL34" i="20"/>
  <c r="AG34" i="20"/>
  <c r="AE34" i="20"/>
  <c r="AC34" i="20"/>
  <c r="AA34" i="20"/>
  <c r="Y34" i="20"/>
  <c r="W34" i="20"/>
  <c r="U34" i="20"/>
  <c r="AL33" i="20"/>
  <c r="AG33" i="20"/>
  <c r="AE33" i="20"/>
  <c r="AC33" i="20"/>
  <c r="AA33" i="20"/>
  <c r="Y33" i="20"/>
  <c r="W33" i="20"/>
  <c r="U33" i="20"/>
  <c r="AL32" i="20"/>
  <c r="AG32" i="20"/>
  <c r="AE32" i="20"/>
  <c r="AC32" i="20"/>
  <c r="AA32" i="20"/>
  <c r="Y32" i="20"/>
  <c r="W32" i="20"/>
  <c r="U32" i="20"/>
  <c r="AY31" i="20"/>
  <c r="AK31" i="20"/>
  <c r="AG31" i="20"/>
  <c r="AE31" i="20"/>
  <c r="AC31" i="20"/>
  <c r="AA31" i="20"/>
  <c r="Y31" i="20"/>
  <c r="W31" i="20"/>
  <c r="U31" i="20"/>
  <c r="P31" i="20"/>
  <c r="M31" i="20"/>
  <c r="AL30" i="20"/>
  <c r="AG30" i="20"/>
  <c r="AE30" i="20"/>
  <c r="AC30" i="20"/>
  <c r="AA30" i="20"/>
  <c r="Y30" i="20"/>
  <c r="W30" i="20"/>
  <c r="U30" i="20"/>
  <c r="AL29" i="20"/>
  <c r="AG29" i="20"/>
  <c r="AE29" i="20"/>
  <c r="AC29" i="20"/>
  <c r="AA29" i="20"/>
  <c r="Y29" i="20"/>
  <c r="W29" i="20"/>
  <c r="U29" i="20"/>
  <c r="AL28" i="20"/>
  <c r="AG28" i="20"/>
  <c r="AE28" i="20"/>
  <c r="AC28" i="20"/>
  <c r="AA28" i="20"/>
  <c r="Y28" i="20"/>
  <c r="W28" i="20"/>
  <c r="U28" i="20"/>
  <c r="AY27" i="20"/>
  <c r="AZ27" i="20" s="1"/>
  <c r="AK27" i="20"/>
  <c r="AG27" i="20"/>
  <c r="AE27" i="20"/>
  <c r="AC27" i="20"/>
  <c r="AA27" i="20"/>
  <c r="Y27" i="20"/>
  <c r="W27" i="20"/>
  <c r="U27" i="20"/>
  <c r="P27" i="20"/>
  <c r="Q27" i="20" s="1"/>
  <c r="M27" i="20"/>
  <c r="AK26" i="20"/>
  <c r="AG26" i="20"/>
  <c r="AE26" i="20"/>
  <c r="AC26" i="20"/>
  <c r="AA26" i="20"/>
  <c r="Y26" i="20"/>
  <c r="W26" i="20"/>
  <c r="U26" i="20"/>
  <c r="AY25" i="20"/>
  <c r="AZ25" i="20" s="1"/>
  <c r="AK25" i="20"/>
  <c r="AG25" i="20"/>
  <c r="AE25" i="20"/>
  <c r="AC25" i="20"/>
  <c r="AA25" i="20"/>
  <c r="Y25" i="20"/>
  <c r="W25" i="20"/>
  <c r="U25" i="20"/>
  <c r="P25" i="20"/>
  <c r="Q25" i="20" s="1"/>
  <c r="M25" i="20"/>
  <c r="AP54" i="20" l="1"/>
  <c r="AQ54" i="20" s="1"/>
  <c r="AT54" i="20" s="1"/>
  <c r="AV54" i="20" s="1"/>
  <c r="AH31" i="20"/>
  <c r="AI31" i="20" s="1"/>
  <c r="AL31" i="20" s="1"/>
  <c r="AM31" i="20" s="1"/>
  <c r="AN31" i="20" s="1"/>
  <c r="AP31" i="20" s="1"/>
  <c r="AQ31" i="20" s="1"/>
  <c r="AT31" i="20" s="1"/>
  <c r="AU31" i="20" s="1"/>
  <c r="AH25" i="20"/>
  <c r="AI25" i="20" s="1"/>
  <c r="AL25" i="20" s="1"/>
  <c r="AM25" i="20" s="1"/>
  <c r="AN25" i="20" s="1"/>
  <c r="AH26" i="20"/>
  <c r="AI26" i="20" s="1"/>
  <c r="AL26" i="20" s="1"/>
  <c r="AM26" i="20" s="1"/>
  <c r="AN26" i="20" s="1"/>
  <c r="AH27" i="20"/>
  <c r="AI27" i="20" s="1"/>
  <c r="AL27" i="20" s="1"/>
  <c r="AM27" i="20" s="1"/>
  <c r="AN27" i="20" s="1"/>
  <c r="AP27" i="20" s="1"/>
  <c r="AQ27" i="20" s="1"/>
  <c r="AT27" i="20" s="1"/>
  <c r="AU27" i="20" s="1"/>
  <c r="AH19" i="21"/>
  <c r="AI19" i="21" s="1"/>
  <c r="AL19" i="21" s="1"/>
  <c r="AM19" i="21" s="1"/>
  <c r="AN19" i="21" s="1"/>
  <c r="AH23" i="21"/>
  <c r="AI23" i="21" s="1"/>
  <c r="AL23" i="21" s="1"/>
  <c r="AM23" i="21" s="1"/>
  <c r="AN23" i="21" s="1"/>
  <c r="AH15" i="21"/>
  <c r="AI15" i="21" s="1"/>
  <c r="AL15" i="21" s="1"/>
  <c r="AM15" i="21" s="1"/>
  <c r="AN15" i="21" s="1"/>
  <c r="AP25" i="20" l="1"/>
  <c r="AQ25" i="20" s="1"/>
  <c r="AT25" i="20" s="1"/>
  <c r="AV25" i="20" s="1"/>
  <c r="AU54" i="20"/>
  <c r="AV31" i="20"/>
  <c r="AV27" i="20"/>
  <c r="AU25" i="20" l="1"/>
  <c r="AY21" i="20"/>
  <c r="P21" i="20"/>
  <c r="M21" i="20"/>
  <c r="AK22" i="20"/>
  <c r="AG22" i="20"/>
  <c r="AE22" i="20"/>
  <c r="AC22" i="20"/>
  <c r="AA22" i="20"/>
  <c r="Y22" i="20"/>
  <c r="W22" i="20"/>
  <c r="U22" i="20"/>
  <c r="W21" i="20"/>
  <c r="Y21" i="20"/>
  <c r="AA21" i="20"/>
  <c r="AC21" i="20"/>
  <c r="AE21" i="20"/>
  <c r="AH22" i="20" l="1"/>
  <c r="AI22" i="20" s="1"/>
  <c r="AL22" i="20" s="1"/>
  <c r="AE68" i="21" l="1"/>
  <c r="AC68" i="21"/>
  <c r="AA68" i="21"/>
  <c r="Y68" i="21"/>
  <c r="W68" i="21"/>
  <c r="U68" i="21"/>
  <c r="AE67" i="21"/>
  <c r="AC67" i="21"/>
  <c r="AA67" i="21"/>
  <c r="Y67" i="21"/>
  <c r="W67" i="21"/>
  <c r="U67" i="21"/>
  <c r="AE23" i="23"/>
  <c r="AC23" i="23"/>
  <c r="AA23" i="23"/>
  <c r="Y23" i="23"/>
  <c r="W23" i="23"/>
  <c r="U23" i="23"/>
  <c r="AE22" i="23"/>
  <c r="AC22" i="23"/>
  <c r="AA22" i="23"/>
  <c r="Y22" i="23"/>
  <c r="W22" i="23"/>
  <c r="U22" i="23"/>
  <c r="AE81" i="20" l="1"/>
  <c r="AC81" i="20"/>
  <c r="AA81" i="20"/>
  <c r="Y81" i="20"/>
  <c r="W81" i="20"/>
  <c r="U81" i="20"/>
  <c r="AE80" i="20"/>
  <c r="AC80" i="20"/>
  <c r="AA80" i="20"/>
  <c r="Y80" i="20"/>
  <c r="W80" i="20"/>
  <c r="U80" i="20"/>
  <c r="AE79" i="20"/>
  <c r="AC79" i="20"/>
  <c r="AA79" i="20"/>
  <c r="Y79" i="20"/>
  <c r="W79" i="20"/>
  <c r="U79" i="20"/>
  <c r="E24" i="18" l="1"/>
  <c r="I21" i="12"/>
  <c r="C21" i="12"/>
  <c r="I20" i="12"/>
  <c r="C20" i="12"/>
  <c r="I19" i="12"/>
  <c r="C19" i="12"/>
  <c r="I18" i="12"/>
  <c r="C18" i="12"/>
  <c r="I17" i="12"/>
  <c r="C17" i="12"/>
  <c r="I16" i="12"/>
  <c r="C16" i="12"/>
  <c r="I15" i="12"/>
  <c r="C15" i="12"/>
  <c r="I14" i="12"/>
  <c r="C14" i="12"/>
  <c r="I13" i="12"/>
  <c r="C13" i="12"/>
  <c r="I12" i="12"/>
  <c r="C12" i="12"/>
  <c r="AY73" i="21"/>
  <c r="AK73" i="21"/>
  <c r="AG73" i="21"/>
  <c r="AE73" i="21"/>
  <c r="AC73" i="21"/>
  <c r="AA73" i="21"/>
  <c r="Y73" i="21"/>
  <c r="W73" i="21"/>
  <c r="U73" i="21"/>
  <c r="P73" i="21"/>
  <c r="M73" i="21"/>
  <c r="AK72" i="21"/>
  <c r="AG72" i="21"/>
  <c r="AE72" i="21"/>
  <c r="AC72" i="21"/>
  <c r="AA72" i="21"/>
  <c r="Y72" i="21"/>
  <c r="W72" i="21"/>
  <c r="U72" i="21"/>
  <c r="AY71" i="21"/>
  <c r="AK71" i="21"/>
  <c r="AG71" i="21"/>
  <c r="AE71" i="21"/>
  <c r="AC71" i="21"/>
  <c r="AA71" i="21"/>
  <c r="Y71" i="21"/>
  <c r="W71" i="21"/>
  <c r="U71" i="21"/>
  <c r="P71" i="21"/>
  <c r="M71" i="21"/>
  <c r="AK68" i="21"/>
  <c r="AG68" i="21"/>
  <c r="AY67" i="21"/>
  <c r="AK67" i="21"/>
  <c r="AG67" i="21"/>
  <c r="AH67" i="21" s="1"/>
  <c r="AI67" i="21" s="1"/>
  <c r="P67" i="21"/>
  <c r="M67" i="21"/>
  <c r="AX15" i="21"/>
  <c r="P15" i="21"/>
  <c r="M15" i="21"/>
  <c r="AK14" i="21"/>
  <c r="AG14" i="21"/>
  <c r="AE14" i="21"/>
  <c r="AC14" i="21"/>
  <c r="AA14" i="21"/>
  <c r="Y14" i="21"/>
  <c r="W14" i="21"/>
  <c r="U14" i="21"/>
  <c r="AY13" i="21"/>
  <c r="AK13" i="21"/>
  <c r="AG13" i="21"/>
  <c r="AE13" i="21"/>
  <c r="AC13" i="21"/>
  <c r="AA13" i="21"/>
  <c r="Y13" i="21"/>
  <c r="W13" i="21"/>
  <c r="U13" i="21"/>
  <c r="P13" i="21"/>
  <c r="M13" i="21"/>
  <c r="AK12" i="21"/>
  <c r="AG12" i="21"/>
  <c r="AE12" i="21"/>
  <c r="AC12" i="21"/>
  <c r="AA12" i="21"/>
  <c r="Y12" i="21"/>
  <c r="W12" i="21"/>
  <c r="U12" i="21"/>
  <c r="AY11" i="21"/>
  <c r="AK11" i="21"/>
  <c r="AG11" i="21"/>
  <c r="AE11" i="21"/>
  <c r="AC11" i="21"/>
  <c r="AA11" i="21"/>
  <c r="Y11" i="21"/>
  <c r="W11" i="21"/>
  <c r="U11" i="21"/>
  <c r="P11" i="21"/>
  <c r="M11" i="21"/>
  <c r="AK27" i="23"/>
  <c r="AG27" i="23"/>
  <c r="AE27" i="23"/>
  <c r="AC27" i="23"/>
  <c r="AA27" i="23"/>
  <c r="Y27" i="23"/>
  <c r="W27" i="23"/>
  <c r="U27" i="23"/>
  <c r="AY26" i="23"/>
  <c r="AK26" i="23"/>
  <c r="AG26" i="23"/>
  <c r="AE26" i="23"/>
  <c r="AC26" i="23"/>
  <c r="AA26" i="23"/>
  <c r="Y26" i="23"/>
  <c r="W26" i="23"/>
  <c r="U26" i="23"/>
  <c r="P26" i="23"/>
  <c r="M26" i="23"/>
  <c r="AK25" i="23"/>
  <c r="AG25" i="23"/>
  <c r="AE25" i="23"/>
  <c r="AC25" i="23"/>
  <c r="AA25" i="23"/>
  <c r="Y25" i="23"/>
  <c r="W25" i="23"/>
  <c r="U25" i="23"/>
  <c r="AY24" i="23"/>
  <c r="AK24" i="23"/>
  <c r="AG24" i="23"/>
  <c r="AE24" i="23"/>
  <c r="AC24" i="23"/>
  <c r="AA24" i="23"/>
  <c r="Y24" i="23"/>
  <c r="W24" i="23"/>
  <c r="U24" i="23"/>
  <c r="P24" i="23"/>
  <c r="AK23" i="23"/>
  <c r="AG23" i="23"/>
  <c r="AH23" i="23" s="1"/>
  <c r="AI23" i="23" s="1"/>
  <c r="AY22" i="23"/>
  <c r="AK22" i="23"/>
  <c r="AG22" i="23"/>
  <c r="AH22" i="23" s="1"/>
  <c r="AI22" i="23" s="1"/>
  <c r="P22" i="23"/>
  <c r="M22" i="23"/>
  <c r="AK14" i="23"/>
  <c r="AG14" i="23"/>
  <c r="AE14" i="23"/>
  <c r="AC14" i="23"/>
  <c r="AA14" i="23"/>
  <c r="Y14" i="23"/>
  <c r="W14" i="23"/>
  <c r="U14" i="23"/>
  <c r="AY13" i="23"/>
  <c r="AK13" i="23"/>
  <c r="AG13" i="23"/>
  <c r="AE13" i="23"/>
  <c r="AC13" i="23"/>
  <c r="AA13" i="23"/>
  <c r="Y13" i="23"/>
  <c r="W13" i="23"/>
  <c r="U13" i="23"/>
  <c r="P13" i="23"/>
  <c r="M13" i="23"/>
  <c r="AK12" i="23"/>
  <c r="AG12" i="23"/>
  <c r="AE12" i="23"/>
  <c r="AC12" i="23"/>
  <c r="AA12" i="23"/>
  <c r="Y12" i="23"/>
  <c r="W12" i="23"/>
  <c r="U12" i="23"/>
  <c r="AY11" i="23"/>
  <c r="AK11" i="23"/>
  <c r="AG11" i="23"/>
  <c r="AE11" i="23"/>
  <c r="AC11" i="23"/>
  <c r="AA11" i="23"/>
  <c r="Y11" i="23"/>
  <c r="W11" i="23"/>
  <c r="U11" i="23"/>
  <c r="P11" i="23"/>
  <c r="M11" i="23"/>
  <c r="AK104" i="20"/>
  <c r="AG104" i="20"/>
  <c r="AE104" i="20"/>
  <c r="AC104" i="20"/>
  <c r="AA104" i="20"/>
  <c r="Y104" i="20"/>
  <c r="W104" i="20"/>
  <c r="U104" i="20"/>
  <c r="AY103" i="20"/>
  <c r="AK103" i="20"/>
  <c r="AG103" i="20"/>
  <c r="AE103" i="20"/>
  <c r="AC103" i="20"/>
  <c r="AA103" i="20"/>
  <c r="Y103" i="20"/>
  <c r="W103" i="20"/>
  <c r="U103" i="20"/>
  <c r="P103" i="20"/>
  <c r="M103" i="20"/>
  <c r="AK102" i="20"/>
  <c r="AG102" i="20"/>
  <c r="AE102" i="20"/>
  <c r="AC102" i="20"/>
  <c r="AA102" i="20"/>
  <c r="Y102" i="20"/>
  <c r="W102" i="20"/>
  <c r="U102" i="20"/>
  <c r="AY101" i="20"/>
  <c r="AK101" i="20"/>
  <c r="AG101" i="20"/>
  <c r="AE101" i="20"/>
  <c r="AC101" i="20"/>
  <c r="AA101" i="20"/>
  <c r="Y101" i="20"/>
  <c r="W101" i="20"/>
  <c r="U101" i="20"/>
  <c r="P101" i="20"/>
  <c r="M101" i="20"/>
  <c r="AK100" i="20"/>
  <c r="AG100" i="20"/>
  <c r="AE100" i="20"/>
  <c r="AC100" i="20"/>
  <c r="AA100" i="20"/>
  <c r="Y100" i="20"/>
  <c r="W100" i="20"/>
  <c r="U100" i="20"/>
  <c r="AY99" i="20"/>
  <c r="AK99" i="20"/>
  <c r="AG99" i="20"/>
  <c r="AE99" i="20"/>
  <c r="AC99" i="20"/>
  <c r="AA99" i="20"/>
  <c r="Y99" i="20"/>
  <c r="W99" i="20"/>
  <c r="U99" i="20"/>
  <c r="P99" i="20"/>
  <c r="M99" i="20"/>
  <c r="AK92" i="20"/>
  <c r="AG92" i="20"/>
  <c r="AE92" i="20"/>
  <c r="AC92" i="20"/>
  <c r="AA92" i="20"/>
  <c r="Y92" i="20"/>
  <c r="W92" i="20"/>
  <c r="U92" i="20"/>
  <c r="AY91" i="20"/>
  <c r="AK91" i="20"/>
  <c r="AG91" i="20"/>
  <c r="AE91" i="20"/>
  <c r="AC91" i="20"/>
  <c r="AA91" i="20"/>
  <c r="Y91" i="20"/>
  <c r="W91" i="20"/>
  <c r="U91" i="20"/>
  <c r="P91" i="20"/>
  <c r="M91" i="20"/>
  <c r="AK90" i="20"/>
  <c r="AG90" i="20"/>
  <c r="AE90" i="20"/>
  <c r="AC90" i="20"/>
  <c r="AA90" i="20"/>
  <c r="Y90" i="20"/>
  <c r="W90" i="20"/>
  <c r="U90" i="20"/>
  <c r="AK89" i="20"/>
  <c r="AG89" i="20"/>
  <c r="AE89" i="20"/>
  <c r="AC89" i="20"/>
  <c r="AA89" i="20"/>
  <c r="Y89" i="20"/>
  <c r="W89" i="20"/>
  <c r="U89" i="20"/>
  <c r="AY88" i="20"/>
  <c r="AK88" i="20"/>
  <c r="AG88" i="20"/>
  <c r="AE88" i="20"/>
  <c r="AC88" i="20"/>
  <c r="AA88" i="20"/>
  <c r="Y88" i="20"/>
  <c r="W88" i="20"/>
  <c r="U88" i="20"/>
  <c r="P88" i="20"/>
  <c r="M88" i="20"/>
  <c r="AK81" i="20"/>
  <c r="AG81" i="20"/>
  <c r="AH81" i="20" s="1"/>
  <c r="AI81" i="20" s="1"/>
  <c r="AK80" i="20"/>
  <c r="AG80" i="20"/>
  <c r="AH80" i="20" s="1"/>
  <c r="AI80" i="20" s="1"/>
  <c r="AY79" i="20"/>
  <c r="AK79" i="20"/>
  <c r="AG79" i="20"/>
  <c r="AH79" i="20" s="1"/>
  <c r="AI79" i="20" s="1"/>
  <c r="P79" i="20"/>
  <c r="M79" i="20"/>
  <c r="AK78" i="20"/>
  <c r="AG78" i="20"/>
  <c r="AE78" i="20"/>
  <c r="AC78" i="20"/>
  <c r="AA78" i="20"/>
  <c r="Y78" i="20"/>
  <c r="W78" i="20"/>
  <c r="U78" i="20"/>
  <c r="AK77" i="20"/>
  <c r="AG77" i="20"/>
  <c r="AE77" i="20"/>
  <c r="AC77" i="20"/>
  <c r="AA77" i="20"/>
  <c r="Y77" i="20"/>
  <c r="W77" i="20"/>
  <c r="U77" i="20"/>
  <c r="AK76" i="20"/>
  <c r="AG76" i="20"/>
  <c r="AE76" i="20"/>
  <c r="AC76" i="20"/>
  <c r="AA76" i="20"/>
  <c r="Y76" i="20"/>
  <c r="W76" i="20"/>
  <c r="U76" i="20"/>
  <c r="AK75" i="20"/>
  <c r="AG75" i="20"/>
  <c r="AE75" i="20"/>
  <c r="AC75" i="20"/>
  <c r="AA75" i="20"/>
  <c r="Y75" i="20"/>
  <c r="W75" i="20"/>
  <c r="U75" i="20"/>
  <c r="AK74" i="20"/>
  <c r="AG74" i="20"/>
  <c r="AE74" i="20"/>
  <c r="AC74" i="20"/>
  <c r="AA74" i="20"/>
  <c r="Y74" i="20"/>
  <c r="W74" i="20"/>
  <c r="U74" i="20"/>
  <c r="AK73" i="20"/>
  <c r="AG73" i="20"/>
  <c r="AE73" i="20"/>
  <c r="AC73" i="20"/>
  <c r="AA73" i="20"/>
  <c r="Y73" i="20"/>
  <c r="W73" i="20"/>
  <c r="U73" i="20"/>
  <c r="AY72" i="20"/>
  <c r="AK72" i="20"/>
  <c r="AG72" i="20"/>
  <c r="AE72" i="20"/>
  <c r="AC72" i="20"/>
  <c r="AA72" i="20"/>
  <c r="Y72" i="20"/>
  <c r="W72" i="20"/>
  <c r="U72" i="20"/>
  <c r="P72" i="20"/>
  <c r="M72" i="20"/>
  <c r="AY64" i="20"/>
  <c r="P64" i="20"/>
  <c r="M64" i="20"/>
  <c r="AK53" i="20"/>
  <c r="AG53" i="20"/>
  <c r="AE53" i="20"/>
  <c r="AC53" i="20"/>
  <c r="AA53" i="20"/>
  <c r="Y53" i="20"/>
  <c r="W53" i="20"/>
  <c r="U53" i="20"/>
  <c r="AK52" i="20"/>
  <c r="AG52" i="20"/>
  <c r="AE52" i="20"/>
  <c r="AC52" i="20"/>
  <c r="AA52" i="20"/>
  <c r="Y52" i="20"/>
  <c r="W52" i="20"/>
  <c r="U52" i="20"/>
  <c r="AY51" i="20"/>
  <c r="AK51" i="20"/>
  <c r="AG51" i="20"/>
  <c r="AE51" i="20"/>
  <c r="AC51" i="20"/>
  <c r="AA51" i="20"/>
  <c r="Y51" i="20"/>
  <c r="W51" i="20"/>
  <c r="U51" i="20"/>
  <c r="P51" i="20"/>
  <c r="M51" i="20"/>
  <c r="AK50" i="20"/>
  <c r="AG50" i="20"/>
  <c r="AE50" i="20"/>
  <c r="AC50" i="20"/>
  <c r="AA50" i="20"/>
  <c r="Y50" i="20"/>
  <c r="W50" i="20"/>
  <c r="U50" i="20"/>
  <c r="AK49" i="20"/>
  <c r="AG49" i="20"/>
  <c r="AE49" i="20"/>
  <c r="AC49" i="20"/>
  <c r="AA49" i="20"/>
  <c r="Y49" i="20"/>
  <c r="W49" i="20"/>
  <c r="U49" i="20"/>
  <c r="AY48" i="20"/>
  <c r="AK48" i="20"/>
  <c r="AG48" i="20"/>
  <c r="AE48" i="20"/>
  <c r="AC48" i="20"/>
  <c r="AA48" i="20"/>
  <c r="Y48" i="20"/>
  <c r="W48" i="20"/>
  <c r="U48" i="20"/>
  <c r="P48" i="20"/>
  <c r="M48" i="20"/>
  <c r="AK47" i="20"/>
  <c r="AG47" i="20"/>
  <c r="AE47" i="20"/>
  <c r="AC47" i="20"/>
  <c r="AA47" i="20"/>
  <c r="Y47" i="20"/>
  <c r="W47" i="20"/>
  <c r="U47" i="20"/>
  <c r="AK46" i="20"/>
  <c r="AG46" i="20"/>
  <c r="AE46" i="20"/>
  <c r="AC46" i="20"/>
  <c r="AA46" i="20"/>
  <c r="Y46" i="20"/>
  <c r="W46" i="20"/>
  <c r="U46" i="20"/>
  <c r="AY45" i="20"/>
  <c r="AK45" i="20"/>
  <c r="AG45" i="20"/>
  <c r="AE45" i="20"/>
  <c r="AC45" i="20"/>
  <c r="AA45" i="20"/>
  <c r="Y45" i="20"/>
  <c r="W45" i="20"/>
  <c r="U45" i="20"/>
  <c r="P45" i="20"/>
  <c r="M45" i="20"/>
  <c r="AK44" i="20"/>
  <c r="AG44" i="20"/>
  <c r="AE44" i="20"/>
  <c r="AC44" i="20"/>
  <c r="AA44" i="20"/>
  <c r="Y44" i="20"/>
  <c r="W44" i="20"/>
  <c r="U44" i="20"/>
  <c r="AY43" i="20"/>
  <c r="AK43" i="20"/>
  <c r="AG43" i="20"/>
  <c r="AE43" i="20"/>
  <c r="AC43" i="20"/>
  <c r="AA43" i="20"/>
  <c r="Y43" i="20"/>
  <c r="W43" i="20"/>
  <c r="U43" i="20"/>
  <c r="P43" i="20"/>
  <c r="M43" i="20"/>
  <c r="AK42" i="20"/>
  <c r="AG42" i="20"/>
  <c r="AE42" i="20"/>
  <c r="AC42" i="20"/>
  <c r="AA42" i="20"/>
  <c r="Y42" i="20"/>
  <c r="W42" i="20"/>
  <c r="U42" i="20"/>
  <c r="AK41" i="20"/>
  <c r="AG41" i="20"/>
  <c r="AE41" i="20"/>
  <c r="AC41" i="20"/>
  <c r="AA41" i="20"/>
  <c r="Y41" i="20"/>
  <c r="W41" i="20"/>
  <c r="U41" i="20"/>
  <c r="AY40" i="20"/>
  <c r="AK40" i="20"/>
  <c r="AG40" i="20"/>
  <c r="AE40" i="20"/>
  <c r="AC40" i="20"/>
  <c r="AA40" i="20"/>
  <c r="Y40" i="20"/>
  <c r="W40" i="20"/>
  <c r="U40" i="20"/>
  <c r="P40" i="20"/>
  <c r="M40" i="20"/>
  <c r="AK39" i="20"/>
  <c r="AG39" i="20"/>
  <c r="AE39" i="20"/>
  <c r="AC39" i="20"/>
  <c r="AA39" i="20"/>
  <c r="Y39" i="20"/>
  <c r="W39" i="20"/>
  <c r="U39" i="20"/>
  <c r="AY38" i="20"/>
  <c r="AK38" i="20"/>
  <c r="AG38" i="20"/>
  <c r="AE38" i="20"/>
  <c r="AC38" i="20"/>
  <c r="AA38" i="20"/>
  <c r="Y38" i="20"/>
  <c r="W38" i="20"/>
  <c r="U38" i="20"/>
  <c r="P38" i="20"/>
  <c r="M38" i="20"/>
  <c r="AK37" i="20"/>
  <c r="AG37" i="20"/>
  <c r="AE37" i="20"/>
  <c r="AC37" i="20"/>
  <c r="AA37" i="20"/>
  <c r="Y37" i="20"/>
  <c r="W37" i="20"/>
  <c r="U37" i="20"/>
  <c r="AK36" i="20"/>
  <c r="AG36" i="20"/>
  <c r="AE36" i="20"/>
  <c r="AC36" i="20"/>
  <c r="AA36" i="20"/>
  <c r="Y36" i="20"/>
  <c r="W36" i="20"/>
  <c r="U36" i="20"/>
  <c r="AY35" i="20"/>
  <c r="AK35" i="20"/>
  <c r="AG35" i="20"/>
  <c r="AE35" i="20"/>
  <c r="AC35" i="20"/>
  <c r="AA35" i="20"/>
  <c r="Y35" i="20"/>
  <c r="W35" i="20"/>
  <c r="U35" i="20"/>
  <c r="P35" i="20"/>
  <c r="M35" i="20"/>
  <c r="AK24" i="20"/>
  <c r="AG24" i="20"/>
  <c r="AE24" i="20"/>
  <c r="AC24" i="20"/>
  <c r="AA24" i="20"/>
  <c r="Y24" i="20"/>
  <c r="W24" i="20"/>
  <c r="U24" i="20"/>
  <c r="AY23" i="20"/>
  <c r="AK23" i="20"/>
  <c r="AG23" i="20"/>
  <c r="AE23" i="20"/>
  <c r="AC23" i="20"/>
  <c r="AA23" i="20"/>
  <c r="Y23" i="20"/>
  <c r="W23" i="20"/>
  <c r="U23" i="20"/>
  <c r="P23" i="20"/>
  <c r="M23" i="20"/>
  <c r="AK21" i="20"/>
  <c r="AG21" i="20"/>
  <c r="U21" i="20"/>
  <c r="AK20" i="20"/>
  <c r="AG20" i="20"/>
  <c r="AE20" i="20"/>
  <c r="AC20" i="20"/>
  <c r="AA20" i="20"/>
  <c r="Y20" i="20"/>
  <c r="W20" i="20"/>
  <c r="U20" i="20"/>
  <c r="AY19" i="20"/>
  <c r="AK19" i="20"/>
  <c r="AG19" i="20"/>
  <c r="AE19" i="20"/>
  <c r="AC19" i="20"/>
  <c r="AA19" i="20"/>
  <c r="Y19" i="20"/>
  <c r="W19" i="20"/>
  <c r="U19" i="20"/>
  <c r="P19" i="20"/>
  <c r="M19" i="20"/>
  <c r="AK18" i="20"/>
  <c r="AG18" i="20"/>
  <c r="AE18" i="20"/>
  <c r="AC18" i="20"/>
  <c r="AA18" i="20"/>
  <c r="Y18" i="20"/>
  <c r="W18" i="20"/>
  <c r="U18" i="20"/>
  <c r="AY17" i="20"/>
  <c r="AK17" i="20"/>
  <c r="AG17" i="20"/>
  <c r="AE17" i="20"/>
  <c r="AC17" i="20"/>
  <c r="AA17" i="20"/>
  <c r="Y17" i="20"/>
  <c r="W17" i="20"/>
  <c r="U17" i="20"/>
  <c r="P17" i="20"/>
  <c r="M17" i="20"/>
  <c r="AK16" i="20"/>
  <c r="AG16" i="20"/>
  <c r="AE16" i="20"/>
  <c r="AC16" i="20"/>
  <c r="AA16" i="20"/>
  <c r="Y16" i="20"/>
  <c r="W16" i="20"/>
  <c r="U16" i="20"/>
  <c r="AY15" i="20"/>
  <c r="AK15" i="20"/>
  <c r="AG15" i="20"/>
  <c r="AE15" i="20"/>
  <c r="AC15" i="20"/>
  <c r="AA15" i="20"/>
  <c r="Y15" i="20"/>
  <c r="W15" i="20"/>
  <c r="U15" i="20"/>
  <c r="P15" i="20"/>
  <c r="M15" i="20"/>
  <c r="AK14" i="20"/>
  <c r="AG14" i="20"/>
  <c r="AE14" i="20"/>
  <c r="AC14" i="20"/>
  <c r="AA14" i="20"/>
  <c r="Y14" i="20"/>
  <c r="W14" i="20"/>
  <c r="U14" i="20"/>
  <c r="AY13" i="20"/>
  <c r="AK13" i="20"/>
  <c r="AG13" i="20"/>
  <c r="AE13" i="20"/>
  <c r="AC13" i="20"/>
  <c r="AA13" i="20"/>
  <c r="Y13" i="20"/>
  <c r="W13" i="20"/>
  <c r="U13" i="20"/>
  <c r="P13" i="20"/>
  <c r="M13" i="20"/>
  <c r="AK12" i="20"/>
  <c r="AG12" i="20"/>
  <c r="AE12" i="20"/>
  <c r="AC12" i="20"/>
  <c r="AA12" i="20"/>
  <c r="Y12" i="20"/>
  <c r="W12" i="20"/>
  <c r="U12" i="20"/>
  <c r="AY11" i="20"/>
  <c r="AK11" i="20"/>
  <c r="AG11" i="20"/>
  <c r="AE11" i="20"/>
  <c r="AC11" i="20"/>
  <c r="AA11" i="20"/>
  <c r="Y11" i="20"/>
  <c r="W11" i="20"/>
  <c r="U11" i="20"/>
  <c r="P11" i="20"/>
  <c r="M11" i="20"/>
  <c r="B101" i="11"/>
  <c r="B100" i="11"/>
  <c r="B99" i="11"/>
  <c r="B98" i="11"/>
  <c r="B97" i="11"/>
  <c r="B96" i="11"/>
  <c r="B95" i="11"/>
  <c r="B94" i="11"/>
  <c r="B77" i="11"/>
  <c r="B76" i="11"/>
  <c r="B75" i="11"/>
  <c r="B74" i="11"/>
  <c r="B73" i="11"/>
  <c r="B72" i="11"/>
  <c r="B71" i="11"/>
  <c r="B70" i="11"/>
  <c r="B69" i="11"/>
  <c r="AO22" i="20" s="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Q21" i="20" l="1"/>
  <c r="AZ21" i="20"/>
  <c r="Q19" i="20"/>
  <c r="AH21" i="20"/>
  <c r="AI21" i="20" s="1"/>
  <c r="AL21" i="20" s="1"/>
  <c r="AM21" i="20" s="1"/>
  <c r="AN21" i="20" s="1"/>
  <c r="AP21" i="20" s="1"/>
  <c r="AQ21" i="20" s="1"/>
  <c r="AT21" i="20" s="1"/>
  <c r="Q11" i="20"/>
  <c r="AZ11" i="20"/>
  <c r="Q13" i="20"/>
  <c r="AZ13" i="20"/>
  <c r="Q15" i="20"/>
  <c r="AZ15" i="20"/>
  <c r="Q17" i="20"/>
  <c r="AZ17" i="20"/>
  <c r="AZ19" i="20"/>
  <c r="Q23" i="20"/>
  <c r="AZ23" i="20"/>
  <c r="Q35" i="20"/>
  <c r="AZ35" i="20"/>
  <c r="Q38" i="20"/>
  <c r="AZ38" i="20"/>
  <c r="Q40" i="20"/>
  <c r="AZ40" i="20"/>
  <c r="Q43" i="20"/>
  <c r="AZ43" i="20"/>
  <c r="Q45" i="20"/>
  <c r="AZ45" i="20"/>
  <c r="Q48" i="20"/>
  <c r="AZ48" i="20"/>
  <c r="Q51" i="20"/>
  <c r="AZ51" i="20"/>
  <c r="Q64" i="20"/>
  <c r="AZ64" i="20"/>
  <c r="Q72" i="20"/>
  <c r="AZ72" i="20"/>
  <c r="Q79" i="20"/>
  <c r="AZ79" i="20"/>
  <c r="Q88" i="20"/>
  <c r="AZ88" i="20"/>
  <c r="Q91" i="20"/>
  <c r="AZ91" i="20"/>
  <c r="Q99" i="20"/>
  <c r="AZ99" i="20"/>
  <c r="Q101" i="20"/>
  <c r="AZ101" i="20"/>
  <c r="Q103" i="20"/>
  <c r="AZ103" i="20"/>
  <c r="Q11" i="23"/>
  <c r="AZ11" i="23"/>
  <c r="Q13" i="23"/>
  <c r="AZ13" i="23"/>
  <c r="Q22" i="23"/>
  <c r="AZ22" i="23"/>
  <c r="Q24" i="23"/>
  <c r="AZ24" i="23"/>
  <c r="Q26" i="23"/>
  <c r="AZ26" i="23"/>
  <c r="Q11" i="21"/>
  <c r="AZ11" i="21"/>
  <c r="Q13" i="21"/>
  <c r="AZ13" i="21"/>
  <c r="Q15" i="21"/>
  <c r="AY15" i="21"/>
  <c r="Q67" i="21"/>
  <c r="AZ67" i="21"/>
  <c r="Q71" i="21"/>
  <c r="AZ71" i="21"/>
  <c r="Q73" i="21"/>
  <c r="AZ73" i="21"/>
  <c r="AH11" i="21"/>
  <c r="AI11" i="21" s="1"/>
  <c r="AL11" i="21" s="1"/>
  <c r="AO11" i="21" s="1"/>
  <c r="AH71" i="21"/>
  <c r="AI71" i="21" s="1"/>
  <c r="AL71" i="21" s="1"/>
  <c r="AH13" i="21"/>
  <c r="AI13" i="21" s="1"/>
  <c r="AL13" i="21" s="1"/>
  <c r="AO13" i="21" s="1"/>
  <c r="AH73" i="21"/>
  <c r="AI73" i="21" s="1"/>
  <c r="AL73" i="21" s="1"/>
  <c r="AO73" i="21" s="1"/>
  <c r="AH24" i="23"/>
  <c r="AI24" i="23" s="1"/>
  <c r="AL24" i="23" s="1"/>
  <c r="AH13" i="23"/>
  <c r="AI13" i="23" s="1"/>
  <c r="AL13" i="23" s="1"/>
  <c r="AO13" i="23" s="1"/>
  <c r="AH14" i="23"/>
  <c r="AI14" i="23" s="1"/>
  <c r="AL14" i="23" s="1"/>
  <c r="AM14" i="23" s="1"/>
  <c r="AN14" i="23" s="1"/>
  <c r="AH11" i="23"/>
  <c r="AI11" i="23" s="1"/>
  <c r="AL11" i="23" s="1"/>
  <c r="AM11" i="23" s="1"/>
  <c r="AN11" i="23" s="1"/>
  <c r="AH12" i="23"/>
  <c r="AI12" i="23" s="1"/>
  <c r="AL12" i="23" s="1"/>
  <c r="AM12" i="23" s="1"/>
  <c r="AN12" i="23" s="1"/>
  <c r="AH25" i="23"/>
  <c r="AI25" i="23" s="1"/>
  <c r="AL25" i="23" s="1"/>
  <c r="AO25" i="23" s="1"/>
  <c r="AH26" i="23"/>
  <c r="AI26" i="23" s="1"/>
  <c r="AL26" i="23" s="1"/>
  <c r="AM26" i="23" s="1"/>
  <c r="AN26" i="23" s="1"/>
  <c r="AH27" i="23"/>
  <c r="AI27" i="23" s="1"/>
  <c r="AL27" i="23" s="1"/>
  <c r="AO27" i="23" s="1"/>
  <c r="AL67" i="21"/>
  <c r="AO67" i="21" s="1"/>
  <c r="AH14" i="21"/>
  <c r="AI14" i="21" s="1"/>
  <c r="AL14" i="21" s="1"/>
  <c r="AH72" i="21"/>
  <c r="AI72" i="21" s="1"/>
  <c r="AL72" i="21" s="1"/>
  <c r="AH12" i="21"/>
  <c r="AI12" i="21" s="1"/>
  <c r="AL12" i="21" s="1"/>
  <c r="AH68" i="21"/>
  <c r="AI68" i="21" s="1"/>
  <c r="AL68" i="21" s="1"/>
  <c r="AL23" i="23"/>
  <c r="AM23" i="23" s="1"/>
  <c r="AN23" i="23" s="1"/>
  <c r="AL22" i="23"/>
  <c r="AM22" i="23" s="1"/>
  <c r="AN22" i="23" s="1"/>
  <c r="AO24" i="23"/>
  <c r="AM24" i="23"/>
  <c r="AN24" i="23" s="1"/>
  <c r="AH14" i="20"/>
  <c r="AI14" i="20" s="1"/>
  <c r="AL14" i="20" s="1"/>
  <c r="AO14" i="20" s="1"/>
  <c r="AH101" i="20"/>
  <c r="AI101" i="20" s="1"/>
  <c r="AL101" i="20" s="1"/>
  <c r="AM101" i="20" s="1"/>
  <c r="AN101" i="20" s="1"/>
  <c r="AH15" i="20"/>
  <c r="AI15" i="20" s="1"/>
  <c r="AL15" i="20" s="1"/>
  <c r="AO15" i="20" s="1"/>
  <c r="AH42" i="20"/>
  <c r="AI42" i="20" s="1"/>
  <c r="AL42" i="20" s="1"/>
  <c r="AO42" i="20" s="1"/>
  <c r="AH17" i="20"/>
  <c r="AI17" i="20" s="1"/>
  <c r="AL17" i="20" s="1"/>
  <c r="AO17" i="20" s="1"/>
  <c r="AH37" i="20"/>
  <c r="AI37" i="20" s="1"/>
  <c r="AL37" i="20" s="1"/>
  <c r="AO37" i="20" s="1"/>
  <c r="AH41" i="20"/>
  <c r="AI41" i="20" s="1"/>
  <c r="AL41" i="20" s="1"/>
  <c r="AM41" i="20" s="1"/>
  <c r="AN41" i="20" s="1"/>
  <c r="AH18" i="20"/>
  <c r="AI18" i="20" s="1"/>
  <c r="AL18" i="20" s="1"/>
  <c r="AO18" i="20" s="1"/>
  <c r="AH72" i="20"/>
  <c r="AI72" i="20" s="1"/>
  <c r="AL72" i="20" s="1"/>
  <c r="AO72" i="20" s="1"/>
  <c r="AH75" i="20"/>
  <c r="AI75" i="20" s="1"/>
  <c r="AL75" i="20" s="1"/>
  <c r="AH90" i="20"/>
  <c r="AI90" i="20" s="1"/>
  <c r="AL90" i="20" s="1"/>
  <c r="AM90" i="20" s="1"/>
  <c r="AN90" i="20" s="1"/>
  <c r="AH102" i="20"/>
  <c r="AI102" i="20" s="1"/>
  <c r="AL102" i="20" s="1"/>
  <c r="AH53" i="20"/>
  <c r="AI53" i="20" s="1"/>
  <c r="AL53" i="20" s="1"/>
  <c r="AH73" i="20"/>
  <c r="AI73" i="20" s="1"/>
  <c r="AL73" i="20" s="1"/>
  <c r="AH76" i="20"/>
  <c r="AI76" i="20" s="1"/>
  <c r="AL76" i="20" s="1"/>
  <c r="AH99" i="20"/>
  <c r="AI99" i="20" s="1"/>
  <c r="AL99" i="20" s="1"/>
  <c r="AH103" i="20"/>
  <c r="AI103" i="20" s="1"/>
  <c r="AL103" i="20" s="1"/>
  <c r="AO103" i="20" s="1"/>
  <c r="AH13" i="20"/>
  <c r="AI13" i="20" s="1"/>
  <c r="AL13" i="20" s="1"/>
  <c r="AM13" i="20" s="1"/>
  <c r="AN13" i="20" s="1"/>
  <c r="AH77" i="20"/>
  <c r="AI77" i="20" s="1"/>
  <c r="AL77" i="20" s="1"/>
  <c r="AM77" i="20" s="1"/>
  <c r="AN77" i="20" s="1"/>
  <c r="AH89" i="20"/>
  <c r="AI89" i="20" s="1"/>
  <c r="AL89" i="20" s="1"/>
  <c r="AO89" i="20" s="1"/>
  <c r="AH16" i="20"/>
  <c r="AI16" i="20" s="1"/>
  <c r="AL16" i="20" s="1"/>
  <c r="AM16" i="20" s="1"/>
  <c r="AN16" i="20" s="1"/>
  <c r="AH24" i="20"/>
  <c r="AI24" i="20" s="1"/>
  <c r="AL24" i="20" s="1"/>
  <c r="AO24" i="20" s="1"/>
  <c r="AH92" i="20"/>
  <c r="AI92" i="20" s="1"/>
  <c r="AL92" i="20" s="1"/>
  <c r="AH23" i="20"/>
  <c r="AI23" i="20" s="1"/>
  <c r="AL23" i="20" s="1"/>
  <c r="AO23" i="20" s="1"/>
  <c r="AH38" i="20"/>
  <c r="AI38" i="20" s="1"/>
  <c r="AL38" i="20" s="1"/>
  <c r="AM38" i="20" s="1"/>
  <c r="AN38" i="20" s="1"/>
  <c r="AH45" i="20"/>
  <c r="AI45" i="20" s="1"/>
  <c r="AL45" i="20" s="1"/>
  <c r="AH50" i="20"/>
  <c r="AI50" i="20" s="1"/>
  <c r="AL50" i="20" s="1"/>
  <c r="AM50" i="20" s="1"/>
  <c r="AN50" i="20" s="1"/>
  <c r="AH78" i="20"/>
  <c r="AI78" i="20" s="1"/>
  <c r="AL78" i="20" s="1"/>
  <c r="AM78" i="20" s="1"/>
  <c r="AN78" i="20" s="1"/>
  <c r="AH40" i="20"/>
  <c r="AI40" i="20" s="1"/>
  <c r="AL40" i="20" s="1"/>
  <c r="AM40" i="20" s="1"/>
  <c r="AN40" i="20" s="1"/>
  <c r="AH88" i="20"/>
  <c r="AI88" i="20" s="1"/>
  <c r="AL88" i="20" s="1"/>
  <c r="AH12" i="20"/>
  <c r="AI12" i="20" s="1"/>
  <c r="AL12" i="20" s="1"/>
  <c r="AH44" i="20"/>
  <c r="AI44" i="20" s="1"/>
  <c r="AL44" i="20" s="1"/>
  <c r="AH48" i="20"/>
  <c r="AI48" i="20" s="1"/>
  <c r="AL48" i="20" s="1"/>
  <c r="AH51" i="20"/>
  <c r="AI51" i="20" s="1"/>
  <c r="AL51" i="20" s="1"/>
  <c r="AH20" i="20"/>
  <c r="AI20" i="20" s="1"/>
  <c r="AL20" i="20" s="1"/>
  <c r="AH39" i="20"/>
  <c r="AI39" i="20" s="1"/>
  <c r="AL39" i="20" s="1"/>
  <c r="AH47" i="20"/>
  <c r="AI47" i="20" s="1"/>
  <c r="AL47" i="20" s="1"/>
  <c r="AH52" i="20"/>
  <c r="AI52" i="20" s="1"/>
  <c r="AL52" i="20" s="1"/>
  <c r="AH49" i="20"/>
  <c r="AI49" i="20" s="1"/>
  <c r="AL49" i="20" s="1"/>
  <c r="AH35" i="20"/>
  <c r="AI35" i="20" s="1"/>
  <c r="AL35" i="20" s="1"/>
  <c r="AH11" i="20"/>
  <c r="AI11" i="20" s="1"/>
  <c r="AL11" i="20" s="1"/>
  <c r="AH36" i="20"/>
  <c r="AI36" i="20" s="1"/>
  <c r="AL36" i="20" s="1"/>
  <c r="AH19" i="20"/>
  <c r="AI19" i="20" s="1"/>
  <c r="AL19" i="20" s="1"/>
  <c r="AH43" i="20"/>
  <c r="AI43" i="20" s="1"/>
  <c r="AL43" i="20" s="1"/>
  <c r="AH46" i="20"/>
  <c r="AI46" i="20" s="1"/>
  <c r="AL46" i="20" s="1"/>
  <c r="AH104" i="20"/>
  <c r="AI104" i="20" s="1"/>
  <c r="AL104" i="20" s="1"/>
  <c r="AH74" i="20"/>
  <c r="AI74" i="20" s="1"/>
  <c r="AL74" i="20" s="1"/>
  <c r="AH91" i="20"/>
  <c r="AI91" i="20" s="1"/>
  <c r="AL91" i="20" s="1"/>
  <c r="AH100" i="20"/>
  <c r="AI100" i="20" s="1"/>
  <c r="AL100" i="20" s="1"/>
  <c r="AL81" i="20"/>
  <c r="AO81" i="20" s="1"/>
  <c r="AL80" i="20"/>
  <c r="AO80" i="20" s="1"/>
  <c r="AL79" i="20"/>
  <c r="AM79" i="20" s="1"/>
  <c r="AN79" i="20" s="1"/>
  <c r="AO12" i="23" l="1"/>
  <c r="AM13" i="23"/>
  <c r="AN13" i="23" s="1"/>
  <c r="AM27" i="23"/>
  <c r="AN27" i="23" s="1"/>
  <c r="AP26" i="23" s="1"/>
  <c r="AQ26" i="23" s="1"/>
  <c r="AT26" i="23" s="1"/>
  <c r="AM11" i="21"/>
  <c r="AN11" i="21" s="1"/>
  <c r="AM73" i="21"/>
  <c r="AN73" i="21" s="1"/>
  <c r="AP73" i="21" s="1"/>
  <c r="AQ73" i="21" s="1"/>
  <c r="AT73" i="21" s="1"/>
  <c r="AO101" i="20"/>
  <c r="AV21" i="20"/>
  <c r="AU21" i="20"/>
  <c r="AM17" i="20"/>
  <c r="AN17" i="20" s="1"/>
  <c r="AM13" i="21"/>
  <c r="AN13" i="21" s="1"/>
  <c r="AM67" i="21"/>
  <c r="AN67" i="21" s="1"/>
  <c r="AO71" i="21"/>
  <c r="AM71" i="21"/>
  <c r="AN71" i="21" s="1"/>
  <c r="AO15" i="21"/>
  <c r="AP15" i="21" s="1"/>
  <c r="AS15" i="21" s="1"/>
  <c r="AM18" i="20"/>
  <c r="AN18" i="20" s="1"/>
  <c r="AO38" i="20"/>
  <c r="AO41" i="20"/>
  <c r="AM14" i="20"/>
  <c r="AN14" i="20" s="1"/>
  <c r="AP13" i="20" s="1"/>
  <c r="AQ13" i="20" s="1"/>
  <c r="AT13" i="20" s="1"/>
  <c r="AM37" i="20"/>
  <c r="AN37" i="20" s="1"/>
  <c r="AO11" i="23"/>
  <c r="AO23" i="23"/>
  <c r="AO14" i="23"/>
  <c r="AO22" i="23"/>
  <c r="AO26" i="23"/>
  <c r="AM25" i="23"/>
  <c r="AN25" i="23" s="1"/>
  <c r="AP24" i="23" s="1"/>
  <c r="AQ24" i="23" s="1"/>
  <c r="AT24" i="23" s="1"/>
  <c r="AO12" i="21"/>
  <c r="AM12" i="21"/>
  <c r="AN12" i="21" s="1"/>
  <c r="AO14" i="21"/>
  <c r="AM14" i="21"/>
  <c r="AN14" i="21" s="1"/>
  <c r="AO72" i="21"/>
  <c r="AM72" i="21"/>
  <c r="AN72" i="21" s="1"/>
  <c r="AO68" i="21"/>
  <c r="AM68" i="21"/>
  <c r="AN68" i="21" s="1"/>
  <c r="AP22" i="23"/>
  <c r="AQ22" i="23" s="1"/>
  <c r="AT22" i="23" s="1"/>
  <c r="AP11" i="23"/>
  <c r="AQ11" i="23" s="1"/>
  <c r="AT11" i="23" s="1"/>
  <c r="AP13" i="23"/>
  <c r="AQ13" i="23" s="1"/>
  <c r="AT13" i="23" s="1"/>
  <c r="AO13" i="20"/>
  <c r="AM103" i="20"/>
  <c r="AN103" i="20" s="1"/>
  <c r="AO78" i="20"/>
  <c r="AO16" i="20"/>
  <c r="AO21" i="20"/>
  <c r="AO50" i="20"/>
  <c r="AO77" i="20"/>
  <c r="AM24" i="20"/>
  <c r="AN24" i="20" s="1"/>
  <c r="AM15" i="20"/>
  <c r="AN15" i="20" s="1"/>
  <c r="AP15" i="20" s="1"/>
  <c r="AQ15" i="20" s="1"/>
  <c r="AT15" i="20" s="1"/>
  <c r="AM89" i="20"/>
  <c r="AN89" i="20" s="1"/>
  <c r="AM72" i="20"/>
  <c r="AN72" i="20" s="1"/>
  <c r="AM42" i="20"/>
  <c r="AN42" i="20" s="1"/>
  <c r="AP40" i="20" s="1"/>
  <c r="AQ40" i="20" s="1"/>
  <c r="AT40" i="20" s="1"/>
  <c r="AO40" i="20"/>
  <c r="AM23" i="20"/>
  <c r="AN23" i="20" s="1"/>
  <c r="AO90" i="20"/>
  <c r="AM80" i="20"/>
  <c r="AN80" i="20" s="1"/>
  <c r="AM81" i="20"/>
  <c r="AN81" i="20" s="1"/>
  <c r="AM53" i="20"/>
  <c r="AN53" i="20" s="1"/>
  <c r="AO53" i="20"/>
  <c r="AO79" i="20"/>
  <c r="AO88" i="20"/>
  <c r="AM88" i="20"/>
  <c r="AN88" i="20" s="1"/>
  <c r="AO51" i="20"/>
  <c r="AM51" i="20"/>
  <c r="AN51" i="20" s="1"/>
  <c r="AO43" i="20"/>
  <c r="AM43" i="20"/>
  <c r="AN43" i="20" s="1"/>
  <c r="AM20" i="20"/>
  <c r="AN20" i="20" s="1"/>
  <c r="AO20" i="20"/>
  <c r="AO102" i="20"/>
  <c r="AM102" i="20"/>
  <c r="AN102" i="20" s="1"/>
  <c r="AM48" i="20"/>
  <c r="AN48" i="20" s="1"/>
  <c r="AO48" i="20"/>
  <c r="AM49" i="20"/>
  <c r="AN49" i="20" s="1"/>
  <c r="AO49" i="20"/>
  <c r="AM91" i="20"/>
  <c r="AN91" i="20" s="1"/>
  <c r="AO91" i="20"/>
  <c r="AM104" i="20"/>
  <c r="AN104" i="20" s="1"/>
  <c r="AO104" i="20"/>
  <c r="AO36" i="20"/>
  <c r="AM36" i="20"/>
  <c r="AN36" i="20" s="1"/>
  <c r="AO44" i="20"/>
  <c r="AM44" i="20"/>
  <c r="AN44" i="20" s="1"/>
  <c r="AO99" i="20"/>
  <c r="AM99" i="20"/>
  <c r="AN99" i="20" s="1"/>
  <c r="AM19" i="20"/>
  <c r="AN19" i="20" s="1"/>
  <c r="AO19" i="20"/>
  <c r="AM45" i="20"/>
  <c r="AN45" i="20" s="1"/>
  <c r="AO45" i="20"/>
  <c r="AO52" i="20"/>
  <c r="AM52" i="20"/>
  <c r="AN52" i="20" s="1"/>
  <c r="AO73" i="20"/>
  <c r="AM73" i="20"/>
  <c r="AN73" i="20" s="1"/>
  <c r="AO100" i="20"/>
  <c r="AM100" i="20"/>
  <c r="AN100" i="20" s="1"/>
  <c r="AO46" i="20"/>
  <c r="AM46" i="20"/>
  <c r="AN46" i="20" s="1"/>
  <c r="AM11" i="20"/>
  <c r="AN11" i="20" s="1"/>
  <c r="AO11" i="20"/>
  <c r="AO47" i="20"/>
  <c r="AM47" i="20"/>
  <c r="AN47" i="20" s="1"/>
  <c r="AO12" i="20"/>
  <c r="AM12" i="20"/>
  <c r="AN12" i="20" s="1"/>
  <c r="AO92" i="20"/>
  <c r="AM92" i="20"/>
  <c r="AN92" i="20" s="1"/>
  <c r="AO35" i="20"/>
  <c r="AM35" i="20"/>
  <c r="AN35" i="20" s="1"/>
  <c r="AM39" i="20"/>
  <c r="AN39" i="20" s="1"/>
  <c r="AO39" i="20"/>
  <c r="AP11" i="21" l="1"/>
  <c r="AQ11" i="21" s="1"/>
  <c r="AT11" i="21" s="1"/>
  <c r="AV11" i="21" s="1"/>
  <c r="AP19" i="20"/>
  <c r="AQ19" i="20" s="1"/>
  <c r="AT19" i="20" s="1"/>
  <c r="AP17" i="20"/>
  <c r="AQ17" i="20" s="1"/>
  <c r="AT17" i="20" s="1"/>
  <c r="AV17" i="20" s="1"/>
  <c r="AP67" i="21"/>
  <c r="AQ67" i="21" s="1"/>
  <c r="AT67" i="21" s="1"/>
  <c r="AV67" i="21" s="1"/>
  <c r="AP71" i="21"/>
  <c r="AQ71" i="21" s="1"/>
  <c r="AT71" i="21" s="1"/>
  <c r="AU71" i="21" s="1"/>
  <c r="AP13" i="21"/>
  <c r="AQ13" i="21" s="1"/>
  <c r="AT13" i="21" s="1"/>
  <c r="AU13" i="21" s="1"/>
  <c r="AV73" i="21"/>
  <c r="AU73" i="21"/>
  <c r="AU15" i="21"/>
  <c r="AT15" i="21"/>
  <c r="AV22" i="23"/>
  <c r="AU22" i="23"/>
  <c r="AV24" i="23"/>
  <c r="AU24" i="23"/>
  <c r="AV11" i="23"/>
  <c r="AU11" i="23"/>
  <c r="AU13" i="23"/>
  <c r="AV13" i="23"/>
  <c r="AV26" i="23"/>
  <c r="AU26" i="23"/>
  <c r="AP64" i="20"/>
  <c r="AT64" i="20" s="1"/>
  <c r="AV64" i="20" s="1"/>
  <c r="AP23" i="20"/>
  <c r="AQ23" i="20" s="1"/>
  <c r="AT23" i="20" s="1"/>
  <c r="AV23" i="20" s="1"/>
  <c r="AP103" i="20"/>
  <c r="AQ103" i="20" s="1"/>
  <c r="AT103" i="20" s="1"/>
  <c r="AV103" i="20" s="1"/>
  <c r="AP88" i="20"/>
  <c r="AQ88" i="20" s="1"/>
  <c r="AT88" i="20" s="1"/>
  <c r="AV88" i="20" s="1"/>
  <c r="AP72" i="20"/>
  <c r="AQ72" i="20" s="1"/>
  <c r="AT72" i="20" s="1"/>
  <c r="AU72" i="20" s="1"/>
  <c r="AP79" i="20"/>
  <c r="AQ79" i="20" s="1"/>
  <c r="AT79" i="20" s="1"/>
  <c r="AV79" i="20" s="1"/>
  <c r="AP38" i="20"/>
  <c r="AQ38" i="20" s="1"/>
  <c r="AT38" i="20" s="1"/>
  <c r="AV38" i="20" s="1"/>
  <c r="AU40" i="20"/>
  <c r="AV40" i="20"/>
  <c r="AP101" i="20"/>
  <c r="AQ101" i="20" s="1"/>
  <c r="AT101" i="20" s="1"/>
  <c r="AV101" i="20" s="1"/>
  <c r="AP11" i="20"/>
  <c r="AQ11" i="20" s="1"/>
  <c r="AT11" i="20" s="1"/>
  <c r="AV11" i="20" s="1"/>
  <c r="AP35" i="20"/>
  <c r="AQ35" i="20" s="1"/>
  <c r="AT35" i="20" s="1"/>
  <c r="AU35" i="20" s="1"/>
  <c r="AV13" i="20"/>
  <c r="AU13" i="20"/>
  <c r="AP43" i="20"/>
  <c r="AQ43" i="20" s="1"/>
  <c r="AT43" i="20" s="1"/>
  <c r="AP99" i="20"/>
  <c r="AQ99" i="20" s="1"/>
  <c r="AT99" i="20" s="1"/>
  <c r="AP91" i="20"/>
  <c r="AQ91" i="20" s="1"/>
  <c r="AT91" i="20" s="1"/>
  <c r="AP48" i="20"/>
  <c r="AQ48" i="20" s="1"/>
  <c r="AT48" i="20" s="1"/>
  <c r="AP45" i="20"/>
  <c r="AQ45" i="20" s="1"/>
  <c r="AT45" i="20" s="1"/>
  <c r="AP51" i="20"/>
  <c r="AQ51" i="20" s="1"/>
  <c r="AT51" i="20" s="1"/>
  <c r="AV15" i="20"/>
  <c r="AU15" i="20"/>
  <c r="AU67" i="21" l="1"/>
  <c r="AU11" i="21"/>
  <c r="AU64" i="20"/>
  <c r="AU17" i="20"/>
  <c r="AU23" i="20"/>
  <c r="AV71" i="21"/>
  <c r="AV13" i="21"/>
  <c r="AU38" i="20"/>
  <c r="AU88" i="20"/>
  <c r="AV35" i="20"/>
  <c r="AV72" i="20"/>
  <c r="AU103" i="20"/>
  <c r="AU11" i="20"/>
  <c r="AU79" i="20"/>
  <c r="AU101" i="20"/>
  <c r="AU51" i="20"/>
  <c r="AV51" i="20"/>
  <c r="AU45" i="20"/>
  <c r="AV45" i="20"/>
  <c r="AU48" i="20"/>
  <c r="AV48" i="20"/>
  <c r="AV99" i="20"/>
  <c r="AU99" i="20"/>
  <c r="AV91" i="20"/>
  <c r="AU91" i="20"/>
  <c r="AV43" i="20"/>
  <c r="AU43" i="20"/>
  <c r="AV19" i="20"/>
  <c r="AU19" i="20"/>
</calcChain>
</file>

<file path=xl/comments1.xml><?xml version="1.0" encoding="utf-8"?>
<comments xmlns="http://schemas.openxmlformats.org/spreadsheetml/2006/main">
  <authors>
    <author>Andrea del Pilar Zambrano Barrios</author>
    <author>Natalia Norato Mora</author>
    <author>Angela Maria Correa Covelli</author>
    <author>User</author>
  </authors>
  <commentList>
    <comment ref="BE25" authorId="0" shapeId="0">
      <text>
        <r>
          <rPr>
            <b/>
            <sz val="9"/>
            <color indexed="81"/>
            <rFont val="Tahoma"/>
            <family val="2"/>
          </rPr>
          <t>Andrea del Pilar Zambrano Barrios:</t>
        </r>
        <r>
          <rPr>
            <sz val="9"/>
            <color indexed="81"/>
            <rFont val="Tahoma"/>
            <family val="2"/>
          </rPr>
          <t xml:space="preserve">
Por favpor ajustar fechas deben ser del 2021. </t>
        </r>
      </text>
    </comment>
    <comment ref="R51" authorId="1" shapeId="0">
      <text>
        <r>
          <rPr>
            <b/>
            <sz val="9"/>
            <color indexed="81"/>
            <rFont val="Tahoma"/>
            <family val="2"/>
          </rPr>
          <t>Natalia Norato Mora:</t>
        </r>
        <r>
          <rPr>
            <sz val="9"/>
            <color indexed="81"/>
            <rFont val="Tahoma"/>
            <family val="2"/>
          </rPr>
          <t xml:space="preserve">
se recomienda tener en cuenta la recomendación de la OCI</t>
        </r>
      </text>
    </comment>
    <comment ref="K63" authorId="2" shapeId="0">
      <text>
        <r>
          <rPr>
            <b/>
            <sz val="9"/>
            <color indexed="81"/>
            <rFont val="Tahoma"/>
            <family val="2"/>
          </rPr>
          <t>Angela Maria Correa Covelli:</t>
        </r>
        <r>
          <rPr>
            <sz val="9"/>
            <color indexed="81"/>
            <rFont val="Tahoma"/>
            <family val="2"/>
          </rPr>
          <t xml:space="preserve">
</t>
        </r>
      </text>
    </comment>
    <comment ref="R63" authorId="2" shapeId="0">
      <text>
        <r>
          <rPr>
            <b/>
            <sz val="9"/>
            <color indexed="81"/>
            <rFont val="Tahoma"/>
            <family val="2"/>
          </rPr>
          <t>Angela Maria Correa Covelli:</t>
        </r>
        <r>
          <rPr>
            <sz val="9"/>
            <color indexed="81"/>
            <rFont val="Tahoma"/>
            <family val="2"/>
          </rPr>
          <t xml:space="preserve">
</t>
        </r>
      </text>
    </comment>
    <comment ref="R82" authorId="3" shapeId="0">
      <text>
        <r>
          <rPr>
            <b/>
            <sz val="9"/>
            <color indexed="81"/>
            <rFont val="Tahoma"/>
            <family val="2"/>
          </rPr>
          <t>User:</t>
        </r>
        <r>
          <rPr>
            <sz val="9"/>
            <color indexed="81"/>
            <rFont val="Tahoma"/>
            <family val="2"/>
          </rPr>
          <t xml:space="preserve">
favor eliminar el texto resaltado en rojo</t>
        </r>
      </text>
    </comment>
  </commentList>
</comments>
</file>

<file path=xl/comments2.xml><?xml version="1.0" encoding="utf-8"?>
<comments xmlns="http://schemas.openxmlformats.org/spreadsheetml/2006/main">
  <authors>
    <author>Natalia Norato Mora</author>
  </authors>
  <commentList>
    <comment ref="BB26" authorId="0" shapeId="0">
      <text>
        <r>
          <rPr>
            <b/>
            <sz val="9"/>
            <color indexed="81"/>
            <rFont val="Tahoma"/>
            <family val="2"/>
          </rPr>
          <t>Natalia Norato Mora:</t>
        </r>
        <r>
          <rPr>
            <sz val="9"/>
            <color indexed="81"/>
            <rFont val="Tahoma"/>
            <family val="2"/>
          </rPr>
          <t xml:space="preserve">
las actividades deben ser diferentes a los controles </t>
        </r>
      </text>
    </comment>
  </commentList>
</comments>
</file>

<file path=xl/sharedStrings.xml><?xml version="1.0" encoding="utf-8"?>
<sst xmlns="http://schemas.openxmlformats.org/spreadsheetml/2006/main" count="3830" uniqueCount="1352">
  <si>
    <t>PROCESOS</t>
  </si>
  <si>
    <t>TIPO DE RIESGO</t>
  </si>
  <si>
    <t>TIPOLOGÍA DE RIESGOS</t>
  </si>
  <si>
    <t>TIPO DE AMENAZA</t>
  </si>
  <si>
    <t>ANMENAZA</t>
  </si>
  <si>
    <t>PROBABILIDAD</t>
  </si>
  <si>
    <t>TIPOS DE IMPACTO</t>
  </si>
  <si>
    <t>IMPACTO CORRUPCIÓN</t>
  </si>
  <si>
    <t>OTROS IMPACTOS</t>
  </si>
  <si>
    <t>OPCIONES DE MANEJO</t>
  </si>
  <si>
    <t>Direccionamiento estratégico e innovación</t>
  </si>
  <si>
    <t>Gestion</t>
  </si>
  <si>
    <t>Riesgos estratégicos</t>
  </si>
  <si>
    <t>Daño_fisico</t>
  </si>
  <si>
    <t>Fuego</t>
  </si>
  <si>
    <t>Rara vez</t>
  </si>
  <si>
    <t>impacto</t>
  </si>
  <si>
    <t>Moderado</t>
  </si>
  <si>
    <t>Insignificante</t>
  </si>
  <si>
    <t>Aceptar el riesgo</t>
  </si>
  <si>
    <t>Atención a partes interesadas y comunicaciones </t>
  </si>
  <si>
    <t>Corrupcion</t>
  </si>
  <si>
    <t>Riesgos gerenciales</t>
  </si>
  <si>
    <t>Eventos_naturales</t>
  </si>
  <si>
    <t>Agua</t>
  </si>
  <si>
    <t>Improbable</t>
  </si>
  <si>
    <t>impactocorrupcion</t>
  </si>
  <si>
    <t>Mayor</t>
  </si>
  <si>
    <t>Menor</t>
  </si>
  <si>
    <t>Reducir el riesgo</t>
  </si>
  <si>
    <t>Estrategia y gobierno de TI </t>
  </si>
  <si>
    <t>Seguridad_de_la_informacion</t>
  </si>
  <si>
    <t>Riesgos operativos</t>
  </si>
  <si>
    <t>Perdidas_de_los_servicios_esenciales</t>
  </si>
  <si>
    <t>Fenómenos climáticos</t>
  </si>
  <si>
    <t>Posible</t>
  </si>
  <si>
    <t>Catastrófico</t>
  </si>
  <si>
    <t>Evitar el riesgo</t>
  </si>
  <si>
    <t>Planificación de la intervención vial </t>
  </si>
  <si>
    <t>Riesgos financieros</t>
  </si>
  <si>
    <t>Perturbacion_debida_a_la_radiacion</t>
  </si>
  <si>
    <t>Fenómenos sísmicos</t>
  </si>
  <si>
    <t>Probable</t>
  </si>
  <si>
    <t>Compartir el riesgo</t>
  </si>
  <si>
    <t>Producción de mezcla y provisión de maquinaria y equipo </t>
  </si>
  <si>
    <t>Riesgos de cumplimiento</t>
  </si>
  <si>
    <t>Compromiso_de_la_informacion</t>
  </si>
  <si>
    <t>Fallas en el sistema de suministro de agua</t>
  </si>
  <si>
    <t>Casi seguro</t>
  </si>
  <si>
    <t>Intervención de la malla vial </t>
  </si>
  <si>
    <t>Riesgo de imagen o reputacional</t>
  </si>
  <si>
    <t>Fallas_tecnicas</t>
  </si>
  <si>
    <t>Fallas en el suministro de aire acondicionado</t>
  </si>
  <si>
    <t>Gestión de servicios e infraestructura tecnológica </t>
  </si>
  <si>
    <t>Acciones_no_autorizadas</t>
  </si>
  <si>
    <t>Radiación electromagnética</t>
  </si>
  <si>
    <t>Gestión de recursos físicos </t>
  </si>
  <si>
    <t>Riesgo de corrupción</t>
  </si>
  <si>
    <t>Compromiso_de_las_funciones</t>
  </si>
  <si>
    <t>Radiación térmica</t>
  </si>
  <si>
    <t>Gestión contractual </t>
  </si>
  <si>
    <t>Interceptación de servicios de señales de interferencia comprometida</t>
  </si>
  <si>
    <t>Gestión financiera </t>
  </si>
  <si>
    <t>Pérdida de confidencialidad de los activos</t>
  </si>
  <si>
    <t>Espionaje remoto</t>
  </si>
  <si>
    <t>Gestión de laboratorio </t>
  </si>
  <si>
    <t>Pérdida de la integridad de los activos</t>
  </si>
  <si>
    <t>Fallas del equipo</t>
  </si>
  <si>
    <t>Gestión del talento humano </t>
  </si>
  <si>
    <t>Pérdida de la disponibilidad de los activos</t>
  </si>
  <si>
    <t>Mal funcionamiento del equipo</t>
  </si>
  <si>
    <t>Gestión ambiental </t>
  </si>
  <si>
    <t>Saturación del sistema de información</t>
  </si>
  <si>
    <t>Gestión documental </t>
  </si>
  <si>
    <t>Mal funcionamiento del software</t>
  </si>
  <si>
    <t>Gestión jurídica </t>
  </si>
  <si>
    <t>Incumplimiento en el mantenimiento del sistema de información</t>
  </si>
  <si>
    <t>Control Disciplinario Interno </t>
  </si>
  <si>
    <t>Uso no autorizado del equipo</t>
  </si>
  <si>
    <t>Control evaluación y mejora de la gestión </t>
  </si>
  <si>
    <t>Copia fraudulenta del software</t>
  </si>
  <si>
    <t>Error en el uso o abuso de derechos</t>
  </si>
  <si>
    <t>Falsificación de derechos</t>
  </si>
  <si>
    <t>probabilidad</t>
  </si>
  <si>
    <t>Riesgo bajo</t>
  </si>
  <si>
    <t>Riesgo moderado</t>
  </si>
  <si>
    <t>Riesgo alto</t>
  </si>
  <si>
    <t>Riesgo extremo</t>
  </si>
  <si>
    <t>Fuerte</t>
  </si>
  <si>
    <t>Débil</t>
  </si>
  <si>
    <t>No</t>
  </si>
  <si>
    <t>Sí</t>
  </si>
  <si>
    <t>Directamente</t>
  </si>
  <si>
    <t>No disminuye</t>
  </si>
  <si>
    <t>Indirectamente</t>
  </si>
  <si>
    <t>MAPA DE RIESGOS DE GESTIÓN 2021_V1 UNIDAD ADMINISTRATIVA ESPECIAL DE REHABILITACIÓN Y MANTENIMIENTO VIAL</t>
  </si>
  <si>
    <t>Proceso</t>
  </si>
  <si>
    <t>No. Riesgo</t>
  </si>
  <si>
    <t>Riesgo</t>
  </si>
  <si>
    <t>Descripción</t>
  </si>
  <si>
    <t>Tipo de riesgo</t>
  </si>
  <si>
    <t>Tipología de riesgos</t>
  </si>
  <si>
    <t>Activo de información</t>
  </si>
  <si>
    <t>Tipo de amenaza</t>
  </si>
  <si>
    <t>Amenaza</t>
  </si>
  <si>
    <t>Causa / vulnerabilidad</t>
  </si>
  <si>
    <t>Consecuencias</t>
  </si>
  <si>
    <t xml:space="preserve">CALIFICACIÓN DEL RIESGO </t>
  </si>
  <si>
    <t>EVALUACIÓN DEL RIESGO INHERENTE</t>
  </si>
  <si>
    <t>VERIFICACIÓN DE CONTROLES ESTABLECIDOS</t>
  </si>
  <si>
    <t>EVALUACIÓN DE  RIESGO RESIDUAL</t>
  </si>
  <si>
    <t>OPCIÓN DE MANEJO</t>
  </si>
  <si>
    <t>ACTIVIDADES DE CONTROL</t>
  </si>
  <si>
    <t>ACCIONES DE CONTINGENCIA</t>
  </si>
  <si>
    <t xml:space="preserve">IMPACTO </t>
  </si>
  <si>
    <t>ZONA DE RIESGO</t>
  </si>
  <si>
    <t>DESCRIPCIÓN DE CONTROLES EXISTENTES</t>
  </si>
  <si>
    <t>¿Existe un responsable asignado a la ejecución del control?</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</si>
  <si>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</si>
  <si>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</si>
  <si>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</si>
  <si>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</si>
  <si>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</si>
  <si>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</si>
  <si>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PUNTAJE</t>
  </si>
  <si>
    <t>Evaluación del diseño del control</t>
  </si>
  <si>
    <t>El control se ejecuta de manera consistente por los responsables</t>
  </si>
  <si>
    <t>Solidez del control</t>
  </si>
  <si>
    <t>Requiere plan de acción para fortalecer el control</t>
  </si>
  <si>
    <t>Solidez del conjunto de controles</t>
  </si>
  <si>
    <t>Controles ayudan a disminuir la probabilidad</t>
  </si>
  <si>
    <t>Controles ayudan a disminuir impacto</t>
  </si>
  <si>
    <t>CASILLAS A DISMINUIR</t>
  </si>
  <si>
    <t>ACTIVIDAD</t>
  </si>
  <si>
    <t>SOPORTE / PRODUCTO</t>
  </si>
  <si>
    <t>RESPONSABLE</t>
  </si>
  <si>
    <t>TIEMPO</t>
  </si>
  <si>
    <t>INDICADOR</t>
  </si>
  <si>
    <t>ACCIÓN</t>
  </si>
  <si>
    <t># Columnas en la matriz de riesgo que se desplaza en el eje de la probabilidad</t>
  </si>
  <si>
    <t># Columnas en la matriz de riesgo que se desplaza en el eje de impacto</t>
  </si>
  <si>
    <t>Entrega de información no confiable, verás y oportuna para la toma de decisiones de la alta dirección</t>
  </si>
  <si>
    <t>En la consolidación y revisión de la información para la alta dirección existen factores como la carga laboral y el desconocimiento del que hacer institucional que pueden afectar la veracidad, oportunidad y pertinencia que genera una inadecuada toma de decisiones.</t>
  </si>
  <si>
    <t>NA</t>
  </si>
  <si>
    <t>La información entregada por los procesos, o de las dependencia no se caracteriza por ser: veraz, oportuna y adecuada.</t>
  </si>
  <si>
    <t>No tener  la información para la toma decisiones
Reprocesos
 Divulgación de información no  confiable a los grupos de valor</t>
  </si>
  <si>
    <t>Cada vez que llega la información o los reportes de los procesos,o de las dependencias los profesionales designados por la jefe OAP revisaran que la información cumpla con los criterios como veracidad, oportunidad y calidad.  Como evidencia del control quedarán correo institucional, ORFEO y/o la herramienta correspondiente.
Si se identifica que tiene una inconsistencia se realizará  observación pertinente para su ajuste a través de correo institucional, ORFEO y/o la herramienta correspondiente.</t>
  </si>
  <si>
    <t>Asignado</t>
  </si>
  <si>
    <t>Adecuado</t>
  </si>
  <si>
    <t>Oportuna</t>
  </si>
  <si>
    <t>Prevenir</t>
  </si>
  <si>
    <t>Confiable</t>
  </si>
  <si>
    <t>Se investigan y resuelven oportunamente</t>
  </si>
  <si>
    <t>Completa</t>
  </si>
  <si>
    <t>Siempre se ejecuta</t>
  </si>
  <si>
    <t>Realizar mesas de trabajo con el personal responsable del reporte de la información para   enfatizar en el cumplimiento de las entregas y la necesidad de la confiabilidad de los datos.</t>
  </si>
  <si>
    <t>Actas de las mesas</t>
  </si>
  <si>
    <t>Personal designado por la jefe de la OAP</t>
  </si>
  <si>
    <t>Cuatrimestral</t>
  </si>
  <si>
    <t>Elaborar plan de mejoramiento y Adelantar mesas de socialización y apropiación del quehacer, procesos y procedimientos de la entidad.</t>
  </si>
  <si>
    <t>Acciones de mejoramiento y Mesas de socialización y divulgación</t>
  </si>
  <si>
    <t xml:space="preserve">Jefe Oficina Asesora de Planeación </t>
  </si>
  <si>
    <t>Cuando se presente</t>
  </si>
  <si>
    <t xml:space="preserve">Desconocimientos del personal designado para el reporte de información del quehacer  de la entidad y de los instrumentos para la toma de decisiones  </t>
  </si>
  <si>
    <t>El profesional designado por el (la) jefe de la Oficina Asesora de Planeación, remitirá encuesta cuatrimestral sobre conocimiento de instrumentos y sistemas de gestión. Una vez los enlaces o personal designado  respondan la encuesta , la jefe OAP revisará los resultados de está, como evidencia del control quedará el correo electrónico.
En el caso que se identifiquen en la calificación de la encuesta un porcentaje menor al 60%, se realizarán mesas trimestralmente de sensibilización sobre el Sistema de Gestión e instrumentos.</t>
  </si>
  <si>
    <t xml:space="preserve">Divulgar piezas gráficas sobre la importancia del reporte confiable y oportuno de la información. </t>
  </si>
  <si>
    <t>Piezas publicadas</t>
  </si>
  <si>
    <t>Bimensual</t>
  </si>
  <si>
    <t>Inadecuada viabilización de las necesidades de inversión.</t>
  </si>
  <si>
    <t>Al viabilizar las necesidades que no están relacionadas con los objetivos y metas de los proyectos de inversión, se puede generar el incumpliendo de los mismos, ocasionando una indebida imputación presupuestal,asi como un mal ejercicio de programación y planeación.</t>
  </si>
  <si>
    <t xml:space="preserve">Desconocimiento de las gerencias de los proyectos de inversión en cuanto a los criterios para la  justificación de las necesidades a contratar relacionadas en los estudios previos </t>
  </si>
  <si>
    <t xml:space="preserve"> Incumplimiento de los objetivos y metas de los proyectos de inversión, ocasionando una indebida imputación presupuestal;posible  incumplimiento de las metas del Plan de Desarrollo Distrital y de la política de conservación de la infraestructura vial local. </t>
  </si>
  <si>
    <t>El (la) Jefe de la Oficina Asesora de Planeación, establece mesas de trabajo trimestrales  con los equipos de trabajo designados por las gerencias de los proyectos y los colaboradores del proceso de contratación. 
En estas mesas se socializan y validar  los criterios mínimos (Que el proceso este asociado a las metas PDD y proyecto de inversión, componente, que la necesidad se encuentre contemplada en el PAA, que la necesidad este orientada al proyecto de inversión que lo va a financiar) a tener en cuenta para  justificar las necesidades de contratación requeridas por las gerencias de proyecto. Como evidencia queda los resultados del Kahoot o la herramienta seleccionada para el ejercicio.
En el caso que los resultados sean igual o menor al 70% se brindara apoyo personalizado.</t>
  </si>
  <si>
    <t>Remitir e informar a los gerentes y enlaces de proyecto los resultados de la actividad sobre conocimiento de los proyectos de inversión.</t>
  </si>
  <si>
    <t>Correo electrónico</t>
  </si>
  <si>
    <t>Cuatro veces en el año</t>
  </si>
  <si>
    <t xml:space="preserve">Informar a la gerencia del proyecto y al proceso de gestión financiera que se expidio un certificado de disponibilidad presupuestal sin el aval de la Oficina Asesora de Planeación </t>
  </si>
  <si>
    <t>Anulación del certificado de disponibilidad presupuestal sin el aval de la Oficina Asesora de Planeación</t>
  </si>
  <si>
    <t>Jefe Oficina Asesora de Planeación</t>
  </si>
  <si>
    <t>En el momento de materialización del riesgo</t>
  </si>
  <si>
    <t>Mal ejercicio de programación y planeación</t>
  </si>
  <si>
    <t>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y proyecto de inversión, componente, que la necesidad se encuentre contemplada en el PAA,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</si>
  <si>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t>Detectar</t>
  </si>
  <si>
    <t>Divulgar piezas gráficas informativas sobre el estado de los proyectos de inversión.</t>
  </si>
  <si>
    <t>Piezas divulgadas</t>
  </si>
  <si>
    <t>Incumplimiento en los requerimientos de la dimensión de innovación y gestión del conocimiento en la Entidad</t>
  </si>
  <si>
    <t>En la evaluación de la dimensión de gestión del conocimiento de la entidad pueden existir factores como la falta de conocimiento sobre temas de innovación, fallas en la transmisión de ideas y conceptos entre las diferentes dependencias de la entidad y mala administración de la documentación sobre el tema, que afecten la calificación de el indice de desempeño  de la entidad bajo la dimensión 6 del MIPG</t>
  </si>
  <si>
    <t>Desconocimiento de los colaboradores de los conceptos relacionados con innovación y gestión del conocimiento.</t>
  </si>
  <si>
    <t xml:space="preserve">Incumplimiento de la estrategia para implementar la dimensión 6 del MIPG y bajos resultados en la evaluación de la gestión y desarrollo institucional. </t>
  </si>
  <si>
    <t>Los profesionales designados por el (la) jefe de la Oficina Asesora de Planeación, realizará una encuesta semestral sobre los conceptos relacionados con los temas tratados en las sensibilizaciones sobre Gestión del Conocimiento y la Innovación. Una vez los colaboradores hayan contestado la encuesta, la jefe de la OAP revisará los resultados. Como evidencia del control quedarán los correos electrónicos.
En caso que el resultado de la encuesta arroje un desconocimiento sobre los conceptos menor al 50% se procede a ampliar las socializaciones sobre el tema en la Entidad.</t>
  </si>
  <si>
    <t>Ajustra las actividades del plan de adecuación y sostenibilidad de  la dimensión de innovación y gestión del conocimiento de acuerdo a los resultados del FURAG y aautoelaciaciones</t>
  </si>
  <si>
    <t xml:space="preserve">Plan de adecuación y sostenibilidad </t>
  </si>
  <si>
    <t>Una semana maximo despues de la materialización delriesgo</t>
  </si>
  <si>
    <t xml:space="preserve">Desactualización de la documentación de los proyectos de innovación y gestión del conocimiento </t>
  </si>
  <si>
    <t xml:space="preserve">El (la) Jefe de la Oficina Asesora de Planeación, verificará cuatrimestralmente que el repositorio digital carpeta del servidor Z:\ de innovación y gestión del conocimiento de la entidad cuente con todos los documentos, informes, documentos de interés y evidencias del seguimiento de la implementación de la dimensión 6 del MIPG de acuerdo con el Plan de Acción, el Mapa de Riesgos y el Plan de Adecuación y sostenibilidad SIG-MIPG. Como evidencia del control quedarán los correos electrónicos.
En caso de que algún documento o evidencia no se halle en el repositorio, se solicitará por correo electrónico al personal designado que se complete el registro o se deje constancia de la falta de información. </t>
  </si>
  <si>
    <t>Desatención de las solicitudes (PQRSFD) o atención fuera de los términos establecidos por la normativa en la materia.</t>
  </si>
  <si>
    <t>En atención al volumen de requerimientos recibidos por la entidad, a la inadecuada centralización de las peticiones en el proceso para su asignación y tramite y a la deficiencia de los controles establecidos para el seguimiento oportuno a las respuestas, puede materiaizarse el vencimiento de los requerimientos conforme a los terminos legales establecidos en CPACA y en la Ley 1755 de 2015, generando una disminución de la percepción positiva de la entidad y desconociendo el derecho fundamental de petición de la ciudadanía.</t>
  </si>
  <si>
    <t>APLICATIVO ORFEO
APLICATIVO SQS
BASE DE DATOS DE CONTROL</t>
  </si>
  <si>
    <t>Inadecuada centralización de las peticiones en el proceso para su adecuado asignación y tramite</t>
  </si>
  <si>
    <t>El directivo responsable podría recibir sanciones disciplinarias</t>
  </si>
  <si>
    <t>El colaborador de la Secretaría General, asignado a Atención a la Ciudadano, verifica diariamente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DIARIOS EN ORFEO el cual debe ser almacenado en la carpeta  compartida en One Drive por el proceso.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t>
  </si>
  <si>
    <t xml:space="preserve">Registrar diariamente en la base de datos ACI 2021 el total de las peticiones que ingresan a la Entidad.
</t>
  </si>
  <si>
    <t>Base de Datos ACI 2021</t>
  </si>
  <si>
    <t>Secretaria General</t>
  </si>
  <si>
    <r>
      <rPr>
        <sz val="9"/>
        <rFont val="Arial"/>
        <family val="2"/>
      </rPr>
      <t>Diariamente</t>
    </r>
    <r>
      <rPr>
        <sz val="9"/>
        <color rgb="FFFF0000"/>
        <rFont val="Arial"/>
        <family val="2"/>
      </rPr>
      <t xml:space="preserve">
</t>
    </r>
  </si>
  <si>
    <t>N°de peticiones allegadas a la entidad / N° de peticiones centralizadas en el proceso * 100</t>
  </si>
  <si>
    <t>Remisión inmediata al área competente</t>
  </si>
  <si>
    <t>Respuesta a peticiones</t>
  </si>
  <si>
    <t>Todos los procesos</t>
  </si>
  <si>
    <t>De forma inmediata cuando se materialice el riesgo</t>
  </si>
  <si>
    <t>Deficiencia de los controles establecidos para el seguimiento oportuno a las respuestas de los requerimientos</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</si>
  <si>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 de tal manera que se pueda hacer el seguimiento a la oportunidad de las respuestas.  La evidencia son los correos remitidos a las dependencias responsables y la base de  datos ACI 2021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</si>
  <si>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r>
      <t xml:space="preserve">
Realizar sensibilización al personal de las dependencias responsable de generar respuesta a los requerimientos, sobre el tramite y tratamiento de los derechos de petición.</t>
    </r>
    <r>
      <rPr>
        <sz val="9"/>
        <color theme="3"/>
        <rFont val="Arial"/>
        <family val="2"/>
      </rPr>
      <t xml:space="preserve"> </t>
    </r>
  </si>
  <si>
    <t xml:space="preserve">Listados de asistencia, material de apoyo
</t>
  </si>
  <si>
    <t xml:space="preserve">
Semestral
</t>
  </si>
  <si>
    <t>N° de sensibilizaciones realizadas a las dependencias / N° de sensibilizaciones programadas en el proceso * 100</t>
  </si>
  <si>
    <t xml:space="preserve">Ausencia de respuesta o respuesta incorrecta , incompleta o contradictoria a una solicitud </t>
  </si>
  <si>
    <t>Debido a la inadecuada clasificación de la PQRSFD,  a la radicación de documentos análogos interpuestos por los ciudadanos por los diferentes  canales de atención y a la falta de radicación por parte de los responsables, puede ocasionarse ausencia de respuesta, o respuesta incorrecta que genera una inconformidad y baja credibilidad frente al servicio brindado por la Entidad.</t>
  </si>
  <si>
    <t>N/A</t>
  </si>
  <si>
    <r>
      <rPr>
        <sz val="9"/>
        <rFont val="Arial"/>
        <family val="2"/>
      </rPr>
      <t xml:space="preserve">Que no se realice un adecuado análisis al requerimiento del ciudadano(a) por parte del colaborador que recibe la petición inicial </t>
    </r>
    <r>
      <rPr>
        <b/>
        <sz val="9"/>
        <rFont val="Arial"/>
        <family val="2"/>
      </rPr>
      <t>(tipificación</t>
    </r>
    <r>
      <rPr>
        <sz val="9"/>
        <rFont val="Arial"/>
        <family val="2"/>
      </rPr>
      <t xml:space="preserve"> de las peticiones).</t>
    </r>
  </si>
  <si>
    <t>Insatisfacción de los ciudadanos con la respuesta emitida</t>
  </si>
  <si>
    <r>
      <rPr>
        <b/>
        <sz val="9"/>
        <rFont val="Arial"/>
        <family val="2"/>
      </rPr>
      <t>El colaborador de la Secretaría General,</t>
    </r>
    <r>
      <rPr>
        <sz val="9"/>
        <rFont val="Arial"/>
        <family val="2"/>
      </rPr>
      <t xml:space="preserve"> asignado a Atención al Ciudadano, deberá </t>
    </r>
    <r>
      <rPr>
        <b/>
        <sz val="9"/>
        <rFont val="Arial"/>
        <family val="2"/>
      </rPr>
      <t>validar</t>
    </r>
    <r>
      <rPr>
        <sz val="9"/>
        <rFont val="Arial"/>
        <family val="2"/>
      </rPr>
      <t xml:space="preserve"> diariamente en el aplicativo Orfeo y Bogotá te Escucha la tipificación adecuada a los requerimientos, para clasificar adecuadamente las peticiones y evitar los reprocesos al momento de reasignar los requerimientos.</t>
    </r>
    <r>
      <rPr>
        <b/>
        <sz val="9"/>
        <rFont val="Arial"/>
        <family val="2"/>
      </rPr>
      <t xml:space="preserve"> Como evidencia </t>
    </r>
    <r>
      <rPr>
        <sz val="9"/>
        <rFont val="Arial"/>
        <family val="2"/>
      </rPr>
      <t xml:space="preserve">quedará un registro del aplicativo Orfeo y SDQS de la clasificación inicial y la reclasificación final.
</t>
    </r>
    <r>
      <rPr>
        <b/>
        <sz val="9"/>
        <rFont val="Arial"/>
        <family val="2"/>
      </rPr>
      <t>En caso de no tificarse adecuadamente las peticiones,</t>
    </r>
    <r>
      <rPr>
        <sz val="9"/>
        <rFont val="Arial"/>
        <family val="2"/>
      </rPr>
      <t xml:space="preserve"> se corregirá inmediatamente y se informará al área correspondiente y se retroalimentará al colaborador responsable para que se tomen a las acciones de mejora correspondientes.</t>
    </r>
  </si>
  <si>
    <t xml:space="preserve">Elaborar informe de PQRSFD trimestral que en uno de sus capítulos contiene la tipología de las peticiones </t>
  </si>
  <si>
    <t>Informes de PQRSFD trimestral</t>
  </si>
  <si>
    <t>Trimestral</t>
  </si>
  <si>
    <t>N°de informes realizados /
N°de informes programados * 100</t>
  </si>
  <si>
    <t xml:space="preserve">Notificar al responsable Directivo para la toma de acciones de mejora
</t>
  </si>
  <si>
    <r>
      <rPr>
        <sz val="9"/>
        <rFont val="Arial"/>
        <family val="2"/>
      </rPr>
      <t xml:space="preserve">Cuándo se materialice el riesgo
</t>
    </r>
    <r>
      <rPr>
        <sz val="9"/>
        <color theme="1"/>
        <rFont val="Arial"/>
        <family val="2"/>
      </rPr>
      <t xml:space="preserve">
</t>
    </r>
  </si>
  <si>
    <t xml:space="preserve">Que no se radiquen en la Entidad, las PQRSFD recibidas a través de Bogotá te Escucha. </t>
  </si>
  <si>
    <r>
      <rPr>
        <b/>
        <sz val="9"/>
        <rFont val="Arial"/>
        <family val="2"/>
      </rPr>
      <t>El colaborador de la Secretaría General</t>
    </r>
    <r>
      <rPr>
        <sz val="9"/>
        <rFont val="Arial"/>
        <family val="2"/>
      </rPr>
      <t xml:space="preserve">, designado a Atención al Ciudadano, debe  </t>
    </r>
    <r>
      <rPr>
        <b/>
        <sz val="9"/>
        <rFont val="Arial"/>
        <family val="2"/>
      </rPr>
      <t>validar</t>
    </r>
    <r>
      <rPr>
        <sz val="9"/>
        <rFont val="Arial"/>
        <family val="2"/>
      </rPr>
      <t xml:space="preserve"> diariamente el envío de todos los requerimientos ciudadanos recibidos en Bogotá te Escucha a través del correo electrónico de atención al ciudadano para su correspondiente radicación.  </t>
    </r>
    <r>
      <rPr>
        <b/>
        <sz val="9"/>
        <rFont val="Arial"/>
        <family val="2"/>
      </rPr>
      <t xml:space="preserve">Como evidencia </t>
    </r>
    <r>
      <rPr>
        <sz val="9"/>
        <rFont val="Arial"/>
        <family val="2"/>
      </rPr>
      <t xml:space="preserve">quedará registro en el correo electrónico de atención al ciudadano y en la matriz de control y seguimiento de envió de peticiones.
</t>
    </r>
    <r>
      <rPr>
        <b/>
        <sz val="9"/>
        <rFont val="Arial"/>
        <family val="2"/>
      </rPr>
      <t xml:space="preserve">En caso que falte </t>
    </r>
    <r>
      <rPr>
        <sz val="9"/>
        <rFont val="Arial"/>
        <family val="2"/>
      </rPr>
      <t xml:space="preserve">alguna petición recibida a través de Bogotá te Escucha por radicado, se debe notificar a correspondencia para realizar la radicación de manera inmediata y establecer comunicación con la dependencia responsable de generar respuesta con el fin de que se priorice el tramite. </t>
    </r>
  </si>
  <si>
    <t xml:space="preserve">Enviar por correo electrónico al responsable de Atención al Ciudadano, encargado de Bogotá te Escucha, el radicado Orfeo de las PQRSFD
</t>
  </si>
  <si>
    <t>Copia de los correos electrónicos enviados Y Base de Datos ACI 2021</t>
  </si>
  <si>
    <t>Diariamente</t>
  </si>
  <si>
    <t xml:space="preserve">(N° de radicados orfeo enviados / N° de peticiones Bogotá te Escucha) * 100
</t>
  </si>
  <si>
    <t xml:space="preserve">Baja implementación de los espacios de participación ciudadana de la entidad. </t>
  </si>
  <si>
    <t xml:space="preserve">Debido a la dificultad en articular la implementación del plan de participacion ciudadana de la entidad, se omiten espacios de participación o se implementan de manera aislada y no son reportados conforme con los lineamientos establecidos, lo que dificulta su seguimiento, evaluación y retoalimentacion con sus grupos de valor y no cumplen con el ciclo de gestión de la participación, generando incumplimeintos de normativos y de leyes el cual tienen derecho todos los ciudadanos. </t>
  </si>
  <si>
    <t>Desarticulación de las dependencias encargadas de desarrollar los espacios de participación ciudadana</t>
  </si>
  <si>
    <t>Incumplimiento del plan de participación ciudadana. 
Politica de participación ciudadana con una implementación baja</t>
  </si>
  <si>
    <r>
      <rPr>
        <b/>
        <sz val="9"/>
        <rFont val="Arial"/>
        <family val="2"/>
      </rPr>
      <t>El gerente ambiental, social y de atenci</t>
    </r>
    <r>
      <rPr>
        <sz val="9"/>
        <rFont val="Arial"/>
        <family val="2"/>
      </rPr>
      <t xml:space="preserve">ón al usuario se reunirá con el equipo de participación ciudadana de la entidad </t>
    </r>
    <r>
      <rPr>
        <b/>
        <sz val="9"/>
        <rFont val="Arial"/>
        <family val="2"/>
      </rPr>
      <t>mensualmente,</t>
    </r>
    <r>
      <rPr>
        <sz val="9"/>
        <rFont val="Arial"/>
        <family val="2"/>
      </rPr>
      <t xml:space="preserve"> en donde </t>
    </r>
    <r>
      <rPr>
        <b/>
        <sz val="9"/>
        <rFont val="Arial"/>
        <family val="2"/>
      </rPr>
      <t>revisarán</t>
    </r>
    <r>
      <rPr>
        <sz val="9"/>
        <rFont val="Arial"/>
        <family val="2"/>
      </rPr>
      <t xml:space="preserve"> la implementación de los espacios de participación ciudadana y harán seguimiento al cronograma propuesto para cada uno estos, evitando así los incumplimientos. </t>
    </r>
    <r>
      <rPr>
        <b/>
        <sz val="9"/>
        <rFont val="Arial"/>
        <family val="2"/>
      </rPr>
      <t>Como evidencia</t>
    </r>
    <r>
      <rPr>
        <sz val="9"/>
        <rFont val="Arial"/>
        <family val="2"/>
      </rPr>
      <t xml:space="preserve"> de dichos espacios quedarán listados de asistencia de la sesión y el acta con los temas tratados. 
</t>
    </r>
    <r>
      <rPr>
        <b/>
        <sz val="9"/>
        <rFont val="Arial"/>
        <family val="2"/>
      </rPr>
      <t>En caso de</t>
    </r>
    <r>
      <rPr>
        <sz val="9"/>
        <rFont val="Arial"/>
        <family val="2"/>
      </rPr>
      <t xml:space="preserve"> evidenciar que los espacios de participación presentan demora en su implementación, se notificará al la dependencia correspondiente y se generará la alerta de tal forma que se pueda reprogramar las fechas en el cronograma sin afectar el desarrollo de los espacios y que logre cumplir con el propósito correspondiente. </t>
    </r>
  </si>
  <si>
    <t xml:space="preserve">Revisar el plan de participación ciudadana de la entidad y los procedimientos existentes, con el fin de hacer los ajustes necesarios e identificar oportunidades de mejora. </t>
  </si>
  <si>
    <t>Acta de reunión y documentos ajustados</t>
  </si>
  <si>
    <t>Gerencia Ambiental, Social y de Atención al Usuario</t>
  </si>
  <si>
    <t>cuando se materilice el riesgo.</t>
  </si>
  <si>
    <t xml:space="preserve">Desconocimiento de los espacios de participacion ciudadana que tiene la entidad. </t>
  </si>
  <si>
    <r>
      <rPr>
        <b/>
        <sz val="9"/>
        <rFont val="Arial"/>
        <family val="2"/>
      </rPr>
      <t xml:space="preserve">El profesional delegado por el gerente ambiental, social </t>
    </r>
    <r>
      <rPr>
        <sz val="9"/>
        <rFont val="Arial"/>
        <family val="2"/>
      </rPr>
      <t xml:space="preserve">y de atención al usuario,  al inicio de la formulación del plan de participación ciudadana, solicitará a cada una de las dependencias el envío o la relación de los epsacios al cual estan asistendo, en donde se validará si los mismos correponden a espacios de participación o son otro tipo de encuentros. Posteriormente, </t>
    </r>
    <r>
      <rPr>
        <b/>
        <sz val="9"/>
        <rFont val="Arial"/>
        <family val="2"/>
      </rPr>
      <t>Cuatrimestralmente</t>
    </r>
    <r>
      <rPr>
        <sz val="9"/>
        <rFont val="Arial"/>
        <family val="2"/>
      </rPr>
      <t xml:space="preserve"> se realizará sensibilización del plan de participación ciudadana de la entidad y de los espacios que allí se describen para dar a conocer los espacios formalizados por la entidad.</t>
    </r>
    <r>
      <rPr>
        <b/>
        <sz val="9"/>
        <rFont val="Arial"/>
        <family val="2"/>
      </rPr>
      <t xml:space="preserve"> Como evidencia </t>
    </r>
    <r>
      <rPr>
        <sz val="9"/>
        <rFont val="Arial"/>
        <family val="2"/>
      </rPr>
      <t xml:space="preserve">de esta actividad quedará mesa de trabajo de validación de espacios de particiáción, la presentación de la sensibilización, el listado de asistencia  y los resultados de la encuesta aplicada. 
</t>
    </r>
    <r>
      <rPr>
        <b/>
        <sz val="9"/>
        <rFont val="Arial"/>
        <family val="2"/>
      </rPr>
      <t>En caso de evidenciar</t>
    </r>
    <r>
      <rPr>
        <sz val="9"/>
        <rFont val="Arial"/>
        <family val="2"/>
      </rPr>
      <t xml:space="preserve"> que los colaboradores asisten a espacios diferentes a los consignados en el Plan de Participación Ciudadana de la entidad, se procede a actualizar los documentos correpondientes y formalizar dichos espacios de tal manera que se les pueda hacer seguimiento y control de acuerdo con los procedimientos establecidos. </t>
    </r>
  </si>
  <si>
    <t>Posibilidad de afectación en la imagen de la UMV por no publicar  información de las dependencias de la entidad</t>
  </si>
  <si>
    <t>La baja capacidad de las dependenicas  para interrelacionar sus necesidades  y el desconocimiento de los canales de comunicación, por parte de los colaboradores de la UMV,   podría llevar a una baja efectividad de los procesos de comunicación, que origne que ciudadanos y grupos de valor desconozcan los logros, proyectos y actividades de la entidad, llevando a un débil posicionamiento de la entidad</t>
  </si>
  <si>
    <t>La baja capacidad de las dependenicas  para interrelacionar sus necesidades  y el desconocimiento de los canales de comunicación,.</t>
  </si>
  <si>
    <t xml:space="preserve">
Baja efectividad de los procesos de comunicación, que  origne que ciudadanos y grupos de valor desconozcan los logros, proyectos y actividades de la entidad, llevando a un débil posicionamiento de la entidad</t>
  </si>
  <si>
    <r>
      <t xml:space="preserve">El profesional del Componente Comunicaciones  designado por la jefe de la Oficina Asesora de Planeación realizará un informe el quinto día hábil del siguiente bimestre, en el que </t>
    </r>
    <r>
      <rPr>
        <b/>
        <sz val="9"/>
        <rFont val="Arial"/>
        <family val="2"/>
      </rPr>
      <t xml:space="preserve">analice y valide </t>
    </r>
    <r>
      <rPr>
        <sz val="9"/>
        <rFont val="Arial"/>
        <family val="2"/>
      </rPr>
      <t xml:space="preserve">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Como evidencia queda el informe con el visto bueno y las observaciones de la jefe de la Oficina Asesora de Planeación. </t>
    </r>
  </si>
  <si>
    <t>Algunas veces</t>
  </si>
  <si>
    <t>Realizar el informe que de cuenta de las solicitudes realizadas por las dependencias al aplicativo de comunicaciones y su trámite.</t>
  </si>
  <si>
    <t xml:space="preserve">Informe sobre las solicitudes realizadas por las dependencias al aplicativo de comunicaciones  y su cumplimiento. </t>
  </si>
  <si>
    <t>Diciembre de 2021</t>
  </si>
  <si>
    <t>(Cantidad de informes presentados / Cantidad de informes validados)*100</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</si>
  <si>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</si>
  <si>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</si>
  <si>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 xml:space="preserve">Desconocimiento de los canales de comunicación interna, la forma de acceder a ellos y del apoyo que puede prestar el equipo de comunicaciones para el logro de los objetivos de los demás procesos. </t>
  </si>
  <si>
    <r>
      <t xml:space="preserve">El profesional del Componente Comunicaciones  designado por la jefe de la Oficina Asesora de Planeación </t>
    </r>
    <r>
      <rPr>
        <b/>
        <sz val="9"/>
        <rFont val="Arial"/>
        <family val="2"/>
      </rPr>
      <t>validará</t>
    </r>
    <r>
      <rPr>
        <sz val="9"/>
        <rFont val="Arial"/>
        <family val="2"/>
      </rPr>
      <t xml:space="preserve"> la participación del 80% de las dependencias de la UMV en las dos (2) jornadas de socialización que se realizarán durante la vigencia, en las que se explicará el manejo del Aplicativo de Comunicaciones y los canales de comunicación existentes en la entidad.
</t>
    </r>
    <r>
      <rPr>
        <b/>
        <sz val="9"/>
        <rFont val="Arial"/>
        <family val="2"/>
      </rPr>
      <t>En caso de que la participación sea inferior al 80%</t>
    </r>
    <r>
      <rPr>
        <sz val="9"/>
        <rFont val="Arial"/>
        <family val="2"/>
      </rPr>
      <t xml:space="preserve"> se requerirá al jefe de la dependencia vía correo electrónico para asegurar la participación en la siguiente sesión. Como evidencia queda la planilla de asistencia a las jornadas de socialización. </t>
    </r>
  </si>
  <si>
    <t>Realizar dos (2) jornadas de socialización en la vigencia, para el manejo del aplicativo de comunicaciones y los canales de comunicación.</t>
  </si>
  <si>
    <t>Registro de las actividades de socialización</t>
  </si>
  <si>
    <t>(Cantidad de dependencias participantes / 10)*100</t>
  </si>
  <si>
    <t>Documentación desactualizada o que no cumpla con la normatividad, lineamientos y regulaciones vigentes establecidos por MINTIC, Alta Consejería de TIC distrital, la UAERMV y otras Entidades reguladoras.</t>
  </si>
  <si>
    <t>La combinación de factores como la modificación en la normatividad, lineamientos*, la falta de actualización de la documentación* y la carencia en el seguimiento a las normativas, lineamientos y regulaciones  vigentes* podrían generar un posible incumplimiento normativo y la falta de coordinación entre la documentación y la forma de realizar los procedimientos.
* Que impacten los procesos de Tecnología.</t>
  </si>
  <si>
    <t>Carencias en el monitoreo de la normatividad, lineamientos y regulaciones determinados por MINTIC, Alta Consejería de TIC distrital, la UAERMV y otras Entidades reguladoras.</t>
  </si>
  <si>
    <t>1. Falta de lineamiento entre las estrategias internas y externas.
2. Incumplimientos normativos o de regulación.
3. Parálisis en los procesos.
4. Investigaciones disciplinarias.
5. Deterioro de la imagen del proceso.
6. Reprocesos por falta de planeación.</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</si>
  <si>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se agregará y/o actualiuzará el normograma del proceso. 
Evidencia: Instrumento de verificación de la normativa, normograma (en los casos que aplique).</t>
  </si>
  <si>
    <t xml:space="preserve">Realizar verificación de la vigencia y/o modificaciones de la normatividad en su fuentes de origen, </t>
  </si>
  <si>
    <t>Instrumento de verificación de la normativa, normograma (en los casos que aplique).</t>
  </si>
  <si>
    <t>Líder técnico y Grupo de GODI.</t>
  </si>
  <si>
    <t>(Nro. de actividades realizadas/Nro. de actividades totales)*100</t>
  </si>
  <si>
    <t>Solicitar a MINTIC una reunión para determinar normatividad, lineamientos y regulaciones vigentes  y las buenas practicas que se deben utilizar en los procedimientos. Para crear un plan de actualización.</t>
  </si>
  <si>
    <t>Acta de reunión 
Plan de actualización.</t>
  </si>
  <si>
    <t xml:space="preserve"> Líder técnico y Grupo de GODI</t>
  </si>
  <si>
    <t>Cuando se materialice el riesgo</t>
  </si>
  <si>
    <t>Deficiencias en el proceso de actualización de la documentación en cuento a la normatividad, lineamientos, regulaciones y a las buenas prácticas.</t>
  </si>
  <si>
    <t>El Líder del Técnico del proceso y su equipo, cada cuatro meses debe verificar la vigencia y/o modificaciones de la normatividad en su fuentes de origen, Consultandola por los canales de comunicación dispuestos para tal fin, comparandolas con la normatividad y/o regulaciones existentes en el proceso.
En caso de presentarse alguna actualización y/o incorporación de normativas, lineamientos y/o regulaciones que requieran actualización documental, se realizará plan de actualización de los documentos correspondientes.
Evidencia: Instrumento de verificación de la normativa, normograma (en los casos que aplique), plan de actualización documental.</t>
  </si>
  <si>
    <t>Actualizar la documentación de forma periódica o cuando cambie normatividad, lineamientos, regulaciones vigentes y/o la forma de realizar los procedimientos</t>
  </si>
  <si>
    <t>Instrumento de verificación de la normativa, normograma (en los casos que aplique), plan de actualización documental.</t>
  </si>
  <si>
    <t>(Nro. de documentos realizadas/Nro. de documentos totales a actualizar)*100</t>
  </si>
  <si>
    <t>Incumplimiento del plan estratégico de sistemas de información -PETI-</t>
  </si>
  <si>
    <t>La combinación de factores tales como el cambio de la administración y la visión de los nuevos responsables pueden ocasionar el incumplimiento de las metas propuestas en el plan estratégicos de sistemas y en consecuencia impactar negativamente los proyectos en curso.</t>
  </si>
  <si>
    <t>Carencia en la artículación de los proyectos con la planeación estratégica y la asignación presupuestal de la entidad.</t>
  </si>
  <si>
    <t>1. Incurrir en detrimento patrimonial.
2. Demora en la ejecución de los proyectos.
3. Deterioro de la imagen de la Entidad.
4. Parálisis en la ejecución de los proyectos.
5. Incumplimiento en las solicitudes realizadas por cualquier ente de control (Interno o externo).
6. Incumplimiento a la Normatividad.</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</si>
  <si>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segun corresponda.</t>
  </si>
  <si>
    <t>Revisar avance de los proyectos del mapa de ruta con cada uno de los líderes de proyecto</t>
  </si>
  <si>
    <t>EGTI-FM-008 Formato Seguimiento al Plan Estratégico de Tecnologías de Información -PETI</t>
  </si>
  <si>
    <t>Especialista AE.</t>
  </si>
  <si>
    <t>(Nro. de Informes realizados/Nro. de Informes planeados)*100</t>
  </si>
  <si>
    <t>Escalar con el Comité Institucional de Gestión y Desempeño.</t>
  </si>
  <si>
    <t>Correo electrónico
Acta de Reunión</t>
  </si>
  <si>
    <t>Falta de Actualización / Seguimiento al mapa de ruta PETI</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</si>
  <si>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no realizarse el seguimiento o actualización se debe escalar a la Secretaría General y a OAP con la justificación correspondiente vía correo electrónico, donde se tomarán las acciones.
Evidencia: EGTI-FM-008 Formato Seguimiento al Plan Estratégico de Tecnologías de Información -PETI Diligenciado, Correo electrónico segun corresponda.</t>
  </si>
  <si>
    <t>Realizar seguimiento de avance de los proyectos del mapa de ruta con cada uno de los líderes de proyecto</t>
  </si>
  <si>
    <t>Escalar a la Secretaría General y a OAP con la justificación correspondiente vía correo electrónico.</t>
  </si>
  <si>
    <t>Inoportunidad en la entrega a la SPI de los segmentos seleccionados para priorización por parte de la SMVL</t>
  </si>
  <si>
    <t>El riesgo propuesto puede suceder cuando no se realice a tiempo la priorización de segmentos viales por parte de la SMVL debido a la falta de disponibilidad de profesionales para ejecutar los diseños o evaluaciones estructurales y sus actividades asociadas (aforos, ensayos de laboratorio) lo cual ocasionaria retrasos en la ejecución de las obras e incumplimiento de las metas físicas de intervención de la UAERMV.</t>
  </si>
  <si>
    <t>Falta de tecnicos y profesionales suficientes para realizar los diseños o evalauciones estructurales y/o para hacer los conteos de tránsito (aforos) requeridos en la SMVL para el cumplimiento de sus metas de priorización.</t>
  </si>
  <si>
    <t>Atrasos y/o incumplimiento en las metas establecidas por la SMVL y la UAERMV.</t>
  </si>
  <si>
    <r>
      <t xml:space="preserve">El </t>
    </r>
    <r>
      <rPr>
        <b/>
        <sz val="9"/>
        <rFont val="Arial"/>
        <family val="2"/>
      </rPr>
      <t xml:space="preserve">colaborador designado </t>
    </r>
    <r>
      <rPr>
        <sz val="9"/>
        <rFont val="Arial"/>
        <family val="2"/>
      </rPr>
      <t xml:space="preserve">por el (la) Subdirector(a) de Mejoramiento de la Malla Vial Local </t>
    </r>
    <r>
      <rPr>
        <b/>
        <sz val="9"/>
        <rFont val="Arial"/>
        <family val="2"/>
      </rPr>
      <t>revisa</t>
    </r>
    <r>
      <rPr>
        <sz val="9"/>
        <rFont val="Arial"/>
        <family val="2"/>
      </rPr>
      <t xml:space="preserve"> </t>
    </r>
    <r>
      <rPr>
        <b/>
        <sz val="9"/>
        <rFont val="Arial"/>
        <family val="2"/>
      </rPr>
      <t>y compara</t>
    </r>
    <r>
      <rPr>
        <sz val="9"/>
        <rFont val="Arial"/>
        <family val="2"/>
      </rPr>
      <t xml:space="preserve"> </t>
    </r>
    <r>
      <rPr>
        <b/>
        <sz val="9"/>
        <rFont val="Arial"/>
        <family val="2"/>
      </rPr>
      <t xml:space="preserve">cuatrimestralmente en archivos de excel, </t>
    </r>
    <r>
      <rPr>
        <sz val="9"/>
        <rFont val="Arial"/>
        <family val="2"/>
      </rPr>
      <t>el listado de los colaboradores de la SMVL con las necesidades de personal definidas por la Subdirección, con el fin de corroborar que esten incluidos los profesionales suficientes para realizar las actividades que permitan entregar la priorización de segmentos a la SPI,</t>
    </r>
    <r>
      <rPr>
        <sz val="9"/>
        <color rgb="FF7030A0"/>
        <rFont val="Arial"/>
        <family val="2"/>
      </rPr>
      <t xml:space="preserve"> </t>
    </r>
    <r>
      <rPr>
        <sz val="9"/>
        <rFont val="Arial"/>
        <family val="2"/>
      </rPr>
      <t xml:space="preserve">llevando registro en la tabla de excel dispuesta para tal fin.
</t>
    </r>
    <r>
      <rPr>
        <b/>
        <sz val="9"/>
        <rFont val="Arial"/>
        <family val="2"/>
      </rPr>
      <t xml:space="preserve">En caso de que </t>
    </r>
    <r>
      <rPr>
        <sz val="9"/>
        <rFont val="Arial"/>
        <family val="2"/>
      </rPr>
      <t xml:space="preserve">no se encuentre incluido el personal suficiente se informará a través de un correo electrónico a el (la) Subdirector(a) de Mejoramiento de la Malla Vial Local, para que se incluya mas personal para realizar esta actividad llegado el caso. </t>
    </r>
    <r>
      <rPr>
        <b/>
        <sz val="9"/>
        <rFont val="Arial"/>
        <family val="2"/>
      </rPr>
      <t>El registro del</t>
    </r>
    <r>
      <rPr>
        <sz val="9"/>
        <rFont val="Arial"/>
        <family val="2"/>
      </rPr>
      <t xml:space="preserve"> control son los correos eléctronicos mencionados cuando aplique y el archivo adjunto donde se realizó la revisión. </t>
    </r>
  </si>
  <si>
    <t>Consulta al plan anual de adquisiciones de la UAERMV</t>
  </si>
  <si>
    <t>Pantallazo o archivo digital</t>
  </si>
  <si>
    <t>Colaborador designado por la SMVL.</t>
  </si>
  <si>
    <t>Anual</t>
  </si>
  <si>
    <t>PRIORIZACIONES REALIZADAS/META DE PRIORIZACIONES * 100%</t>
  </si>
  <si>
    <t>Convocar reunión interna de la SMVL, para evaluar y analizar la magnitud de las desviaciones presentadas y asignar tareas al equipo de la SMVL, encaminadas a corregir las desviaciones.</t>
  </si>
  <si>
    <t>Acta de reunión de la SMVL, que contenga las conclusiones y tareas para corregir las desviaciones.</t>
  </si>
  <si>
    <t>Un día</t>
  </si>
  <si>
    <t>Aumentó en las metas de la Entidad que demande una mayor cantidad de diseños a los previstos inicialmente por causa de convenios que suscriba la UAERMV con otras entidades.</t>
  </si>
  <si>
    <r>
      <t xml:space="preserve">El </t>
    </r>
    <r>
      <rPr>
        <b/>
        <sz val="9"/>
        <rFont val="Arial"/>
        <family val="2"/>
      </rPr>
      <t>colaborador designado</t>
    </r>
    <r>
      <rPr>
        <sz val="9"/>
        <rFont val="Arial"/>
        <family val="2"/>
      </rPr>
      <t xml:space="preserve"> por el (la) Subdirector(a) de Mejoramiento de la Malla Vial Local </t>
    </r>
    <r>
      <rPr>
        <b/>
        <sz val="9"/>
        <rFont val="Arial"/>
        <family val="2"/>
      </rPr>
      <t>revisa</t>
    </r>
    <r>
      <rPr>
        <sz val="9"/>
        <rFont val="Arial"/>
        <family val="2"/>
      </rPr>
      <t xml:space="preserve"> </t>
    </r>
    <r>
      <rPr>
        <b/>
        <sz val="9"/>
        <rFont val="Arial"/>
        <family val="2"/>
      </rPr>
      <t xml:space="preserve">trimestralmente, </t>
    </r>
    <r>
      <rPr>
        <sz val="9"/>
        <rFont val="Arial"/>
        <family val="2"/>
      </rPr>
      <t xml:space="preserve">el avance en las metas de priorización plasmadas en los indicadores de la SMVL, con el fin de </t>
    </r>
    <r>
      <rPr>
        <b/>
        <sz val="9"/>
        <rFont val="Arial"/>
        <family val="2"/>
      </rPr>
      <t>verificar</t>
    </r>
    <r>
      <rPr>
        <sz val="9"/>
        <rFont val="Arial"/>
        <family val="2"/>
      </rPr>
      <t xml:space="preserve"> que las metas no hayan aumentado o se hayan incumplido, dejando registro en un archivo de excel.
E</t>
    </r>
    <r>
      <rPr>
        <b/>
        <sz val="9"/>
        <rFont val="Arial"/>
        <family val="2"/>
      </rPr>
      <t xml:space="preserve">n </t>
    </r>
    <r>
      <rPr>
        <sz val="9"/>
        <rFont val="Arial"/>
        <family val="2"/>
      </rPr>
      <t xml:space="preserve">caso de que la meta aumente o se esté incumpliendo las metas de priorización, se distribuiran las tareas al equipo de la SMVL para dar prioridad a las actividades de diseño y se informará a través de un </t>
    </r>
    <r>
      <rPr>
        <b/>
        <sz val="9"/>
        <rFont val="Arial"/>
        <family val="2"/>
      </rPr>
      <t>correo</t>
    </r>
    <r>
      <rPr>
        <sz val="9"/>
        <rFont val="Arial"/>
        <family val="2"/>
      </rPr>
      <t xml:space="preserve"> electrónico a el (la) Subdirector(a) de Mejoramiento de la Malla Vial Local, para que se incluya mas personal para realizar esta actividad llegado el caso. El registro del control son los correos eléctronicos mencionados cuando aplique y el archivo adjunto donde se realizó la revisión. </t>
    </r>
  </si>
  <si>
    <t>Consulta a la página web de la UAERMV o en el portal SECOP o en el comité de planificación, producción e intervención</t>
  </si>
  <si>
    <t>Pantallazo o archivo digital o acta de comité</t>
  </si>
  <si>
    <t>Mensual</t>
  </si>
  <si>
    <t>Demoras en la entrega de resultados de los ensayos de laboratorio solicitados a la Subdirección Técnica de Producción e Intervención.</t>
  </si>
  <si>
    <r>
      <t>El</t>
    </r>
    <r>
      <rPr>
        <b/>
        <sz val="9"/>
        <rFont val="Arial"/>
        <family val="2"/>
      </rPr>
      <t xml:space="preserve"> colaborador designado</t>
    </r>
    <r>
      <rPr>
        <sz val="9"/>
        <rFont val="Arial"/>
        <family val="2"/>
      </rPr>
      <t xml:space="preserve"> por el (la) Subdirector(a) de Mejoramiento de la Malla Vial Local </t>
    </r>
    <r>
      <rPr>
        <b/>
        <sz val="9"/>
        <rFont val="Arial"/>
        <family val="2"/>
      </rPr>
      <t>revisa</t>
    </r>
    <r>
      <rPr>
        <sz val="9"/>
        <rFont val="Arial"/>
        <family val="2"/>
      </rPr>
      <t xml:space="preserve"> y analiza </t>
    </r>
    <r>
      <rPr>
        <b/>
        <sz val="9"/>
        <rFont val="Arial"/>
        <family val="2"/>
      </rPr>
      <t>mensualmente</t>
    </r>
    <r>
      <rPr>
        <sz val="9"/>
        <rFont val="Arial"/>
        <family val="2"/>
      </rPr>
      <t xml:space="preserve"> el avance de los diseños realizados por el grupo de especialistas de la SMVL, a través de un cuadro de control en archivo de Excel, así como las necesidades en materia de ensayos de laboratorio, con el fin de corroborar que no haya atrasos en dicha actividad,</t>
    </r>
    <r>
      <rPr>
        <b/>
        <sz val="9"/>
        <rFont val="Arial"/>
        <family val="2"/>
      </rPr>
      <t xml:space="preserve"> </t>
    </r>
    <r>
      <rPr>
        <sz val="9"/>
        <rFont val="Arial"/>
        <family val="2"/>
      </rPr>
      <t>dejando registro en una tabla excel.</t>
    </r>
    <r>
      <rPr>
        <b/>
        <sz val="9"/>
        <rFont val="Arial"/>
        <family val="2"/>
      </rPr>
      <t xml:space="preserve">
En caso de que</t>
    </r>
    <r>
      <rPr>
        <sz val="9"/>
        <rFont val="Arial"/>
        <family val="2"/>
      </rPr>
      <t xml:space="preserv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r>
  </si>
  <si>
    <t>Revisión de cuadro de control de diseños que contiene los ensayos de laboratorio solicitados.</t>
  </si>
  <si>
    <t>Archivo digital</t>
  </si>
  <si>
    <t>Inoportunidad en la entrega de los diagnósticos (actas de visita técnica) requereidos por la SMVL.</t>
  </si>
  <si>
    <t>El riesgo propuesto puede suceder cuando no se puedan realizar las visitas técnicas para realizar el diagnostico visual, por falta de personal para realizar dichas labores o por falta de vehiculos para que este personal se desplace al sitio de la visita técnica. Lo anterior generaria atrasos y/o incumplimiento en las metas establecidas por SMVL.</t>
  </si>
  <si>
    <t>Falta del personal suficiente para realizar los diagnosticos visuales requeridos en la SMVL para el cumplimiento de sus metas.</t>
  </si>
  <si>
    <t>Atrasos y/o incumplimiento en las metas establecidas por la SMVL.</t>
  </si>
  <si>
    <r>
      <t xml:space="preserve">El </t>
    </r>
    <r>
      <rPr>
        <b/>
        <sz val="9"/>
        <rFont val="Arial"/>
        <family val="2"/>
      </rPr>
      <t>colaborador designado</t>
    </r>
    <r>
      <rPr>
        <sz val="9"/>
        <rFont val="Arial"/>
        <family val="2"/>
      </rPr>
      <t xml:space="preserve"> por el (la) Subdirector(a) de Mejoramiento de la Malla Vial Local </t>
    </r>
    <r>
      <rPr>
        <b/>
        <sz val="9"/>
        <rFont val="Arial"/>
        <family val="2"/>
      </rPr>
      <t>revisa</t>
    </r>
    <r>
      <rPr>
        <sz val="9"/>
        <rFont val="Arial"/>
        <family val="2"/>
      </rPr>
      <t xml:space="preserve"> y analiza </t>
    </r>
    <r>
      <rPr>
        <b/>
        <sz val="9"/>
        <rFont val="Arial"/>
        <family val="2"/>
      </rPr>
      <t>mensualmente</t>
    </r>
    <r>
      <rPr>
        <sz val="9"/>
        <rFont val="Arial"/>
        <family val="2"/>
      </rPr>
      <t xml:space="preserve"> el avance de los diagnósticos visuales realizados por el grupo de profesionales de diagnostico, a través del aplicativo de consulta de SIGMA, con el fin de corroborar que no haya atrasos en dicha actividad,</t>
    </r>
    <r>
      <rPr>
        <sz val="9"/>
        <color rgb="FF7030A0"/>
        <rFont val="Arial"/>
        <family val="2"/>
      </rPr>
      <t xml:space="preserve"> </t>
    </r>
    <r>
      <rPr>
        <sz val="9"/>
        <rFont val="Arial"/>
        <family val="2"/>
      </rPr>
      <t>dejando registro en una tabla excel.
E</t>
    </r>
    <r>
      <rPr>
        <b/>
        <sz val="9"/>
        <rFont val="Arial"/>
        <family val="2"/>
      </rPr>
      <t xml:space="preserve">n caso de </t>
    </r>
    <r>
      <rPr>
        <sz val="9"/>
        <rFont val="Arial"/>
        <family val="2"/>
      </rPr>
      <t xml:space="preserve">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r>
  </si>
  <si>
    <t>Realizar y enviar por correo electrónico seguimiento mensual  de las visitas técnicas realizadas por el grupo de diagnóstico, de acuerdo a consulta en SIGMA.</t>
  </si>
  <si>
    <t>Correos electrónicos</t>
  </si>
  <si>
    <t>Falta de vehiculos para el dezplazamiento de los profesionales que realizan los diagnosticos visuales en campo.</t>
  </si>
  <si>
    <t xml:space="preserve">El colaborador designado por el (la) Subdirector(a) de Mejoramiento de la Malla Vial Local,  revisa semanalmente 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El registro del control son los correos eléctronicos mencionados. </t>
  </si>
  <si>
    <t>Enviar vía chat, semanalmente la programación de los vehiculos asignados a los profesionales de la SMVL.</t>
  </si>
  <si>
    <t>Chat de la SMVL</t>
  </si>
  <si>
    <t>Auxiliar, técnico o profesional designado por la SMVL.</t>
  </si>
  <si>
    <t>Semanal</t>
  </si>
  <si>
    <t>Disponibilidad insuficiente de vehículos, maquinaria, equipos y plantas industriales para suplir las necesidades de las diferentes dependencias de la entidad</t>
  </si>
  <si>
    <t xml:space="preserve">Al no existir disponibilidad suficiente de vehículos, maquinaria, equipos y plantas industriales, disminuye la capacidad operativa para los distintos procesos  de entidad, afectando el cumplimiento de las metas e interrumpiendo actividades. </t>
  </si>
  <si>
    <t>Mayor demanda de recursos frente a la capacidad disponible.</t>
  </si>
  <si>
    <t xml:space="preserve"> Disminución de la capacidad operativa para el proceso de intervención, afectando el cumplimiento de las metas de la Entidad e interrumpiendo actividades. </t>
  </si>
  <si>
    <t xml:space="preserve">Los supervisores de los contratos informan el avance de la ejecucion acordo a la demanda mensualmente, en mesa de trabajo se verifican los estados contractuales (cantidades ejecutadas, plazos del contrato, estado de avance y necesidades del servicio) por el Gerente de Produccion, generando trazabilidad mediante acta de reunion.
en caso de identificar variaciones en la ejecucion de los contratos se realizan ajustes a la capacidad ofertada (adiciones y/o prorrogas, nuevos contratos etc.) </t>
  </si>
  <si>
    <t>Alimentar base de datos de gestion contractual</t>
  </si>
  <si>
    <t>base de datos actualizada mensualmente</t>
  </si>
  <si>
    <t>Biviana Duitama</t>
  </si>
  <si>
    <t>mensualmente</t>
  </si>
  <si>
    <t>(No. de acciones realizadas/No de acciones programadas)/100%</t>
  </si>
  <si>
    <t>Escalar el estado de inventario disponibilidad a STPI
reprogramacion de los mantenimientos no ejecutados
Escalar la gestion ante aseguradora</t>
  </si>
  <si>
    <t>correo electronico</t>
  </si>
  <si>
    <t>Gerente de Produccion
Ingenieros de apoyo mantenimiento, Carlos Garzon/Cristian Muñoz
Jose Frade</t>
  </si>
  <si>
    <t>cuando se requiera</t>
  </si>
  <si>
    <t>Recursos  (vehículos, maquinaria, equipos y plantas industriales)  fuera de servicio por mantenimiento.</t>
  </si>
  <si>
    <t>El responsable designado por la Gerente de Produccion de la gestion del mantenimiento revisa el seguimiento de manera mensual de la programacion de mantenimiento de plantas industriales, vehículos y maquinaria de acuerdo a las varibles de control, dicho seguimiento se realiza en mesa de trabajo dejando acta de reunion  como evidencia  del seguimiento. 
De encontrar variaciones realiza las solicitudes de ajuste y reprogramación según los requerimientos del servicio y las metas de disponibilidad, quedando como evidencia el acta de reunion.</t>
  </si>
  <si>
    <t>Reportar novedades de programacion e mantenimineto en reunion de comite mensual</t>
  </si>
  <si>
    <t>acta de reunion de comite</t>
  </si>
  <si>
    <t>Carlos Garzon/Cristian Muñoz</t>
  </si>
  <si>
    <t>(cantidad de mantenimientos ejecutados/cantidad de mantenimientos programados)/100%</t>
  </si>
  <si>
    <t>Accidente que pueda causar un siniestro generando perdida parcial o total del bien.</t>
  </si>
  <si>
    <t xml:space="preserve">El Secretario Técnico del PESV delegado por el Gerente de Produccion  trimestralmente verifica el volumen de incidentes y accidentes presentados en el periodo de analisis y presenta ante el mesa de trabajo de vehiculos la base de datos PPMQ-DI-001. Base de datos comportamientos viales  la cual incluye datos de accidentalidad y de gestion de arreglo ante aseguradora y datos de excesos de velocidad dejando a través del acta de reunión  trazabilidad del análisis realizado.
Ante las ocurrencia  de siniestros o infracciones  hace gestión para  realizar capacitación a los conductores en los temas identificados como causas principales que generan los siniestros y para el arreglo del daño material escala la situación hasta la aplicación de las pólizas de seguro existentes para los equipos pertenecientes a la UMV. </t>
  </si>
  <si>
    <t>Re-capacitacion y re-inducciones PESV a personal involucrado en accidentes de tránsito.</t>
  </si>
  <si>
    <t>acta de re reunión de re-capacitaciones</t>
  </si>
  <si>
    <t>Eliana Caycedo</t>
  </si>
  <si>
    <t>trimestral</t>
  </si>
  <si>
    <t>re-capacitaciones ejecutadas / programadas. minimo 80%</t>
  </si>
  <si>
    <t xml:space="preserve">Inoportunidad en la entrega a la SPI de mezclas e insumos para las intervencines de la Unidad </t>
  </si>
  <si>
    <t>El desabastecimiento de mezclas e insumos para las obras de intervención debido al no suministro de materias primas e insumos por parte de los contratistas (proveedores) produce la suspensión de obras en la vía afectando la programación de obra, el cumplimiento de las metas de la Entidad e interrumpiendo actividades.</t>
  </si>
  <si>
    <t xml:space="preserve">Deficiencias en No programar el material e insumos suficientes para cumplir con las solicitudes realizadas. </t>
  </si>
  <si>
    <t>El no suministro de mezclas e insumos para las obras de intervención produce la suspensión de obras en la vía afectando la programación de obra, el cumplimiento de las metas de la Entidad e interrumpiendo actividades.</t>
  </si>
  <si>
    <t>El líder de producción (asignado por la Gerencia de Producción, según obligaciones contractuales ) verifica de manera trimestral  el  kardex de materiales PPMQ-DI-011  y la bitacora de producción PPMQ-DI-009 en la  que se registran los ingresos  de insumos y materias primas por bascula y los consumos vs el inventario disponible generando como trazabilidad las programaciones semanales de materiales que son solicitadas a los supervisores de contratos de los diferentes insumos requeridos para la producción, mediante el diligenicamiento del formato PPMQ-FM-039 solicitud interna y externa de materiales (en caso de aplicar este formato)
En caso de  presentarse alarmas ( por exceso de insumo o por faltante del mismo) respecto a las programaciones, el lider de producción, notificará a la supervisión del contrato las novedades presentadas.</t>
  </si>
  <si>
    <t>Alimentar base de datos produccion</t>
  </si>
  <si>
    <t>Escalar el estado de inventario a STPI</t>
  </si>
  <si>
    <t>gerente de produccion</t>
  </si>
  <si>
    <t>No suministro de materiales por parte de los contratistas</t>
  </si>
  <si>
    <t xml:space="preserve">El líder de producción (asignado por la Gerencia de Producción, según obligaciones contractuales) verifica de manera mensual junto con los  supervisores de los diferentes contratos, mediante mesas de trabajo para evaluar  el  avance de la ejecución  de los contratos. con el objetivo de alertar y generar los procesos contractuales de soporte para la continuidad del suministro de mezclas,dejando como trazabilidad de las mesas de trabajo concertadas,actas de reunión.
En éstos espacios de trabajo, En caso de presentarse  o identificar  novedades en los contratos se deberán realizar los ajustes a la capacidad ofertada ( adiciones y/o prorrogas, nuevos contratos etc.)  </t>
  </si>
  <si>
    <t>Deficiencias en la calidad de las obras ejecutadas.</t>
  </si>
  <si>
    <t>En los diferentes tipos de intervención que ejecuta la entidad, existen factores como materiales e insumos que podrían no cumplir especificaciones técnicas; alguna deficiencia en la operatividad de la maquinaria y equipo y un posible inadecuado seguimiento y control, de la ejecución de las actividades de obra, que podrían generar deficiencias en la calidad de las obras ejecutadas.</t>
  </si>
  <si>
    <t>Incumplimiento de lo establecido en los procedimientos,  instructivos y demás documentación asociada al proceso constructivo en las intervenciones.</t>
  </si>
  <si>
    <t>Obras que incumplen estandares de calidad, reprocesos y retrasos en las entregas, el no cumplimiento de metas propuestas por la Entidad, desgaste administrativo y financiero, sobrecostos en las intervenciones y generar imagen negativa de la UMV.</t>
  </si>
  <si>
    <r>
      <t xml:space="preserve">Los profesionales del </t>
    </r>
    <r>
      <rPr>
        <u/>
        <sz val="9"/>
        <rFont val="Arial"/>
        <family val="2"/>
      </rPr>
      <t>grupo de Calidad</t>
    </r>
    <r>
      <rPr>
        <sz val="9"/>
        <rFont val="Arial"/>
        <family val="2"/>
      </rPr>
      <t xml:space="preserve"> designados por el Gerente de Intervención serán los encargados de  </t>
    </r>
    <r>
      <rPr>
        <u/>
        <sz val="9"/>
        <rFont val="Arial"/>
        <family val="2"/>
      </rPr>
      <t>verificar</t>
    </r>
    <r>
      <rPr>
        <sz val="9"/>
        <rFont val="Arial"/>
        <family val="2"/>
      </rPr>
      <t xml:space="preserve">, elaborar las actas de visitas y consolidar </t>
    </r>
    <r>
      <rPr>
        <u/>
        <sz val="9"/>
        <rFont val="Arial"/>
        <family val="2"/>
      </rPr>
      <t>mensualmente</t>
    </r>
    <r>
      <rPr>
        <sz val="9"/>
        <rFont val="Arial"/>
        <family val="2"/>
      </rPr>
      <t xml:space="preserve"> el cumplimiento del proceso constructivo de acuerdo a la aplicación de los procedimientos,  instructivos y demás documentación asociados al proceso de intervención de la malla vial. Como </t>
    </r>
    <r>
      <rPr>
        <u/>
        <sz val="9"/>
        <rFont val="Arial"/>
        <family val="2"/>
      </rPr>
      <t>evidencia</t>
    </r>
    <r>
      <rPr>
        <sz val="9"/>
        <rFont val="Arial"/>
        <family val="2"/>
      </rPr>
      <t xml:space="preserve"> queda el Informe técnico de seguimiento a intervenciones radicado en la  Subdirección Técnica STPI.  
</t>
    </r>
    <r>
      <rPr>
        <u/>
        <sz val="9"/>
        <rFont val="Arial"/>
        <family val="2"/>
      </rPr>
      <t>En caso de no cumplir</t>
    </r>
    <r>
      <rPr>
        <sz val="9"/>
        <rFont val="Arial"/>
        <family val="2"/>
      </rPr>
      <t xml:space="preserve"> la aplicación de procedimientos,  instructivos y demás documentación del proceso constructivo, se planteará soluciones que deben ser implementadas de manera inmediata.</t>
    </r>
  </si>
  <si>
    <t>Realizar visita de inspección a los segmentos viales que se encuentran en ejecución, levantar el acta de visita de obra y consolidar información para ser presentada en el informe técnico de seguimiento a intervenciones.</t>
  </si>
  <si>
    <t>Informe técnico de seguimiento a intervenciones, incluyendo formatos de actas de visitas de obra.</t>
  </si>
  <si>
    <t>Gerente de Intrervención y profesional (es) desginado (s)</t>
  </si>
  <si>
    <t>01/01/2021 a 30/12/2021</t>
  </si>
  <si>
    <t>EFICACIA:
 Índice de cumplimiento actividades= (# de actividades cumplidas / # de actividades programadas) x 100</t>
  </si>
  <si>
    <t>Convocar en forma
extraordinaria un comité
para analizar y aplicar medidas
inmediatas que permitan cumplir con la programación de obra</t>
  </si>
  <si>
    <t xml:space="preserve">Acta de reunión firmada y verificación </t>
  </si>
  <si>
    <t>Gerente de Intervención</t>
  </si>
  <si>
    <t>1 semana</t>
  </si>
  <si>
    <t>Incumplimiento a especificaciones técnicas de materiales e insumos suministrados para las intervenciones.</t>
  </si>
  <si>
    <r>
      <t xml:space="preserve">Los profesionales del </t>
    </r>
    <r>
      <rPr>
        <u/>
        <sz val="9"/>
        <rFont val="Arial"/>
        <family val="2"/>
      </rPr>
      <t>grupo de Calidad</t>
    </r>
    <r>
      <rPr>
        <sz val="9"/>
        <rFont val="Arial"/>
        <family val="2"/>
      </rPr>
      <t xml:space="preserve"> designados por el Gerente de Intervención serán los encargados de  </t>
    </r>
    <r>
      <rPr>
        <u/>
        <sz val="9"/>
        <rFont val="Arial"/>
        <family val="2"/>
      </rPr>
      <t>verificar mensualmente</t>
    </r>
    <r>
      <rPr>
        <sz val="9"/>
        <rFont val="Arial"/>
        <family val="2"/>
      </rPr>
      <t xml:space="preserve"> los ensayos de laboratorio que se efectuarán con base en el Acuerdo de Servicio (GLAB-FM-129) entre la Gerencia de Intervención  y el Laboratorio. Como </t>
    </r>
    <r>
      <rPr>
        <u/>
        <sz val="9"/>
        <rFont val="Arial"/>
        <family val="2"/>
      </rPr>
      <t>evidencia</t>
    </r>
    <r>
      <rPr>
        <sz val="9"/>
        <rFont val="Arial"/>
        <family val="2"/>
      </rPr>
      <t xml:space="preserve"> queda el informe técnico de los Ensayos ejecutados, radicado mensualmente en la  Subdirección Técnica STPI .  
</t>
    </r>
    <r>
      <rPr>
        <u/>
        <sz val="9"/>
        <rFont val="Arial"/>
        <family val="2"/>
      </rPr>
      <t xml:space="preserve">En caso de encontrar </t>
    </r>
    <r>
      <rPr>
        <sz val="9"/>
        <rFont val="Arial"/>
        <family val="2"/>
      </rPr>
      <t>resultados de los ensayos de laboratorio, que no cumplen con las especificaciones, se dejara el segmento que no cumplió en observación y se realizará el seguimiento.</t>
    </r>
  </si>
  <si>
    <t>Realizar recopilación de información para consolidar el informe técnico de los ensayos ejecutados</t>
  </si>
  <si>
    <t>Informe técnico de los Ensayos ejecutados.</t>
  </si>
  <si>
    <t>una vez el</t>
  </si>
  <si>
    <t>Deficiencia en el funcionamiento de maquinaria, equipos y/o falta de experticia de los operarios.</t>
  </si>
  <si>
    <r>
      <t xml:space="preserve">Los </t>
    </r>
    <r>
      <rPr>
        <u/>
        <sz val="9"/>
        <rFont val="Arial"/>
        <family val="2"/>
      </rPr>
      <t>profesionales Ingenieros</t>
    </r>
    <r>
      <rPr>
        <sz val="9"/>
        <rFont val="Arial"/>
        <family val="2"/>
      </rPr>
      <t xml:space="preserve"> de apoyo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u/>
        <sz val="9"/>
        <rFont val="Arial"/>
        <family val="2"/>
      </rPr>
      <t xml:space="preserve">verifica semanalmente </t>
    </r>
    <r>
      <rPr>
        <sz val="9"/>
        <rFont val="Arial"/>
        <family val="2"/>
      </rPr>
      <t xml:space="preserve">el cumplimiento de las alertas emitidas; </t>
    </r>
    <r>
      <rPr>
        <u/>
        <sz val="9"/>
        <rFont val="Arial"/>
        <family val="2"/>
      </rPr>
      <t>En caso que no sean atendidas y resueltas</t>
    </r>
    <r>
      <rPr>
        <sz val="9"/>
        <rFont val="Arial"/>
        <family val="2"/>
      </rPr>
      <t xml:space="preserve"> de manera oportuna, se informará a la Gerencia de producción a través de un correo electrónico o en el comité.
Como </t>
    </r>
    <r>
      <rPr>
        <u/>
        <sz val="9"/>
        <rFont val="Arial"/>
        <family val="2"/>
      </rPr>
      <t>evidencia</t>
    </r>
    <r>
      <rPr>
        <sz val="9"/>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</si>
  <si>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No se investigan y no se resuelven oportunamente</t>
  </si>
  <si>
    <t>Consolidar los reportes presentados y sus seguimientos a través del informe de novedades de maquinaria y equipos</t>
  </si>
  <si>
    <t>Informe de novedades de maquinaria y equipos.</t>
  </si>
  <si>
    <t>riesgo</t>
  </si>
  <si>
    <t>Retrasos desde su iniciación, ejecución y terminación de la obra.</t>
  </si>
  <si>
    <t xml:space="preserve">En las diferentes intervenciones que ejecuta la entidad, se pueden presentar retrasos en su terminación,  lo cual puede generar sobrecostos,  el no cumplimiento de las metas propuestas por la Entidad, desgaste administrativo y financiero generando imagen negativa de la UMV. Produciendo investigaciones disciplinarias y posteriores sanciones. </t>
  </si>
  <si>
    <t>Falta de reacción a las alertas generadas durante el seguimiento a la programación</t>
  </si>
  <si>
    <t>Sobrecostos en las intervenciones, el no cumplimiento de metas propuestas por la Entidad, desgaste administrativo y financiero, generar imagen negativa de la UMV.</t>
  </si>
  <si>
    <r>
      <t xml:space="preserve">El </t>
    </r>
    <r>
      <rPr>
        <u/>
        <sz val="9"/>
        <rFont val="Arial"/>
        <family val="2"/>
      </rPr>
      <t>Gerente de Intervención revisa semanalmente</t>
    </r>
    <r>
      <rPr>
        <sz val="9"/>
        <rFont val="Arial"/>
        <family val="2"/>
      </rPr>
      <t xml:space="preserve"> el cumplimiento de la programación e informa al comité técnico  el avance del cumplimiento a lo programado, la meta misional, territorialización - ejecución y proyección de metas y de esta manera se toman desiciones. Como </t>
    </r>
    <r>
      <rPr>
        <u/>
        <sz val="9"/>
        <rFont val="Arial"/>
        <family val="2"/>
      </rPr>
      <t>evidencia</t>
    </r>
    <r>
      <rPr>
        <sz val="9"/>
        <rFont val="Arial"/>
        <family val="2"/>
      </rPr>
      <t xml:space="preserve"> queda el correo enviado que contiene el avance semanal del cumplimiento a lo programado donde se anexan  los cuadros de meta misional, territorialización - ejecución y proyección de metas.
</t>
    </r>
    <r>
      <rPr>
        <u/>
        <sz val="9"/>
        <rFont val="Arial"/>
        <family val="2"/>
      </rPr>
      <t>En caso de evidenciar</t>
    </r>
    <r>
      <rPr>
        <sz val="9"/>
        <rFont val="Arial"/>
        <family val="2"/>
      </rPr>
      <t xml:space="preserve"> retrasos el comité planteará soluciones que deben ser implementadas por  los profesionales designados para dar cumplimiento al programa de trabajo. </t>
    </r>
  </si>
  <si>
    <t>Realizar seguimiento a las programaciones periodicas que contienen el avance del cumplimiento.</t>
  </si>
  <si>
    <t>Actas de Comité y anexos</t>
  </si>
  <si>
    <t>1 semana
una vez el
riesgo
se materialice</t>
  </si>
  <si>
    <t>Cambios de diagnóstico en el terreno por condiciones actuales.</t>
  </si>
  <si>
    <r>
      <t xml:space="preserve">Los </t>
    </r>
    <r>
      <rPr>
        <u/>
        <sz val="9"/>
        <rFont val="Arial"/>
        <family val="2"/>
      </rPr>
      <t>profesionales Directores de Obra</t>
    </r>
    <r>
      <rPr>
        <sz val="9"/>
        <rFont val="Arial"/>
        <family val="2"/>
      </rPr>
      <t xml:space="preserve"> designados por el Gerente de Intervención son los encargados de </t>
    </r>
    <r>
      <rPr>
        <u/>
        <sz val="9"/>
        <rFont val="Arial"/>
        <family val="2"/>
      </rPr>
      <t>verificar</t>
    </r>
    <r>
      <rPr>
        <sz val="9"/>
        <rFont val="Arial"/>
        <family val="2"/>
      </rPr>
      <t xml:space="preserve"> </t>
    </r>
    <r>
      <rPr>
        <u/>
        <sz val="9"/>
        <rFont val="Arial"/>
        <family val="2"/>
      </rPr>
      <t>mensualmente</t>
    </r>
    <r>
      <rPr>
        <sz val="9"/>
        <rFont val="Arial"/>
        <family val="2"/>
      </rPr>
      <t xml:space="preserve"> que las condiciones del terreno para la ejecución permanezcan como las diagnósticadas inicialmente por la SMVL.
La </t>
    </r>
    <r>
      <rPr>
        <u/>
        <sz val="9"/>
        <rFont val="Arial"/>
        <family val="2"/>
      </rPr>
      <t>evidencia</t>
    </r>
    <r>
      <rPr>
        <sz val="9"/>
        <rFont val="Arial"/>
        <family val="2"/>
      </rPr>
      <t xml:space="preserve"> formato de verificación y la anotación en la bitácora.
</t>
    </r>
    <r>
      <rPr>
        <u/>
        <sz val="9"/>
        <rFont val="Arial"/>
        <family val="2"/>
      </rPr>
      <t>En caso de que</t>
    </r>
    <r>
      <rPr>
        <sz val="9"/>
        <rFont val="Arial"/>
        <family val="2"/>
      </rPr>
      <t xml:space="preserve"> las condiciones del terreno encontradas sean diferentes a las diagnósticadas inicialmente; se solicitara por correo a la SMVL realizar visita al segmento vial, para  su actualización </t>
    </r>
    <r>
      <rPr>
        <u/>
        <sz val="9"/>
        <rFont val="Arial"/>
        <family val="2"/>
      </rPr>
      <t>cuando se requiera</t>
    </r>
    <r>
      <rPr>
        <sz val="9"/>
        <rFont val="Arial"/>
        <family val="2"/>
      </rPr>
      <t>, de no ser atendida la solicitud  o resueltas de manera oportuna, se suspenden las actividades e informa al Subdirector de Mejoramiento por correo electrónico.</t>
    </r>
  </si>
  <si>
    <t>Realizar visita y consolidar los formatos de verificación de la actualización del diagnóstico a la SMVL por condiciones del terreno.</t>
  </si>
  <si>
    <t>Formato de verificación y la anotación en la bitácora.</t>
  </si>
  <si>
    <t>Imprevistos en el suministro de equipo, maquinaria e insumos</t>
  </si>
  <si>
    <r>
      <t xml:space="preserve">Los </t>
    </r>
    <r>
      <rPr>
        <u/>
        <sz val="9"/>
        <rFont val="Arial"/>
        <family val="2"/>
      </rPr>
      <t>profesionales Ingenieros de apoyo</t>
    </r>
    <r>
      <rPr>
        <sz val="9"/>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se </t>
    </r>
    <r>
      <rPr>
        <u/>
        <sz val="9"/>
        <rFont val="Arial"/>
        <family val="2"/>
      </rPr>
      <t xml:space="preserve">verifica semanalmente </t>
    </r>
    <r>
      <rPr>
        <sz val="9"/>
        <rFont val="Arial"/>
        <family val="2"/>
      </rPr>
      <t xml:space="preserve">el cumplimiento de las alertas emitidas; </t>
    </r>
    <r>
      <rPr>
        <u/>
        <sz val="9"/>
        <rFont val="Arial"/>
        <family val="2"/>
      </rPr>
      <t>En caso que no sean atendidas y resueltas</t>
    </r>
    <r>
      <rPr>
        <sz val="9"/>
        <rFont val="Arial"/>
        <family val="2"/>
      </rPr>
      <t xml:space="preserve"> de manera oportuna, se informará a la Gerencia de producción a través de un correo electrónico o en el comité.
Como </t>
    </r>
    <r>
      <rPr>
        <u/>
        <sz val="9"/>
        <rFont val="Arial"/>
        <family val="2"/>
      </rPr>
      <t>evidencia</t>
    </r>
    <r>
      <rPr>
        <sz val="9"/>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</si>
  <si>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Incumplimiento de la normativa, procedimientos y manuales ambiental, social y SST.  vigentes en la intervención de la malla vial</t>
  </si>
  <si>
    <t xml:space="preserve">En las actividades diarias que realiza la entidad, existen factores como desconocimiento en los lineamientos y procedimentales por parte de los colaboradores, así como deficiencia en el seguimiento y control de la aplicacion de los mismos que generarian incumpliento de la normativa vigente en materia ambiental, social y SST. </t>
  </si>
  <si>
    <t xml:space="preserve">Desconocimiento en los lineamientos y procedimientos ambientales, sociales y SST.  por parte de los colaboradores. </t>
  </si>
  <si>
    <t>Multas, sanciones o demandas contra la entidad, investigaciones disciplinarias</t>
  </si>
  <si>
    <r>
      <t xml:space="preserve">
</t>
    </r>
    <r>
      <rPr>
        <u/>
        <sz val="9"/>
        <rFont val="Arial"/>
        <family val="2"/>
      </rPr>
      <t>Los profesionales</t>
    </r>
    <r>
      <rPr>
        <sz val="9"/>
        <rFont val="Arial"/>
        <family val="2"/>
      </rPr>
      <t xml:space="preserve"> designados por el gerente GASA (Coordinadores (as)  Ambiental, Social y SST) </t>
    </r>
    <r>
      <rPr>
        <u/>
        <sz val="9"/>
        <rFont val="Arial"/>
        <family val="2"/>
      </rPr>
      <t>verificarán mensualmente</t>
    </r>
    <r>
      <rPr>
        <sz val="9"/>
        <rFont val="Arial"/>
        <family val="2"/>
      </rPr>
      <t xml:space="preserv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t>
    </r>
    <r>
      <rPr>
        <u/>
        <sz val="9"/>
        <rFont val="Arial"/>
        <family val="2"/>
      </rPr>
      <t>evidencia</t>
    </r>
    <r>
      <rPr>
        <sz val="9"/>
        <rFont val="Arial"/>
        <family val="2"/>
      </rPr>
      <t xml:space="preserve"> será el analisis, como producto de los resultados de las evaluaciones aplicadas. 
</t>
    </r>
    <r>
      <rPr>
        <u/>
        <sz val="9"/>
        <rFont val="Arial"/>
        <family val="2"/>
      </rPr>
      <t>En caso de que</t>
    </r>
    <r>
      <rPr>
        <sz val="9"/>
        <rFont val="Arial"/>
        <family val="2"/>
      </rPr>
      <t xml:space="preserve"> los resultados de la evaluación no superen el 70% se brindará apoyo personalizado. 
 </t>
    </r>
  </si>
  <si>
    <t xml:space="preserve">Realizar las sensibilizaciones programadas en Cronograma aprobado por el Gerente GASA al inicio de la vigencia </t>
  </si>
  <si>
    <t xml:space="preserve">Formato Acta de Reunión </t>
  </si>
  <si>
    <t xml:space="preserve">Gerencia GASA </t>
  </si>
  <si>
    <t>4/01/2021 a 30/12/2021</t>
  </si>
  <si>
    <t xml:space="preserve">Elaboración de Plan de Mejoramiento </t>
  </si>
  <si>
    <t>Plan de mejoramiento ejecutado</t>
  </si>
  <si>
    <t>Gerente GASA</t>
  </si>
  <si>
    <t>1 semana,
una vez el
riesgo
se materialice</t>
  </si>
  <si>
    <t xml:space="preserve">Deficiencia en el seguimiento y control de la aplicación de los lineamientos ambiental, social y SST.  en las intervenciones de la Entidad. </t>
  </si>
  <si>
    <r>
      <rPr>
        <u/>
        <sz val="9"/>
        <rFont val="Arial"/>
        <family val="2"/>
      </rPr>
      <t>Los profesionales</t>
    </r>
    <r>
      <rPr>
        <sz val="9"/>
        <rFont val="Arial"/>
        <family val="2"/>
      </rPr>
      <t xml:space="preserve"> designados por el gerente GASA (Coordinadores (as)  Ambientales, Sociales y SST), </t>
    </r>
    <r>
      <rPr>
        <u/>
        <sz val="9"/>
        <rFont val="Arial"/>
        <family val="2"/>
      </rPr>
      <t>revisarán semanalmente</t>
    </r>
    <r>
      <rPr>
        <sz val="9"/>
        <rFont val="Arial"/>
        <family val="2"/>
      </rPr>
      <t xml:space="preserve"> la correcta implementación de los procedimientos y el adecuado diligenciamiento de los formatos asociados a los mismos; las  </t>
    </r>
    <r>
      <rPr>
        <u/>
        <sz val="9"/>
        <rFont val="Arial"/>
        <family val="2"/>
      </rPr>
      <t>evidencias</t>
    </r>
    <r>
      <rPr>
        <sz val="9"/>
        <rFont val="Arial"/>
        <family val="2"/>
      </rPr>
      <t xml:space="preserve"> serán las actas de reunión de las revisiones.
</t>
    </r>
    <r>
      <rPr>
        <u/>
        <sz val="9"/>
        <rFont val="Arial"/>
        <family val="2"/>
      </rPr>
      <t>En el caso que se</t>
    </r>
    <r>
      <rPr>
        <sz val="9"/>
        <rFont val="Arial"/>
        <family val="2"/>
      </rPr>
      <t xml:space="preserve"> identifiquen anomalías, se procede a informar al supervisor del contrato para tomar las medidas correctivas necesarias. </t>
    </r>
  </si>
  <si>
    <t>Comités de seguimiento social, ambiental y SST</t>
  </si>
  <si>
    <t xml:space="preserve">Registro Fotográfico y Acta de Reunión </t>
  </si>
  <si>
    <t xml:space="preserve">Inadecuada implementación de las medidas de control ambiental, social y sst en los frentes de obra. </t>
  </si>
  <si>
    <r>
      <rPr>
        <u/>
        <sz val="9"/>
        <rFont val="Arial"/>
        <family val="2"/>
      </rPr>
      <t>Los profesionales</t>
    </r>
    <r>
      <rPr>
        <sz val="9"/>
        <rFont val="Arial"/>
        <family val="2"/>
      </rPr>
      <t xml:space="preserve"> designados por le gerente GASA (Coordinadores (as)  Ambiental, Social y SST) realizarán al menos 2 visitas de seguimiento </t>
    </r>
    <r>
      <rPr>
        <u/>
        <sz val="9"/>
        <rFont val="Arial"/>
        <family val="2"/>
      </rPr>
      <t>al mes</t>
    </r>
    <r>
      <rPr>
        <sz val="9"/>
        <rFont val="Arial"/>
        <family val="2"/>
      </rPr>
      <t xml:space="preserve"> a los Frentes de Obra para validar la correcta implementación de los controles ambientales, sociales y SST. 
Lo anterior se </t>
    </r>
    <r>
      <rPr>
        <u/>
        <sz val="9"/>
        <rFont val="Arial"/>
        <family val="2"/>
      </rPr>
      <t>evidenciará</t>
    </r>
    <r>
      <rPr>
        <sz val="9"/>
        <rFont val="Arial"/>
        <family val="2"/>
      </rPr>
      <t xml:space="preserve"> por medio de registro fotográfico de las visitas a los frentes de obra realizadas por los  coordinadores de GASA. 
</t>
    </r>
    <r>
      <rPr>
        <u/>
        <sz val="9"/>
        <rFont val="Arial"/>
        <family val="2"/>
      </rPr>
      <t>En el caso que se</t>
    </r>
    <r>
      <rPr>
        <sz val="9"/>
        <rFont val="Arial"/>
        <family val="2"/>
      </rPr>
      <t xml:space="preserve"> identifiquen anomalías, se procede a informar al supervisor del contrato para tomar las medidas correctivas necesarias. </t>
    </r>
  </si>
  <si>
    <t xml:space="preserve">Realizar de manera mensual un informe de parte del coordinador de cada área dirigido al Gerente GASA. </t>
  </si>
  <si>
    <t xml:space="preserve">Informe en word con resultados de las visitas. </t>
  </si>
  <si>
    <t>Indisponibilidad de los equipos de computo usuario final.</t>
  </si>
  <si>
    <t>Puede suceder que por diferentes motivos deje de funcionar un equipo de computo o no se pueda ingresar, en consecuencia no se podria acceder a la informacion que contiene este</t>
  </si>
  <si>
    <t>Equipos de computo.</t>
  </si>
  <si>
    <t>Daños al sistema por Falta de mantenimiento preventivo.</t>
  </si>
  <si>
    <t>1.Los usuarios no podran iniciar sesion en los equipos.
2.  Imposibilidad de acceder a la informacion almacenada en los equipos de computo
3. Lentitud en los procesos del sistema operativo y aplicaciones.
4. Vulnerabilidad del sistema operativo por falta de actualizaciones.
5, No se podra acceder al sistema por daño en las configuraciones o servicios principales</t>
  </si>
  <si>
    <t>El Líder del grupo de infraestructura designado por la Secretaria General, cada cuatro meses deber revisar el cumplimiento del plan de mantenimiento, mediante el diligenciamiento de la bitacora de equipos de computo, en donde se podra evidenciar en que sedes y a cuales equipos se les realizo mantenimiento preventivo, en caso de que se evidencie que los mantenimientos no se realicen en los tiempos establecidos se escalara via correo electronico al proveedor para programacion de la nueva fecha la cual no puede pasar mas de una semana.
Evidencia:bitacora de equipos de computo y correo electronico en el caso que aplique</t>
  </si>
  <si>
    <t>Seguimiento al cumplimiento del plan de mantenimiento.</t>
  </si>
  <si>
    <t>Bitacora de equipos de computo</t>
  </si>
  <si>
    <t>Mesa de ayuda</t>
  </si>
  <si>
    <t>No. Mantenimentos realizados / nro Mantenimentos programados )* 100</t>
  </si>
  <si>
    <t>Reprogramar la ejecucion de los mantenimientos preventivos, los cuales no deben superar una semana.</t>
  </si>
  <si>
    <t>Bitacora de equipos de computo.
Correo electronico</t>
  </si>
  <si>
    <t>Mesa de Ayuuda</t>
  </si>
  <si>
    <t>Cuando se materializa el riesgo</t>
  </si>
  <si>
    <t>Falta de actualizaciones en el sistema operativo.</t>
  </si>
  <si>
    <t>El grupo de mesa de ayuda se encargara del seguimiento a las actualizaciones del sistema operativo de los equipos de computo.</t>
  </si>
  <si>
    <t>Total Equipos actualizados / equipos a actualizar * 100</t>
  </si>
  <si>
    <t>Actualizar manualmente el sistema operativo y escalar al especialista elservidores el error evidenciado</t>
  </si>
  <si>
    <t>N.A</t>
  </si>
  <si>
    <t>Asegurar la contratación de la empresa de vigilancia en la que se incluya la implementación del circuito cerrado de televisión, el monitoreo en las entregas de materiales y el control en las entradas y salidas de la Entidad.</t>
  </si>
  <si>
    <t>Almacenista General</t>
  </si>
  <si>
    <t>Permanente</t>
  </si>
  <si>
    <t>1 contrato vigente</t>
  </si>
  <si>
    <t xml:space="preserve">Inadecuada asignación de los riesgos a los procesos contractuales  </t>
  </si>
  <si>
    <t>Por la existencia de errores o imprecisión del área solicitante, para adelantar un contrato sin haber considerado los riesgos asociados al mismo, se pueden generar consecuencias imprevisibles que afecten las etapas de precontratación, contratación y ejecución del contrato.</t>
  </si>
  <si>
    <t>ORFEO</t>
  </si>
  <si>
    <t xml:space="preserve">Desconocimiento del procedimiento que contiene el paso a paso para la asignación, tipificación e identificación de los riesgos </t>
  </si>
  <si>
    <t>Posibles aperturas de investigaciones disciplinarias, penales y fiscales.</t>
  </si>
  <si>
    <t xml:space="preserve">R2-C1
El servidor público o contratista (profesional) designado por la Secretaria General, que lidera el "Equipo precontractual y de estructuración" del proceso Gestión Contractual, cuando se adelante un proceso contractual, validará que la información que se registra en la matriz de riesgos del mismo, cumpla con los procedimientos de Colombia Compra Eficiente, con el objetivo de mitigar los impactos que puedan generarse y evitar que se materialicen riesgos en la contratación que afecten las etapas de precontratación, contratación y ejecución del contrato. Como evidencia en el aplicativo ORFEO se dejará el registro de notas de los riesgos de cada proceso contractual para la definición de la matriz de riesgos de cada uno.
En caso de que se evidencie que no se cumple, se realizará una mesa de trabajo para revisar el alcance y la metodología a emplear frente al establecimiento de los riesgos del proceso contractual, en la que se cuente con la participación del estructurador técnico de la dependencia generadora de la necesidad y del estructurador económico. Como evidencia:  el acta correspondiente de la mesa de trabajo efectuada.
</t>
  </si>
  <si>
    <t>Registro de los borradores de cada proceso contractual, en notas consignadas en el ORFEO para definir la matriz de riesgos contractuales en mesa de trabajo.</t>
  </si>
  <si>
    <t>Notas consignadas en el aplicativo ORFEO de cada proceso contractual sobre riesgos</t>
  </si>
  <si>
    <t>Líder del "Equipo precontractual y de estructuración"</t>
  </si>
  <si>
    <t># de procesos contractuales con notas registradas de riesgos en el aplicativo ORFEO trimestrales / # contratos suscritos en el trimestre</t>
  </si>
  <si>
    <t>Realizar autoevaluación respecto de  la materialización del riesgo y consignar un plan de mejoramiento</t>
  </si>
  <si>
    <t>Plan de mejoramiento</t>
  </si>
  <si>
    <t>Líder del equipo de estructuración del proceso de Gestión Contractual</t>
  </si>
  <si>
    <t>cuando se materialice el riesgo</t>
  </si>
  <si>
    <t>Ausencia de un control documentado que permita verificar las revisiones y ajustes realizados a la matriz de riesgos</t>
  </si>
  <si>
    <t>Deterioro de la imagen de la entidad y perdida de confianza en la Institución.</t>
  </si>
  <si>
    <t>R2-C2
El servidor público o contratista (profesional) designado por la Secretaria General, que lidera el "Equipo precontractual y de estructuración" del proceso Gestión Contractual, antes de aprobar los documentos definitivos de un proceso de selección, validará que se elaboró la matriz de riesgos de conformidad con el formato GCON: "ANÁLISIS DE RIESGOS CONTRACTUALES" vigente y con los lineamientos de la mesa de trabajo de estructuración.  Como evidencia: actas de las mesas de trabajo registradas para la aprobación de la matriz de riesgos de los procesos contractuales.
En caso de evidenciar que no se cumplió con el procedimiento, se desarrollará una mesa de trabajo obligatoria en la que se formulen los ajustes en conjunto con el estructurador. Como evidencia: actas de la mesas de trabajo de estructuración donde se validan los ajustes.</t>
  </si>
  <si>
    <t>Verificar y mantener el seguimiento de los riesgos asociados a cada proceso de contratación</t>
  </si>
  <si>
    <t>actas registradas para la aprobación de la matriz de riesgos de los procesos contractuales</t>
  </si>
  <si>
    <t># de actas registradas para la aprobación de la matriz de riesgos de los procesos contractuales / # contratos suscritos en el trimestre</t>
  </si>
  <si>
    <t>Incumplimiento de los términos legales pactados para la liquidación de los contratos o convenios</t>
  </si>
  <si>
    <t xml:space="preserve">Debido a las demoras en la consolidación de la información y elaboración del proyecto de acta de liquidación por parte del supervisor o interventor, en la Secretaria General no se alcanzan a cumplir  los trámites de verificación y firmas correspondientes. </t>
  </si>
  <si>
    <t>Expedientes contractuales - ORFEO</t>
  </si>
  <si>
    <t xml:space="preserve">1. Manejo inadecuado de los datos o información por parte de los usuarios responsables. </t>
  </si>
  <si>
    <t>Perdida de competencia para liquidar y de oportunidades para adelantar acciones administrativas, legales o judiciales en favor de los intereses de la entidad.</t>
  </si>
  <si>
    <t xml:space="preserve">R3-C1
El servidor público o contratista (profesional) designado por la Secretaria General del proceso GCON-Precontractual, cada vez que se realice el perfeccionamiento del contrato (firma por las partes) y según especificaciones del estudio previo, elaborará el formato de referencia cruzada para evitar la duplicidad de archivos o la eliminación de los mismos, verificando que este cumpla con la totalidad de los actos administrativos publicados tanto en el SECOP como en el expediente contractual en ORFEO.  Como evidencia: Formato de referencia cruzada diligenciado de cada proceso contractual.
En caso de verificar que no se diligencia el formato de referencia cruzada o no mantener los expedientes debidamente organizados se notifica al colaborador del proceso GCON encargado del expediente contractual. Como evidencia: el correo electrónico institucional al abogado colaborador del proceso GCON para que incluya los documentos del expediente contractual faltantes, evidenciados en la referencia cruzada
</t>
  </si>
  <si>
    <t>fuerte</t>
  </si>
  <si>
    <t>Formato de referencia cruzada diligenciado de cada proceso contractual</t>
  </si>
  <si>
    <t xml:space="preserve">Formato de referencia cruzada </t>
  </si>
  <si>
    <t>profesional designado</t>
  </si>
  <si>
    <t># registros de formatos de referencias cruzadas</t>
  </si>
  <si>
    <t>Inicio de las acciones disciplinarias, administrativas o legales según sea el caso.</t>
  </si>
  <si>
    <t>Actuación disciplinaria</t>
  </si>
  <si>
    <t xml:space="preserve">Secretaria General </t>
  </si>
  <si>
    <t xml:space="preserve">2.  Desconocimiento del procedimiento para el adecuado manejo de los datos o información por parte de los usuarios responsables. </t>
  </si>
  <si>
    <t>R3-C2
El servidor público o contratista (profesional) designado por la Secretaria General del proceso de Gestión Contractual, verificará cada vez que se diligencia la información del formato de la referencia cruzada,  para el manejo de los expedientes contractuales, y la información contractual registrada en la base de datos de contratación o aplicativo dispuesto para tal fin, incluya: fechas de inicio, terminación, estado contractual y fechas de vencimiento de términos de liquidación, con el fin de mantener control sobre la información y generar alertas a los supervisores e interventores de contratos. Como evidencia: base de datos de contratación, actualizada, como activo de información del proceso Gestión Contractual.
En caso de evidenciarse información faltante o imprecisa, se procederá a remitir comunicación mediante correo electrónico o memorando al supervisor o interventor, para lo de su competencia. Como evidencia el correo electrónico remitido al supervisor o interventor.</t>
  </si>
  <si>
    <t>Mantener actualizada la base de datos del proceso GCON</t>
  </si>
  <si>
    <t>base de datos actualizada</t>
  </si>
  <si>
    <t>Servidor público o contratistas encargado  de la base de datos de contratos</t>
  </si>
  <si>
    <t>Una Base de Datos de Procesos Contractuales actualizada</t>
  </si>
  <si>
    <t>Elaboración del formato Constacia de estado y balance financiero de contrato o convenio no liquidado GCON-FM-047 V.3</t>
  </si>
  <si>
    <t>Formato Constacia de estado y balance financiero de contrato o convenio no liquidado GCON-FM-047 V.3</t>
  </si>
  <si>
    <t>Aplicación incorrecta de la normativa en cada una de las etapas de la gestión financiera.</t>
  </si>
  <si>
    <t>Se pueden presentar faltas normativas en el desarrollo de las diferentes actividades del proceso financiero debido a las diversas interpretaciones que se puedan dar a las normas y a la falta de capacitación o no atender los cambios normativos, lo cual puede ocasionar reprocesos, correcciones, reclamaciones, sanciones de tipo legal y hallazgos fiscales para la entidad.</t>
  </si>
  <si>
    <t xml:space="preserve">1. Falta de capacitación y diferentes interpretaciones sobre la normatividad vigente.
</t>
  </si>
  <si>
    <t xml:space="preserve">1. Reprocesos y/o correcciones.
2. Realizar anotaciones a los estados financieros por errores.
3. Sanciones de tipo disciplinario fiscal y penal.
4. Hallazgos fiscales.
5. Mala imagen institucional.
</t>
  </si>
  <si>
    <t xml:space="preserve">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De acuerdo, a la fecha de aplicación y sus implicaciones el funcionario o contratista expondrá la norma en la reunión bimestral del proceso o se solicitará al profesional Especializado citar a reunión prioritaria, para determinar como se hará su aplicación.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en caso de proceder, las actualizaciones de los documentos relacionados o soporte de la aplicación de las normas, se conservarán como evidencia de la aplicación del control. </t>
  </si>
  <si>
    <t xml:space="preserve">
Asegurar que se realicen los cambios a nivel sistema o documentación por los cambios normativos</t>
  </si>
  <si>
    <t>Soportes de Mesa de trabajo  y/o Solicitudes a mesa de ayuda</t>
  </si>
  <si>
    <t xml:space="preserve">Profesional Especializado de Financiera.
</t>
  </si>
  <si>
    <t>Trimestralmente</t>
  </si>
  <si>
    <t xml:space="preserve">
Número de Temas analizados </t>
  </si>
  <si>
    <t>Devolución del trámite al punto donde se presento la inconsistencia y realización de la corrección.</t>
  </si>
  <si>
    <t>Documentación asociada al caso.</t>
  </si>
  <si>
    <t xml:space="preserve">Profesional Especializado de Financiera
</t>
  </si>
  <si>
    <t>Cuando ocurra el evento.</t>
  </si>
  <si>
    <t>2. No atender las Circulares y Resoluciones emitidas por la Secretaría de Hacienda Distrital y demás autoridades financieras Distritales</t>
  </si>
  <si>
    <t>Bimestralmente los profesionales del proceso de Gestión Financiera en mesa de trabajo socializarán la aplicación de la normatividad vigente, con el propósito de evidenciar cambios normativos y/o diferencias en la interpretación de la aplicación de la norma. En caso de encontrar inconsistencias en la aplicación de la norma al interior de la Entidad, se procede a elevar consultas a los entes rectores en materia financiera o a solicitar el desarrollo de capacitaciones frente a los temas particulares. Como evidencia de la ejecución del control de la actividad realizada se dejarán las actas de reunión o notas de la reunión, los oficios de solicitud de consulta o de capacitación y las normas revisadas en la reunión.</t>
  </si>
  <si>
    <r>
      <rPr>
        <sz val="9"/>
        <rFont val="Arial"/>
        <family val="2"/>
      </rPr>
      <t>Inoportunidad y/o imprecisión en la entrega de la información por parte de las áreas que intervienen en el proceso contable</t>
    </r>
    <r>
      <rPr>
        <sz val="9"/>
        <color rgb="FFFF0000"/>
        <rFont val="Arial"/>
        <family val="2"/>
      </rPr>
      <t xml:space="preserve">
 </t>
    </r>
  </si>
  <si>
    <t>El desconocimiento del Manual de Políticas Contables, la falta de análisis y el incumplimiento de las fechas establecidas para la entrega de la información al área contable, puede ocasionar reprocesos, imprecisión en la información registrada en los estados financieros  e incumplimiento en la presentación a los entes de control</t>
  </si>
  <si>
    <t>1.  El desconocimiento del Manual de Políticas Contables de la UAERMV o la falta de análisis de la información
2. Incumplimiento de las fechas establecidas para la entrega de la información por parte de los servidores y colaboradores.</t>
  </si>
  <si>
    <r>
      <rPr>
        <b/>
        <sz val="9"/>
        <rFont val="Arial"/>
        <family val="2"/>
      </rPr>
      <t>1</t>
    </r>
    <r>
      <rPr>
        <sz val="9"/>
        <rFont val="Arial"/>
        <family val="2"/>
      </rPr>
      <t xml:space="preserve">. Inconsistencias en la información contable
</t>
    </r>
    <r>
      <rPr>
        <b/>
        <sz val="9"/>
        <rFont val="Arial"/>
        <family val="2"/>
      </rPr>
      <t>2.</t>
    </r>
    <r>
      <rPr>
        <sz val="9"/>
        <rFont val="Arial"/>
        <family val="2"/>
      </rPr>
      <t xml:space="preserve"> Incumplimiento en las fechas fijadas por los entes de control
</t>
    </r>
    <r>
      <rPr>
        <b/>
        <sz val="9"/>
        <rFont val="Arial"/>
        <family val="2"/>
      </rPr>
      <t>3.</t>
    </r>
    <r>
      <rPr>
        <sz val="9"/>
        <rFont val="Arial"/>
        <family val="2"/>
      </rPr>
      <t xml:space="preserve"> Devolución de la información
</t>
    </r>
    <r>
      <rPr>
        <b/>
        <sz val="9"/>
        <rFont val="Arial"/>
        <family val="2"/>
      </rPr>
      <t>4.</t>
    </r>
    <r>
      <rPr>
        <sz val="9"/>
        <rFont val="Arial"/>
        <family val="2"/>
      </rPr>
      <t xml:space="preserve"> Reproceso de la información
</t>
    </r>
    <r>
      <rPr>
        <b/>
        <sz val="9"/>
        <rFont val="Arial"/>
        <family val="2"/>
      </rPr>
      <t>5</t>
    </r>
    <r>
      <rPr>
        <sz val="9"/>
        <rFont val="Arial"/>
        <family val="2"/>
      </rPr>
      <t xml:space="preserve">.Falta de información que afecta los reportes contables.                          </t>
    </r>
    <r>
      <rPr>
        <b/>
        <sz val="9"/>
        <rFont val="Arial"/>
        <family val="2"/>
      </rPr>
      <t>6.</t>
    </r>
    <r>
      <rPr>
        <sz val="9"/>
        <rFont val="Arial"/>
        <family val="2"/>
      </rPr>
      <t xml:space="preserve"> Sanciones disciplinarias</t>
    </r>
  </si>
  <si>
    <t>Socialización del Manual de Políticas Contables, del Manual Operativo y de la Circular Para la Presentación de la Información Contable</t>
  </si>
  <si>
    <t>Asistencia a Mesa de trabajo con las áreas que intervienen en el proceso contable
Correos Electrónicos de la UMV Informa</t>
  </si>
  <si>
    <t>Profesional Especializado área Contable</t>
  </si>
  <si>
    <t>Semestral</t>
  </si>
  <si>
    <t>Socialización realizada</t>
  </si>
  <si>
    <t>Realizar la corrección de la información contable reportada y cargarla nuevamente en los aplicativos de la Contaduría General de la Nación y Bogotá Consolida</t>
  </si>
  <si>
    <t>Información corregida cargada en los aplicativos</t>
  </si>
  <si>
    <t xml:space="preserve">Trimestralmente el Profesional Especializado por medio de correo electrónico recuerda a las áreas el cumplimiento de las fechas de reporte establecidas en la circular para la presentación de la información contable. En caso de no recibir la información en la fecha establecida esta será registrada en el siguiente mes, informando al área dicha situación. Como evidencia se conservan los correos de solicitud y la circular anual de presentación de la información contable. </t>
  </si>
  <si>
    <t>Pérdida de recursos financieros administrados por la UAERMV</t>
  </si>
  <si>
    <t>Situaciones como la falta del control de los saldos e inconsistencias en la aplicación del protocolo de seguridad y de condiciones de manejo de las cuentas bancarias pueden ocasionar la pérdida de recursos financieros administrados por la UAERMV por el incumplimiento de procedimientos, originando la pérdida de recursos públicos y de investigaciones disciplinarias y/o fiscales.</t>
  </si>
  <si>
    <r>
      <t xml:space="preserve">1. </t>
    </r>
    <r>
      <rPr>
        <b/>
        <sz val="9"/>
        <color theme="1"/>
        <rFont val="Arial"/>
        <family val="2"/>
      </rPr>
      <t>Falta de control en los saldos de las cuentas bancarias.</t>
    </r>
    <r>
      <rPr>
        <b/>
        <sz val="9"/>
        <color rgb="FFFF0000"/>
        <rFont val="Arial"/>
        <family val="2"/>
      </rPr>
      <t xml:space="preserve"> </t>
    </r>
    <r>
      <rPr>
        <b/>
        <sz val="9"/>
        <rFont val="Arial"/>
        <family val="2"/>
      </rPr>
      <t xml:space="preserve">                                   
 2. Falta de un protocolo para las condiciones de manejo de las cuentas bancarias documentado </t>
    </r>
  </si>
  <si>
    <t>1. Incumplimiento de procedimientos. 
2. Investigaciones disciplinarias y fiscales 
3. Pérdida de recurso públicos</t>
  </si>
  <si>
    <t xml:space="preserve">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
</t>
  </si>
  <si>
    <t>Contar con un Protocolo bancario de seguridad</t>
  </si>
  <si>
    <t>Protocolo</t>
  </si>
  <si>
    <t>Anualmente</t>
  </si>
  <si>
    <t>Protocolo aprobado</t>
  </si>
  <si>
    <t>Realizar el reporte correspondiente para dar inicio a las investigaciones a que hubiera lugar</t>
  </si>
  <si>
    <t>Correo electrónico reportando el caso</t>
  </si>
  <si>
    <t>Cada vez que se ordene un pago con una orden de pago previamente revisada y aprobada, el Contratista designado del área de Tesorería realiza el cargue en el portal bancario por medio del computador de propiedad de la entidad asignado al área, a través de conexión VPN, teniendo en cuenta el rol establecido utilizando la clave y el token personal, para la revisión y aprobación del desembolso en la cuenta del proveedor o contratista. Una vez que se efectué el cargue y la validación, la Tesorera o quién haga sus veces, actualizará el proceso de acuerdo al rol establecido en el portal bancario, a través del computador de la entidad asignado, utilizando el token y la clave personal, con el propósito de cumplir con las obligaciones adquiridas y que el proceso cargado en el portal bancario corresponda al indicado en la orden de pago. En caso de encontrar inconsistencias el pago se rechaza y se debe validar nuevamente la información. La aplicación del control se evidencia en el estado del pago "exitoso", la disminución del saldo en el banco y de ser el caso, rechazo del pago.</t>
  </si>
  <si>
    <t>Utilización de la póliza de responsabilidad financiera que ampare sobre los
actos de los servidores públicos asignados a la Tesorería</t>
  </si>
  <si>
    <t>Póliza de manejo</t>
  </si>
  <si>
    <t>Profesional Especializado de Financiera.</t>
  </si>
  <si>
    <t>Póliza de manejo anual adquirida</t>
  </si>
  <si>
    <t>Reporte del caso al Supervisor del Programa de Seguros para solicitar realizar la reclamación</t>
  </si>
  <si>
    <t>Memorando con la notificación del caso solicitando realizar la reclamación</t>
  </si>
  <si>
    <t>Profesional Especializado de Financiera</t>
  </si>
  <si>
    <t>Que los resultados de los ensayos realizados en el laboratorio sean errados</t>
  </si>
  <si>
    <t>Que los resultados de los ensayos realizados en el laboratorio sean errados producto de desviaciones en el procedimiento de la norma de ensayo aplicable,  uso de equipamiento que no cumpla las especificaciones técnicas, errores en el registro de datos primarios y/o en la digitación del informe, o cálculos errados en la emisión del informe, podría acarrear las siguientes consecuencias: reproceso de actividades y aumento de carga operativa, quejas de los clientes, perdida de credibilidad de los resultados ante los clientes y afectación de la imagen del laboratorio ante sus clientes.</t>
  </si>
  <si>
    <t>Desviaciones en el procedimiento de la norma de ensayo aplicable</t>
  </si>
  <si>
    <t>*Afectación de la imagen del laboratorio ante sus clientes.
* Perdida de credibilidad de los resultados ante los clientes.
* Quejas de los clientes.
*Reproceso de actividades y aumento de carga operativa
*Reproceso de actividades y aumento de carga operativa.
* Retraso en la prestación de los servicios del laboratorio.
*Afectación de la imagen del laboratorio ante sus clientes.</t>
  </si>
  <si>
    <t>El coordinador técnico,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t>
  </si>
  <si>
    <t>Poner condicionales para el cumplimiento de la precisión de los ensayos a los cuales se les realiza Repetibilidad en cada vez que se ejecuta el ensayo, en las plantillas de informes de ensayo.</t>
  </si>
  <si>
    <t>plantillas de informes de ensayo</t>
  </si>
  <si>
    <t>Líder de acreditación
(contratista)</t>
  </si>
  <si>
    <t>6 meses</t>
  </si>
  <si>
    <t>EFICACIA 
Índice de cumplimiento de actividades= (# de actividades cumplidas/ # de actividades programadas)*100
EFECTIVIDAD
Efectividad del plan de manejo de riesgos= ((# de ensayos con resultados errados en el año actual- # de ensayos con resultados errados en el año anterior)/ # de ensayos con resultados errados en el año anterior)*100</t>
  </si>
  <si>
    <t>De acuerdo con el procedimiento de trabajo no conforme GLAB-PR-002</t>
  </si>
  <si>
    <t>Los trabajos no conformes generados en el laboratorio relacionados con resultados errados ( informe de ensayo)</t>
  </si>
  <si>
    <t>Líder operativo del proceso</t>
  </si>
  <si>
    <t>De acuerdo al método de ensayo y el erro cometido</t>
  </si>
  <si>
    <t>El técnico operativo,  semestralmente supervisa las competencias de los laboratoristas en la ejecución de los ensayo a través de una lista de chequeo que se  registra en el  formato de de supervisión GLAB-FM-126 que indica los criterios para la correcta  ejecución del ensayo  establecido en la norma aplicable. en caso de encontrar desviaciones en el  método se programa una nueva fecha para repetir la supervisión hasta que el laboratorista demuestre la competencia para ejecutar el ensayo de acuerdo a la norma.</t>
  </si>
  <si>
    <t>Errores en el registro de datos primarios, en la digitación del informe y/o en la emisión del informe</t>
  </si>
  <si>
    <t>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</si>
  <si>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t>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</si>
  <si>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Uso de equipamiento que no cumple las especificaciones requeridas en el método de ensayo.</t>
  </si>
  <si>
    <t>Cada vez que va a ser instalado o reinstalado un equipamiento en el laboratorio, el auxiliar de acreditación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</si>
  <si>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t>Cada vez que se realiza un  actividad (mantenimiento correctivo, preventivo, inspecciones, verificación, comprobación intermedia y calibración) al equipamiento, el técnico operativo verifica su correcto funcionamiento y lo registra en el formato GLAB-FM-112  inspección equipos del laboratorio UAERMV. Si al realizar la verificación el equipamiento presenta fallas se pone fuera de servicio hasta que este se encuentre en buen estado.</t>
  </si>
  <si>
    <t>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</si>
  <si>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Incumplimiento en la fecha de entrega de los informes</t>
  </si>
  <si>
    <t>Incumplimiento en la fecha de entrega de los informes, debido a Insuficiente personal por a el ausentismo laboral enfermedad, licencias, renuncias, falta de presupuesto y/o demoras en la contratación del personal, Falta de claridad de las fechas de entrega de los informes, pueden causar: afectación de la imagen del laboratorio, Quejas de los clientes, aumento de carga operativa y retraso en la prestación de los servicios del laboratorio.</t>
  </si>
  <si>
    <t>Insuficiente personal por ausentismo laboral por enfermedad, licencias, renuncias, falta de presupuesto y/o demoras en la contratación del personal.</t>
  </si>
  <si>
    <t>* Afectación de la imagen del laboratorio ante sus clientes.
* Quejas de los clientes.
* Aumento de carga operativa.
* Retraso en la prestación de los servicios del laboratorio.</t>
  </si>
  <si>
    <r>
      <t xml:space="preserve">El líder operativo, mensualmente en la programación del personal </t>
    </r>
    <r>
      <rPr>
        <sz val="9"/>
        <color theme="1"/>
        <rFont val="Arial"/>
        <family val="2"/>
      </rPr>
      <t>GLAB-FM- 134</t>
    </r>
    <r>
      <rPr>
        <sz val="9"/>
        <color rgb="FFFF0000"/>
        <rFont val="Arial"/>
        <family val="2"/>
      </rPr>
      <t xml:space="preserve"> </t>
    </r>
    <r>
      <rPr>
        <sz val="9"/>
        <rFont val="Arial"/>
        <family val="2"/>
      </rPr>
      <t>verifica que cada rol tenga un responsable principal y un relevo, de no ser así se solicita al coordinador técnico que realice la programación del relevo.</t>
    </r>
  </si>
  <si>
    <t>De acuerdo al método de ensayo</t>
  </si>
  <si>
    <t>Fallas en equipamiento</t>
  </si>
  <si>
    <t>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</si>
  <si>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t>Falta de claridad de las fechas de entrega de los informes
falta de la solicitud del servicio de manera explicita ( acta de reunión, correo electrónico, orden de trabajo y /o el acuerdo de servicio)</t>
  </si>
  <si>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</si>
  <si>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t>Liquidación de forma incorrecta para el pago de la Nómina</t>
  </si>
  <si>
    <t>Se puede llegar a tener inconsistencias en la liquidación de la nomina, en la inclusión de novedades, lo cual puede ocasionar errores y reprocesos en su liquidacion.</t>
  </si>
  <si>
    <t>Cargue incorrecto de situaciones administrativas como: ingreso, vacaciones, incapacidades, permisos, licencias, encargos, retiros, comisiones, periodo de prueba en otras entidades, suspensiones y otras novedades como: salario y/o jornal, prima técnica, horas extras, auxilios convencionales, quinquenio, y liquidación de prestaciones sociales.</t>
  </si>
  <si>
    <t>1. Liquidación inadecuada de nomina.
2. Posible retraso en el pago de la nomina.
3. Hallazgos en auditorias  internas o externas.</t>
  </si>
  <si>
    <t>Registro generado por el aplicativo.
Excel revisión</t>
  </si>
  <si>
    <t>Técnico Operativo de Gestión del Talento Humano</t>
  </si>
  <si>
    <t>mensual</t>
  </si>
  <si>
    <t>N. de reportes aplicativo y revisiones excel</t>
  </si>
  <si>
    <t>El funcionario encargado de la nómina solicta apoyo al proceso de SIT para la revisión y ajsutes de las inconsistencias encontradas sobre la liquidación de la nómina que tengan que ver con la parametrización</t>
  </si>
  <si>
    <t>Actas de revisión sobre la liquidación en la nómina.</t>
  </si>
  <si>
    <t>Profesional Especializado y técnico Operativo de Talento Humano.</t>
  </si>
  <si>
    <t xml:space="preserve">
Carencia de controles en la verificación de inclusión de novedades que afectan los deducidos en la liquidación de la nómina tales como: descuentos por libranza y embargos.</t>
  </si>
  <si>
    <t xml:space="preserve">
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revisara nuevamente la inclusión de las novedades, quedando como evidencia cada uno de los reportes generados y los soportes de las libranzas u embargos.
En caso de evidenciar inconsistencias en la comparación realizada, se procede a reportar la incidencia a través del aplicativo de soporte y seguimiento Mantis para su revisión y corrección de las diferencias identificadas.</t>
  </si>
  <si>
    <t>Registro generado por el aplicativo.
SIAP</t>
  </si>
  <si>
    <t>N. de reportes aplicativo y revisiones SIAP</t>
  </si>
  <si>
    <t>Sanciones disciplinarias y/o fiscales por el incumplimiento en la implementación de los requisitos mínimos del Sitema de Gestión de la Seguridad y Salud en el Trabajo SG-SST.</t>
  </si>
  <si>
    <t>Se puede incurrir en el incumplimiento a la normatividad vigente en lo que se refiere al Sistema de Gestión de la Seguridad y Salud en el Trabajo SG-SST, debido a  la falta de instrumentos de Seguridad y Salud en el Trabajo,  falta de articuación con otros procesos  todo el sistema, lo cual puede ocasionar sanciones para la entidad.</t>
  </si>
  <si>
    <t>Deficiencias en la programación y seguimiento de las actividades necesarias para dar cumplimiento a la implementación de los requisitos mínimos del SG-SST</t>
  </si>
  <si>
    <t>1. Perdidas Humanas.
2, Perdidas materiales.
3, Perdidas económicas.
4. Afectacion de la imagen institucional.
5. Sanciones para la entidad.</t>
  </si>
  <si>
    <t>Actas de Reunión</t>
  </si>
  <si>
    <t>Cada vez que se requiera</t>
  </si>
  <si>
    <t>Numero de actas de reunión extraordinarias.</t>
  </si>
  <si>
    <t>Se realizaria la investigacion respectiva y se tomarian en cuenta las medidas de control.</t>
  </si>
  <si>
    <t>Informes.
Actas de reunión.</t>
  </si>
  <si>
    <t>Falta de articuación del proceso GTHU - SST con otras áreas o dependencias de la Entidad para la implementación del Sistema</t>
  </si>
  <si>
    <t>Actas de reunion e informes.</t>
  </si>
  <si>
    <t>Numero de compromisos concertados con las dependencias.</t>
  </si>
  <si>
    <t>Se realizara seguimiento a los compromisos concertados con los jefes de dependencia.</t>
  </si>
  <si>
    <t>Ausencia de ejecución del Plan Institucional de Capacitación - PIFC o de Plan anual de estimulos e incentivos y el Plan Estratégico de Gestion de Talento Humano -PEGTH.</t>
  </si>
  <si>
    <t>Al desarrollarse actividades de sondeo y reuniones que permiten la programación del Plan Institucional de Capacitaciones - PIC, de Plan Anual de  Estimulos e Incentivos y el plan estratégico de recursos humanos, fuera de los terminos establecidos puede ocasionar el no desarrollo de los mismos, lo cual traería como consecuencia, insatisfacción, desmotivación en el personal de planta, incumplimiento de caracter normativo, nivel bajo de calidad de vida laboral.</t>
  </si>
  <si>
    <t>Deficiencias en la programación y seguimiento de las actividades necesarias para dar cumplimiento a la implementación de los planes de gestión del talento humano.</t>
  </si>
  <si>
    <t>1. Insatisfacción en el personal.
2. No ejecucion de los Recursos.
3. Desactualizacion normativa o de carácter general para el personal.
4. Desmotivacion en el personal.</t>
  </si>
  <si>
    <t>El Profesional Universitario del proceso de Talento Humano se reúne trimestralmente con el Profesional Especializado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</si>
  <si>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Actas de reunion</t>
  </si>
  <si>
    <t>Profesional Unviersitario del Proceso de Talento Humano</t>
  </si>
  <si>
    <t>N. de actas de reunión</t>
  </si>
  <si>
    <t>Presentar solicitudes de modificación de los planes, aprobarlas y hacerles el debido seguimiento</t>
  </si>
  <si>
    <t>Cuando sea necesario</t>
  </si>
  <si>
    <t>Situación externa que no dependa de la entidad que afecte las ejecución de los diferentes planes</t>
  </si>
  <si>
    <t>Realizar reuniones trimestrales del equipo de gestión del talento humano para evidenciar el avance en la implementación del plan estratégico de recursos humanos</t>
  </si>
  <si>
    <t>Profesional Especializado del Proceso de Talento Humano</t>
  </si>
  <si>
    <t>Trimestralmente.</t>
  </si>
  <si>
    <t>Presentar las situaciones que superen su capacidad funcional ante el Secretario(a) General.</t>
  </si>
  <si>
    <t>Sanciones por posible Incumplimiento de la normativa ambiental vigente</t>
  </si>
  <si>
    <t xml:space="preserve">En las actividades diarias que realiza la entidad, existen factores como desconocimiento en los lineamientos ambientales por parte de los colaboradores, deficiencia en el seguimiento y control de los criterios ambientales en los diferentes procesos que generarian incumpliento de la normativa ambiental </t>
  </si>
  <si>
    <t xml:space="preserve">Desconocimiento en los lineamientos ambientales por parte de los colaboradores. </t>
  </si>
  <si>
    <t>Multas, sanciones o cierres temporales, investigaciones disciplinarias</t>
  </si>
  <si>
    <t>El gerente GASA designa al coordinador (a) GAM para verificar trimestralmente que se cumplan las sensibilizaciones programadas en cronograma establecido al inicio de la vigencia, se aplica por el personal designado una encuesta bimensual de los temas tratados donde se verifica la efectividad de las socializaciones impartidas  y la evidencia será el análisis.
En caso que los resultados de la encuesta no superen el 70% se repite la sensibilización.</t>
  </si>
  <si>
    <t>Realizar dos (2) autoevaluaciones   al cumplimiento del PIGA y de la legislación  ambiental en  UMV de conformidad a las visitas anuales  realizadas por la SDA</t>
  </si>
  <si>
    <t>Plan de acción sobre las debilidaes identificadas</t>
  </si>
  <si>
    <t>Coordinador GAM</t>
  </si>
  <si>
    <t>01/03/2021-28/03/2021
01/11/2021-28/11/2021</t>
  </si>
  <si>
    <t>N° de actividades ejecutadas/ N° de actividades programadas *100</t>
  </si>
  <si>
    <t xml:space="preserve">Plan de mejoramiento </t>
  </si>
  <si>
    <t xml:space="preserve">Plan de mejoramiento ejecutado </t>
  </si>
  <si>
    <t xml:space="preserve">Gerente GASA 
Coordinador GAM </t>
  </si>
  <si>
    <t xml:space="preserve">Máximo 1 mes después de ocurrido el hecho </t>
  </si>
  <si>
    <t xml:space="preserve">Deficiencia en el seguimiento y control de los criterios ambientales en los diferentes procesos . </t>
  </si>
  <si>
    <t>El coordinador (a) GAM designado por el gerente GASA revisa mensualmente que la matriz de cumplimiento legal se este cumpliendo a partir de los MECANISMOS DE CUMPLIMIENTO y EVIDENCIA DE  APLICACIÓN DEL REQUISITO, el gerente GASA valida que esta información sea veraz en el comité GASA correspondiente.
Como fuente de información soporte se dejará acta de reunión de la revisión efectuada, y en el caso que se presenten ajustes en la Matriz, se solicitará a la OAJ la respectiva actualización en el Normograma del proceso. 
En el caso que se identifiquen anomalías en el cumplimento de esta matriz  se informa en el comité de gestión ambiental, donde se tomen las acciones pertinentes a más tardar diez días después de realizada la reunión.</t>
  </si>
  <si>
    <t xml:space="preserve">Inadecuada implementación, de las medidas de control y seguimiento ambiental en las Sedes de la entidad. </t>
  </si>
  <si>
    <t xml:space="preserve">El (la) profesional designado (a) por el gerente GASA (Coordinador (a)  Equipo PIGA), realizará al menos 2 visitas de seguimiento al mes a cada una de las sedes de la entidad, para validar la correcta implementación de los controles ambientales. 
Lo anterior se evidenciará por medio de informe mensual del coordinador (a) GAM dirigido al Gerente GASA con el resultado de las visitas realizadas.
En el caso que se identifiquen anomalías, se procede a informar al supervisor del contrato para tomar las medidas correctivas necesarias. </t>
  </si>
  <si>
    <t xml:space="preserve">Presentación de accidentes ambientales por derrames de hidrocarburos y sus derivados que afecten el suelo o el agua. </t>
  </si>
  <si>
    <t>Dentro de las actividades misionales de la entidad es probable la presentación de accidentes ambientales, los cuales podrian generar impacto negativo ambiental a los recursos disponibles en la Entidad</t>
  </si>
  <si>
    <t xml:space="preserve">Falencia de información preventiva para evitar la presentación de derrames de sustancias peligrosas. </t>
  </si>
  <si>
    <t>Afectación a los recursos naturales</t>
  </si>
  <si>
    <r>
      <t xml:space="preserve">El gerente GASA designa al coordinador (a) GAM para verificar trimestralmente que se cumplan con las sensibilizaciones de los lineamientos establecidos sobre prevención y atención de derrames de sustancias peligrosas en sedes y frentes de obra programadas en cronograma establecido al inicio de la vigencia, soporte o evidencia  los registros de sensibilización.
Se  aplica por el personal designado una evaluación  bimensual  que inlcuya los temas tratados donde se </t>
    </r>
    <r>
      <rPr>
        <sz val="9"/>
        <color rgb="FF0070C0"/>
        <rFont val="Arial"/>
        <family val="2"/>
      </rPr>
      <t>verifica</t>
    </r>
    <r>
      <rPr>
        <sz val="9"/>
        <rFont val="Arial"/>
        <family val="2"/>
      </rPr>
      <t xml:space="preserve"> la efectividad de las sensibilizaciones  impartidas  y la evidencia será el análisis de resultados de la misma.
En caso que los resultados de la evaluación no supere el 70% de las respuestas correctas se repite la sensibilización.</t>
    </r>
  </si>
  <si>
    <t xml:space="preserve">Divulgar piezas comunicativas sobre  manejo de sustancias peligrosas </t>
  </si>
  <si>
    <t>Atender la emergencia de acuerdo a los lineamientos establecidos</t>
  </si>
  <si>
    <t xml:space="preserve">Informe / Reporte </t>
  </si>
  <si>
    <t>Gerencia GASA
Coordinación SG-SST</t>
  </si>
  <si>
    <t>En el momento que ocurra</t>
  </si>
  <si>
    <t xml:space="preserve">Exceso de confianza en la manipulación de sustancias con características de peligrosidad y la operación de elementos, en las actividades de mantenimiento de maquinaria y equipo. </t>
  </si>
  <si>
    <t>Los profesionales ambientales designados por el Gerente GASA verifican las actividades de manejo de sustancias peligrosas en las sedes operativa y producción como en frentes de obra en intervención con el fin de evaluar conductas y establecer si es el caso oportunidades de mejora a través de inspección trimestral,  la evidencia son los formatos diligenciados de GAM-FM-012 las prácticas para la prevención de accidentes ambientales.
En el caso  que se evidencie prácticas inadecuadas que puedan generar un accidente, se detiene la actividad, se debe volver a socializar los lineamientos establecidos y nuevamente se aplica a herramienta.</t>
  </si>
  <si>
    <t xml:space="preserve">Inoportunidad en la consulta de los documentos que se encuentran en el archivo de gestión de las dependencias y sus respectivos procesos, por la  inadecuada disposición de los mismos </t>
  </si>
  <si>
    <t>En la consulta de los documentos se puede presentar innacesibilidad por pérdida, deterioro o inadecuada disposición, al no aplicar de manera oportuna el procedimiento establecido en la TRD, lo que conlleva a toma de decisiones erradas, o a las sanciones por parte de los entes de control ante la falta de evidencias.</t>
  </si>
  <si>
    <t>Inadecuada disposición de los archivos de gestión en las dependencias y procesos de la Entidad</t>
  </si>
  <si>
    <t>Toma de decisiones erradas o sanciones de parte de los entes de control ante la falta de evidencia
Perdida de Información al no tener los expedientes debidamente conformados</t>
  </si>
  <si>
    <t>El servidor público o contratista designado del proceso Gestión Documental, solicitará cuatrimestralmente  a través de correo electrónico los inventarios documentales actualizados a las dependencias de la Entidad, con el fin de velar por la adecuada administración y disposición de los mismos, acorde con la aplicación de las TRD. Asi mismo, el colaborador designado verificará los inventarios  recibidos esten acorde con las TRD, para posteriormente solicitar su publicación en la Intranet de la Entidad. La evidencia son los correos electronicos remitidos a las dependencias solicitando la actualización de los inventarios y correos recibos de respuesta, la publicación de los inventarios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</si>
  <si>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</si>
  <si>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 xml:space="preserve">Actas de sensibilización y expedientes organizados de acuerdo con las TRD </t>
  </si>
  <si>
    <t>Colaboradores designados proceso GDOC</t>
  </si>
  <si>
    <t>No actividades ejecutadas/No actividades programadas</t>
  </si>
  <si>
    <t xml:space="preserve">Realizar el requerimiento disciplinario correspondiente por perdida para los responsables de la información. </t>
  </si>
  <si>
    <t xml:space="preserve">Comunicación remitida </t>
  </si>
  <si>
    <t xml:space="preserve">Cuando se identifique el riesgo </t>
  </si>
  <si>
    <t>Deterioro fìsico por inadecuada manipulación o disposición de los documentos al no cumplir con las condiciones ambientales de almacenamiento.</t>
  </si>
  <si>
    <t>El profesional designado del proceso gestión documental revisará trimestralmente el monitoreo de las condiciones ambientales de los archivos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</si>
  <si>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Implementar las acciones necesarias para el cumplimiento de los programas del SIC 
 Elaborar  informes de monitoreo de condiciones ambientales </t>
  </si>
  <si>
    <t>Actas de sensibilización e informes de monitoreo a  las condiciones ambientales</t>
  </si>
  <si>
    <t>Realizar el proceso correspondiente para la restauración de los documentos que presenten deterioro o perdida de información por manejo inadecuado o condiciones ambientales no optimas</t>
  </si>
  <si>
    <t xml:space="preserve">Documento restaurado </t>
  </si>
  <si>
    <t>Profesional restaurador del proceso de GDOC</t>
  </si>
  <si>
    <t xml:space="preserve">Perdida de documentación y de archivos físicos y electrónicos </t>
  </si>
  <si>
    <t>En el trámite y consulta de los documentos se puede presentar innacesibilidad por pérdida, deterioro o inadecuada disposición, generada por fallas en el proceso de copias de seguridad del aplicativo, incumplimiento o no aplicación de los procedimientos establecidos para el trámite de comunicaciones, o por la inadecuada manipulación, alteración o perdida de la docuemntación física y electrónica de la Entidad, lo que dificulta la toma de decisiones oportuna y puede llegar a derivar en sanciones por parte de los entes de control.</t>
  </si>
  <si>
    <t xml:space="preserve">Fallas en el proceso de copias de seguridad del aplicativo </t>
  </si>
  <si>
    <t xml:space="preserve">Perdida de la información digital al no contar con los repositorios necesarios </t>
  </si>
  <si>
    <t>El colaborador designado por la Secretaria General del proceso Gestión documental cuatrimestralmente solicitará la generación automática de las copias de seguridad del aplicativo ORFEO al proceso de Infraestructura Tecnológica a través de correo electrónico (mesa de ayuda); Asi mismo, el colaborador designado por el proceso verificará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</si>
  <si>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Realizar 2 copias de seguridad del aplicativo ORFEO en la nube.</t>
  </si>
  <si>
    <t>Correos  con la información de los Backups de ORFEO /
Actas de verificación</t>
  </si>
  <si>
    <t>Colaboradores designados proceso GDOC y profesionales proceso GSIT</t>
  </si>
  <si>
    <t>Se realiza una copia de seguridad en la nube de la entidad diarimente y se realiza una copia de seguridad en otra máquina de la nube que se baja en físico a un servidor de la Entidad semanalmente a las bases de datos.
Se realiza una copia de seguridad en cintas para los archivos y PDF</t>
  </si>
  <si>
    <t xml:space="preserve">Copias de Seguridad de bases de datos en la nube 
Copias de seguridad de archivos y PDF en Cintas </t>
  </si>
  <si>
    <t xml:space="preserve">Secretaria General Proceso de Infraestructura Tecnologica </t>
  </si>
  <si>
    <t xml:space="preserve">Incumplimiento o no aplicación del procedimiento establecido para el trámite de las comunicaciones en la Entidad </t>
  </si>
  <si>
    <t xml:space="preserve">El servidor público o colaborador designado del proceso gestión documental  generará mensualmente  un reporte de las estadisticas de finalización de los trámites  en ORFEO  ; Asi mismo, verificará por dependencias el No de radicados sin finalizar, para informar  a los usuarios  a través de correo electrónico las estadisticas de orfeo, con el fin de evidenciar el estado de los trámites  por dependencias y reducir los trámites pendientes de finalización. Como evidencia se dejan los reportes de las estadisticas de trámites en Orfeo, los correos remitidos a los usuarios  informando el número de trámites sin finalizar en ORFEO.
En caso de evidenciar documentos que no esten incluidos en un expediente y que esten pendientes por  finalizar, se informará a los lideres de procesos a través de correo electrónico dichas estadisticas para proceder a realizar mesas de trabajo con los usuarios que  tengan mayor número de radicados sin finalizar con el fin de prestar acompañamiento para el cierre de los mismos. </t>
  </si>
  <si>
    <t>Informar  a los usuarios  y  lideres de las dependencias  las estadisticas de finalización de los trámites en Orfeo.</t>
  </si>
  <si>
    <t>Estadisticas de finalización de los trámites Orfeo/ comunicaciones oficiales remitidas a los lideres de las dependencias</t>
  </si>
  <si>
    <t>Colaborador designado proceso GDOC</t>
  </si>
  <si>
    <t>Realizar plan de contingencia para asociar documentos de salida a documentos de entrada</t>
  </si>
  <si>
    <t>Plan de contingencia</t>
  </si>
  <si>
    <t>Inadecuada manipulación, alteración o pérdida de documentación física o electrónica por parte de los colaboradores de la Entidad.</t>
  </si>
  <si>
    <t>El servidor público o colaborador responsable del proceso gestión documental, al momento del retiro de un funcionario o contratista de la Entidad, tramitará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reposará una matriz de verificación de paz y salvos.</t>
  </si>
  <si>
    <t>Tramitar los Paz y Salvo, de los colaboradores verificando que el usuario no tenga radicados pendientes en sus carpetas de entrada, salida, internos, devueltos, personales e informados.</t>
  </si>
  <si>
    <t xml:space="preserve">Base de datos Paz y salvos </t>
  </si>
  <si>
    <t xml:space="preserve">Verificar en la base de datos del aplicativo ORFEO los usuarios activos e inactivos </t>
  </si>
  <si>
    <t>Base de datos con los usuarios que hacen uso del aplicativo ORFEO actualmente.</t>
  </si>
  <si>
    <t>El servidor público o colaborador responsable del proceso gestión documental, al momento de realizar el préstamo de carpetas del archivo central, diligenciará el formato "Documentos Afuera" y verificará que se entregue la documentación foliada, con el fin de prevenir la pérdida o alteración de los archivos, bien sea por inclusión o sustracción de información. Para el caso de hacer el préstamo de manera virtual  el  colaborador verificará  a través de la matriz de prestamos que el expendiente se encuentre completo para su respectiva consulta,  conforme al  procedimiento 004 consulta y prestamos documentales. 
Al momento de realizar la entrega de los documentos, se verificará nuevamente la foliación y se diligenciará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t>
  </si>
  <si>
    <t xml:space="preserve">Mantener actualizada la base de datos de préstamos y consulta, conforme a lo establecido en el procedimiento Consulta y Préstamo de Documentos </t>
  </si>
  <si>
    <t>Base de Datos Actualizada</t>
  </si>
  <si>
    <t xml:space="preserve">Profesionales proceso GD </t>
  </si>
  <si>
    <t>Secretaria General Proceso de Gestión Documental</t>
  </si>
  <si>
    <t xml:space="preserve">Inexactitud en la aplicación de las normas que regulan los procesos y procedimientos de  la  entidad 
</t>
  </si>
  <si>
    <t xml:space="preserve">La combinación de factores como insuficiente capacitación de los equipos humanos , cambios en la normatividad y el desconocimiento de los lineamientos internos de la entidad, hacen que  no se reporte de manera oportuna la incorporación, eliminación o actualización de las normas que rigen cada proceso, lo cual puede derivar en la emisión de conceptos erróneos o trámites ineficaces.
</t>
  </si>
  <si>
    <t>Normograma</t>
  </si>
  <si>
    <t>Deficiencias en la transmisión de  lineamientos o parametros definidos por la entidad para gestionar los procesos</t>
  </si>
  <si>
    <t>Afectacion en el desarrollo de la Gestion Institucional  por falta de criterios unificados.</t>
  </si>
  <si>
    <t xml:space="preserve">El/la Jefe de la OAJ verificará que el profesional especializado asignado a la OAJ remita cuatrimestral un memorando dirigido a todas las dependencias de la UAERMV, impartiendo lineamientos y recomendaciones para que cada proceso actualice correcta y oportunamente su  normograma. En caso de evidenciar que no se emitió el memorando, se requerirá  por correo electrónico al profesional especializado para que proyecte y remita de manera inmediata dicho memorando. Como evidencia se tiene el memorando remitido a todas las dependencias de la entidad. </t>
  </si>
  <si>
    <t>Actualizar y verificar la publicación del normograma en la página web de la entidad</t>
  </si>
  <si>
    <t>Normograma actualizado y publicado</t>
  </si>
  <si>
    <t>Profesional especializado del área</t>
  </si>
  <si>
    <t xml:space="preserve">Una vez por semeste </t>
  </si>
  <si>
    <t>Normograma actualizado</t>
  </si>
  <si>
    <t>Programación de una capacitación para afianzar los lineamientos internos relacionados con la actualización de normograma, además de solicitar la actualización inmediata del normograma.</t>
  </si>
  <si>
    <t>Capacitación y memorando de solicitud de actualización inmediata del normograma.</t>
  </si>
  <si>
    <t>Colaboradores y Profesional Especializado del área.</t>
  </si>
  <si>
    <t>2 semanas despues de materializado el riesgo</t>
  </si>
  <si>
    <t>Desconocimiento e insuficiente capacitación sobre los lineamientos internos para la actualización del normograma.</t>
  </si>
  <si>
    <r>
      <t xml:space="preserve">1. Emisión de conceptos y/o actuaciones erróneas
2. Pérdida de credibilidad a nivel Distrital
</t>
    </r>
    <r>
      <rPr>
        <sz val="9"/>
        <color rgb="FFFF0000"/>
        <rFont val="Arial"/>
        <family val="2"/>
      </rPr>
      <t xml:space="preserve">
 </t>
    </r>
  </si>
  <si>
    <t xml:space="preserve">El profesional especializado de la OAJ verificará semestralmente que los procesos de la UAERMV actualicen su normograma correcta y oportunamente a través los linemaientos que se impartan en capacitación semestral y los normogramas remitidos al correo electróncio de la profesional especializada de la OAJ por parte de cada proceso con la actualizacion semestral correspondiente.  En caso de observar que se presentan falencias en  el diligenciamiento de la matriz, en la inlcusión, actualización o eliminación de normas,  entre otros errores, se procederá a solicitar los ajustes a que haya lugar por medio de un correo electrónico. Como evidencia se tiene la relación de correos electrónicos por proceso, en la cual se hace entrega del normograma actualizado, y el listado de asistencia de la capacitación. </t>
  </si>
  <si>
    <t>Incumplir las fechas establecidas para la presentación  de informes de control, seguimiento y evaluación, tanto internos como  externos.</t>
  </si>
  <si>
    <t>Puede suceder: se realizan  informes, reportes y demás seguimientos pero no se presentan dentro en los tiempos establecidos por la ley.
Cómo puede suceder:  no se recibe la información oportuna de los procesos que aportan información y/o demás partes interesadas del proceso.
Tendria como consecuencias: a) el incumplimiento legal que determinan los tiempos de presentación de los informes. b) No generar información pertinente para la toma de decisiones por parte de la alta dirección.</t>
  </si>
  <si>
    <t>Informes</t>
  </si>
  <si>
    <t>Demora en la revisión y verificación de los contenidos de informes por parte de la Jefe OCI y de los ajustes por parte el equipo de control interno, para generar informes ejecutivos.</t>
  </si>
  <si>
    <t>Informes no apropiados para presentar a nombre de la oficina o de la entidad 
Llamados de atención por el incumplimiento en los plazos establecidos para la rendición de los Informes</t>
  </si>
  <si>
    <t>El Jefe de Control Interno, de acuerdo al cronograma mensual de informes OCI, cada vez que se genera o elabora un informe por parte del equipo de trabajo OCI , revisa y verifica los contenidos de cada uno; en caso de ser necesario ajustarlo, se devolverá al responsable con el fin de mejorar los contenidos para su entrega final en el término de ley. 
Como evidencia se tiene el acta de reunión presencial y/o virtual o correo institucional generado por Jefe OCI, con cada integrante del equipo de trabajo OCI donde quedaron consignadas las mejoras de informes para su presentación final.</t>
  </si>
  <si>
    <t xml:space="preserve">Hacer seguimiento a cada cronograma concertado </t>
  </si>
  <si>
    <t>*Plan Anual de Auditorías - PAA  vigente 2021
*Plan operativo del PAA - 2021
*Acta de reunión OCI
*Chats de reuniones virtuales
*Correos de respuesta a los informes donde se indican los ajustes a efectuar.
*Notas en ORFEO
* Informes de supervisión</t>
  </si>
  <si>
    <t>Jefe OCI</t>
  </si>
  <si>
    <t>12 reuniones de seguimiento realizadas y/o Informes de supervisión</t>
  </si>
  <si>
    <t xml:space="preserve">Priorizar los informes de ley sobre los internos y solicitar plazo para la presentación </t>
  </si>
  <si>
    <t>Comunicación Oficial</t>
  </si>
  <si>
    <t>Una vez se materialice el riesgo</t>
  </si>
  <si>
    <t>Demora de la entrega de informes  por la falta de programación para la ejecución de actividades (incluyendo la solicitud anticipada de información), sin tener en cuenta las fechas de reportes de los avances y entregables</t>
  </si>
  <si>
    <t>El profesional OPS designado por la Jefe de Control Interno, revisa cada trimestre, la relación de los informes o reportes que se deben presentar y las actividades programadas del Proceso CEM  para  generar alertas al equipo de trabajo OCI, con el fin de consolidar el seguimiento del cumplimiento de estas actividades y enviar el reporte de herramientas de medición según la frecuencia programada, a la OAP y a la SG.   En caso de no presentación de informes o reportes en el periodo, se informa a la Jefe OCI para requerir y reprogramar su entrega.
Como evidencia se tienen correos electrónicos emitidos por el profesional OPS designado con copia al Jefe OCI y los que el jefe OCI emita al respecto.</t>
  </si>
  <si>
    <t>Registrar los avances trimestrales del equipo de trabajo OCI para hacer el cumplimiento de las actividades programadas</t>
  </si>
  <si>
    <t>Consolidado de alertas de planes OCI (gestión interna):
* Plan de Acción con seguimiento trimestral de actividades programadas
* PAA - Plan Anual de Auditorías con seguimiento trimestral de actividades aprobadas por el  Comité CICCI
* Indicadores de gestión trimestrales y cuatrimestrales a OAP
* Monitoreo de Riesgos trimestrales a OAP
* Avance Plan de Mejoramiento CEM a OCI
* Avance Proyecto de inversión 7859 (Dimensión 7) a OAP
* Avance Plan de Gestión (Adecuación y Sostenibilidad) a OAP</t>
  </si>
  <si>
    <t>Enlace OCI
Personal designado para medir resultado del indicadores</t>
  </si>
  <si>
    <t xml:space="preserve">Reportes de entrega del cumplimiento de las actividades programadas en lo diferentes planes, de acuerdo a su periodicidad.
</t>
  </si>
  <si>
    <t xml:space="preserve">Incumplir en un 10% la ejecución del Plan Anual de Auditorias aprobado por el Comité Institucional de Control Interno - CICCI,  en la vigencia </t>
  </si>
  <si>
    <t>Puede suceder: que no se cumpla con el 100% de las actividades establecidas en el Plan Anual de Auditorías aprobado por el CICCI al finalizar la vigencia
Como puede suceder:  que no se cuente con el personal suficiente para desarrollar el 100% de las actividades programadas inicialmente o no se culminen todas las actividades previstas
Tendria como consecuencias: no se tendría un análisis integral por parte de la auditoría interna de todos los elementos internos y externos de la entidad para determinar los eventos y riesgos que cuentan con la mayor relevancia para cumplir con la misión y objetivos institucionales.</t>
  </si>
  <si>
    <t>Insuficiencia de personal en OCI que apoye la ejecución del Plan Anual de Auditorías - PAA, aprobado.</t>
  </si>
  <si>
    <t>Sobrecarga de actividades en el personal para llevar a cabo el Plan Anual de Auditorías, entre un número de personal reducido al inicialmente planeado
Demoras para el desarrollo del Plan Anual de Auditorías por ejecutar otras actividades no programadas en el PAA</t>
  </si>
  <si>
    <t>El Jefe de Control interno en reunión trimestral con el equipo de trabajo OCI verifica si se  presentan atrasos y se identifican las dificultades para el cumplimiento de actividades previstas (como por ejemplo:  por ejecutar otras actividades no programadas en el PAA). En caso de presentar atrasos se priorizarán las actividades críticas que deben ejecutarse y redistribuye por equipos interdisciplinarios las actividades faltantes para dar cumplimiento al PAA.
Como evidencia se tienen acta de reunión presencial y/o virtual o correos institucionales donde se redistribuyen las actividades priorizadas del PAA.</t>
  </si>
  <si>
    <t xml:space="preserve">Consolidar el estado de las actividades del  PAA - Plan Anual de Auditorías de acuerdo a lo reportado por el equipo OCI.
</t>
  </si>
  <si>
    <t>Correos de reporte de cumplimiento de actividades por equipo OCI.
Consolidado PAA
* Reporte del indicador CEM-IND-001 a OAP cada trimestre</t>
  </si>
  <si>
    <t xml:space="preserve">Reportes de cumplimiento por roles del Plan Anual de Auditorías- PAA y del indicador
</t>
  </si>
  <si>
    <t>Formular un plan de contingencia (previamente elaborado y justificado por la Oficina de Control Interno) y solicitar autorización ante el Comité Institucional de Coordinación de  Control Interno para ajustar el Programa Anual de Auditorías, con el fin de que se aprueban los recursos para la contratación de personal de conformidad con las necesidades y expectativas de la dependencia.</t>
  </si>
  <si>
    <t>Acta de Reunión del Comité CICCI</t>
  </si>
  <si>
    <t>&lt;&lt;&lt;</t>
  </si>
  <si>
    <t>Ejecución de actividades  no contempladas inicialmente en el Plan Anual de Auditorías que afectan el cronograma y programación inicial de actividades</t>
  </si>
  <si>
    <t>El Jefe de Control interno valida y revisa trimestralmente la redistribución y reprogramación de las nuevas actividades del PAA - Plan Anual de Auditorías en el equipo de trabajo OCI y presenta ante el Comité Institucional de Coordinación de Control Interno - CICCI la autorización para su modificación.  En caso de no aprobación o aprobación parcial, se priorizan las actividades con mayor nivel de importancia.
Como evidencia se tienen el acta de comité CICCI y la presentación con el desarrollo del comité de acuerdo a la agenda prevista.</t>
  </si>
  <si>
    <t xml:space="preserve">Preparación de la propuesta de modificación al PAA de acuerdo al seguimiento realizado de ser necesario  </t>
  </si>
  <si>
    <t>Memoria de la mesa de trabajo en la cual se prepara la agenda y los contenidos de la presentación, solicitud del personal para ejecutar el PAA de la vigencia, en caso de ser necesario.</t>
  </si>
  <si>
    <t>4 reuniones con el equipo OCI de seguimiento al PAA - Plan Anual de Auditorías y las actividades asignadas</t>
  </si>
  <si>
    <t>MAPA DE RIESGOS DE CORRUPCIÓN 2021_V1 UNIDAD ADMINISTRATIVA ESPECIAL DE REHABILITACIÓN Y MANTENIMIENTO VIAL</t>
  </si>
  <si>
    <t>Posibilidad de recibir o solicitar cualquier dádiva o beneficio a nombre propio o de terceros con el fin de usar sin  autorizacion o  hurtar vehículos y maquinaria  de la Entidad  a cargo de la Gerencia de Produccion para beneficio de terceros</t>
  </si>
  <si>
    <t>Uso no autorizado de los vehículos, maquinaria y equipos para beneficio particular</t>
  </si>
  <si>
    <t>Inadecuada vigilancia y control de vehículos y maquinaria.</t>
  </si>
  <si>
    <t>Sobrecostos y
Disminución de disponibilidad de  los vehículos y maquinaria.desconocimiento de la ubicación de los equipos</t>
  </si>
  <si>
    <r>
      <rPr>
        <b/>
        <sz val="9"/>
        <rFont val="Arial"/>
        <family val="2"/>
      </rPr>
      <t xml:space="preserve">El Líder encargado </t>
    </r>
    <r>
      <rPr>
        <sz val="9"/>
        <rFont val="Arial"/>
        <family val="2"/>
      </rPr>
      <t xml:space="preserve">de Provisión de Maquinaria delegado por la Gerencia de Producción, </t>
    </r>
    <r>
      <rPr>
        <b/>
        <sz val="9"/>
        <rFont val="Arial"/>
        <family val="2"/>
      </rPr>
      <t>verifica</t>
    </r>
    <r>
      <rPr>
        <sz val="9"/>
        <rFont val="Arial"/>
        <family val="2"/>
      </rPr>
      <t xml:space="preserve"> y presenta </t>
    </r>
    <r>
      <rPr>
        <b/>
        <sz val="9"/>
        <rFont val="Arial"/>
        <family val="2"/>
      </rPr>
      <t>mensualmente</t>
    </r>
    <r>
      <rPr>
        <sz val="9"/>
        <rFont val="Arial"/>
        <family val="2"/>
      </rPr>
      <t xml:space="preserve">  ante la mesa de trabajo de vehículos, la base de datos PPMQ-DI-001. Base de datos comportamientos viales  la cual incluye  el reporte de desplazamientos de vehículos maquinaria y equipos comparando los movimientos con la programación diaria, su veracidad de la alerta, dejando a través </t>
    </r>
    <r>
      <rPr>
        <b/>
        <sz val="9"/>
        <rFont val="Arial"/>
        <family val="2"/>
      </rPr>
      <t>del acta de reunión  trazabilidad</t>
    </r>
    <r>
      <rPr>
        <sz val="9"/>
        <rFont val="Arial"/>
        <family val="2"/>
      </rPr>
      <t xml:space="preserve"> del análisis realizado y el informe de GPS.
</t>
    </r>
    <r>
      <rPr>
        <b/>
        <sz val="9"/>
        <rFont val="Arial"/>
        <family val="2"/>
      </rPr>
      <t>En caso de identificar anomalía</t>
    </r>
    <r>
      <rPr>
        <sz val="9"/>
        <rFont val="Arial"/>
        <family val="2"/>
      </rPr>
      <t>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</si>
  <si>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 xml:space="preserve">Revisar la información relacionada con el geoposicionamiento y generar analisis por medio de un informe que gestione la tomar decisiones que permitan disminuir la ocurrencia de eventos. </t>
  </si>
  <si>
    <t>BD comportamientos viales</t>
  </si>
  <si>
    <t>Líder de operaciones</t>
  </si>
  <si>
    <t>cuatrimestral</t>
  </si>
  <si>
    <t>usos no autorizados / programacion  maximo 10%</t>
  </si>
  <si>
    <t>Informar a la subdirección de produción e intervención para escalar las acciones de contingencia.</t>
  </si>
  <si>
    <t>Correo electronico informando la situación</t>
  </si>
  <si>
    <t>Gerente de producción</t>
  </si>
  <si>
    <t>falta de verificacion de la asignacion de los equipos</t>
  </si>
  <si>
    <r>
      <rPr>
        <b/>
        <sz val="9"/>
        <rFont val="Arial"/>
        <family val="2"/>
      </rPr>
      <t xml:space="preserve">El lider de </t>
    </r>
    <r>
      <rPr>
        <sz val="9"/>
        <rFont val="Arial"/>
        <family val="2"/>
      </rPr>
      <t xml:space="preserve">PDM realiza  la </t>
    </r>
    <r>
      <rPr>
        <b/>
        <sz val="9"/>
        <rFont val="Arial"/>
        <family val="2"/>
      </rPr>
      <t>verificacion y seguimiento</t>
    </r>
    <r>
      <rPr>
        <sz val="9"/>
        <rFont val="Arial"/>
        <family val="2"/>
      </rPr>
      <t xml:space="preserve"> a la gestion de la base de datos de asignacion de vehiculos y maquinaria de manera </t>
    </r>
    <r>
      <rPr>
        <b/>
        <sz val="9"/>
        <rFont val="Arial"/>
        <family val="2"/>
      </rPr>
      <t>mensual</t>
    </r>
    <r>
      <rPr>
        <sz val="9"/>
        <rFont val="Arial"/>
        <family val="2"/>
      </rPr>
      <t xml:space="preserve">,  </t>
    </r>
    <r>
      <rPr>
        <b/>
        <sz val="9"/>
        <rFont val="Arial"/>
        <family val="2"/>
      </rPr>
      <t xml:space="preserve">si encuenta alteraciones o falta </t>
    </r>
    <r>
      <rPr>
        <sz val="9"/>
        <rFont val="Arial"/>
        <family val="2"/>
      </rPr>
      <t>de continuidad en la asignacion realizara ajustes y corroboracion con tarjetas de operación, la evidencia del control es acta de verificacion con el equipo de PDM</t>
    </r>
  </si>
  <si>
    <t xml:space="preserve">actualizacion de base de datos de asignacion  </t>
  </si>
  <si>
    <t xml:space="preserve">BD asignacion </t>
  </si>
  <si>
    <t>solicitados /asignados</t>
  </si>
  <si>
    <t xml:space="preserve">Posibilidad de Perdida, hurto o  uso inadecuado de materia prima y material producido </t>
  </si>
  <si>
    <t>Apropiación no autorizada de materiales o productos para beneficio particular</t>
  </si>
  <si>
    <t>Deficiencia en el control de insumos, materias primas, mezcla de concreto hidráulico, mezclas asfálticas en caliente y en frio.</t>
  </si>
  <si>
    <t>Detrimento patrimonial, 
incumplimiento de metas
peculado, cohecho y dolo.</t>
  </si>
  <si>
    <r>
      <rPr>
        <b/>
        <sz val="9"/>
        <rFont val="Arial"/>
        <family val="2"/>
      </rPr>
      <t>El líder de producción</t>
    </r>
    <r>
      <rPr>
        <sz val="9"/>
        <rFont val="Arial"/>
        <family val="2"/>
      </rPr>
      <t xml:space="preserve"> (asignado por la Gerencia de Producción, según obligaciones contractuales) </t>
    </r>
    <r>
      <rPr>
        <b/>
        <sz val="9"/>
        <rFont val="Arial"/>
        <family val="2"/>
      </rPr>
      <t>verifica</t>
    </r>
    <r>
      <rPr>
        <sz val="9"/>
        <rFont val="Arial"/>
        <family val="2"/>
      </rPr>
      <t xml:space="preserve"> de manera </t>
    </r>
    <r>
      <rPr>
        <b/>
        <sz val="9"/>
        <rFont val="Arial"/>
        <family val="2"/>
      </rPr>
      <t>trimestral</t>
    </r>
    <r>
      <rPr>
        <sz val="9"/>
        <rFont val="Arial"/>
        <family val="2"/>
      </rPr>
      <t xml:space="preserve"> el  kardex de materiales PPMQ-DI-011  y bitacora de producción PPMQ-DI-009 en el  que se registran los ingresos  de insumos y materias primas por bascula y los consumos vs el inventario disponible junto con las producciones realizadas. Se comparte la actualización de esta información como evidencia del control  mediante </t>
    </r>
    <r>
      <rPr>
        <b/>
        <sz val="9"/>
        <rFont val="Arial"/>
        <family val="2"/>
      </rPr>
      <t xml:space="preserve">correo electronico </t>
    </r>
    <r>
      <rPr>
        <sz val="9"/>
        <rFont val="Arial"/>
        <family val="2"/>
      </rPr>
      <t xml:space="preserve">a la Gerencia de producción.
</t>
    </r>
    <r>
      <rPr>
        <b/>
        <sz val="9"/>
        <rFont val="Arial"/>
        <family val="2"/>
      </rPr>
      <t>De encontrar diferencias</t>
    </r>
    <r>
      <rPr>
        <sz val="9"/>
        <rFont val="Arial"/>
        <family val="2"/>
      </rPr>
      <t xml:space="preserve"> el Gerente de producción solicita las verificaciones correspondientes respecto a los tiquetes de báscula de entrada y salida en inventario físico y la base de datos para identificar el faltante y escalar al área correspondiente para iniciar la  investigación.</t>
    </r>
  </si>
  <si>
    <t>generar informe de produccion trimestral</t>
  </si>
  <si>
    <t>Informe de produccion</t>
  </si>
  <si>
    <t xml:space="preserve">informe de produccion </t>
  </si>
  <si>
    <t>Notificar al area correspondiente para iniciar la investigacion.</t>
  </si>
  <si>
    <t>Notificacion a partes interesadas</t>
  </si>
  <si>
    <t xml:space="preserve">Líder de producción/lider de operaciones </t>
  </si>
  <si>
    <t>Falta de seguimiento o trazabilidad de los volúmenes despachados de producción</t>
  </si>
  <si>
    <r>
      <rPr>
        <b/>
        <sz val="9"/>
        <rFont val="Arial"/>
        <family val="2"/>
      </rPr>
      <t>Personal asignado</t>
    </r>
    <r>
      <rPr>
        <sz val="9"/>
        <rFont val="Arial"/>
        <family val="2"/>
      </rPr>
      <t xml:space="preserve"> por la Gerencia de Producción,  </t>
    </r>
    <r>
      <rPr>
        <b/>
        <sz val="9"/>
        <rFont val="Arial"/>
        <family val="2"/>
      </rPr>
      <t>verifica</t>
    </r>
    <r>
      <rPr>
        <sz val="9"/>
        <rFont val="Arial"/>
        <family val="2"/>
      </rPr>
      <t xml:space="preserve"> </t>
    </r>
    <r>
      <rPr>
        <b/>
        <sz val="9"/>
        <rFont val="Arial"/>
        <family val="2"/>
      </rPr>
      <t>trimestralmente</t>
    </r>
    <r>
      <rPr>
        <sz val="9"/>
        <rFont val="Arial"/>
        <family val="2"/>
      </rPr>
      <t xml:space="preserve">  mediante GPS  la entrega de las mezclas en los CIV autorizados, este reporte se enviará via correo electronico al equipo de producción.</t>
    </r>
    <r>
      <rPr>
        <sz val="9"/>
        <rFont val="Arial"/>
        <family val="2"/>
      </rPr>
      <t xml:space="preserve">
</t>
    </r>
    <r>
      <rPr>
        <b/>
        <sz val="9"/>
        <rFont val="Arial"/>
        <family val="2"/>
      </rPr>
      <t>En caso de presentarse</t>
    </r>
    <r>
      <rPr>
        <sz val="9"/>
        <rFont val="Arial"/>
        <family val="2"/>
      </rPr>
      <t xml:space="preserve"> novedades se deberá escalar y/o notifcar a las áres correspondientes para iniciar la investigación atendiendo los protocolos establecidos en cuanto a seguimiento satelital con GPS.</t>
    </r>
  </si>
  <si>
    <t xml:space="preserve">entregar informe de seguimiento del despacho de las mezclas autorizadas para las diferentes interveniciones
</t>
  </si>
  <si>
    <t>Acta de reunion de verificacion</t>
  </si>
  <si>
    <t>Robo o sustracción de elementos que se encuentren en su entorno laboral por personal de la UMV para beneficio personal o de un tercero</t>
  </si>
  <si>
    <t>En ocasiones por aptitudes no integras del personal de la Entidad puede suceder la sustracción o el robo de elementos en las diferentes sedes, bodegas o puntos de obra, que pueden generar retrasos en las actividades, la aplicación de sanciones disciplinarias o penales, contribuir a generar una mala imagen de la Unidad y ocasionar problemas de convivencia entre los colaboradores.</t>
  </si>
  <si>
    <t>Corrupción</t>
  </si>
  <si>
    <t>Insuficientes medidas de seguridad en Sedes y bodegas</t>
  </si>
  <si>
    <t>1. Pérdidas económicas
2. Aplicación de Sanciones disciplinarias o penales
3. Reclamaciones ante la aseguradora o la compañía de vigilancia 
4. Demoras o retrasos en la realización de las actividades que involucren la pérdida de elementos</t>
  </si>
  <si>
    <t xml:space="preserve">El Almacenista General anualmente o cada vez que se detecten riesgos de seguridad debe gestionar la implementación de elementos de seguridad (de acuerdo a aprobación) en las sedes y bodegas de la Entidad como cámaras, sensores de movimientos, restricción de ingreso a las bodegas, adquisición de un paquete de seguros para la protección de los bienes de propiedad o por las cuales la unidad es legalmente responsable, que permita al Almacén el verificar, validar y controlar la ubicación de los diferentes bienes de la entidad en las diferentes sedes, como proporcionar la seguridad de las instalaciones. La gestión inicia con la definición de las necesidades de seguridad en la elaboración de los documentos de soporte (estudios previos) y las obligaciones establecidas en los contratos de arrendamiento, seguridad y de seguros. El Almacenista debe verificar el cumplimiento de las obligaciones del contratista contra las obligaciones establecidas en el contrato y sus documentos anexos, conservando la evidencia de la verificación en los informes del supervisor. En caso de observar el no cumplimiento de las obligaciones se procede a la remisión del requerimiento del supervisor o en dado caso, la constitución del informe de posible incumplimiento (si aplica).   </t>
  </si>
  <si>
    <t>Contrato Empresa de vigilancia</t>
  </si>
  <si>
    <t xml:space="preserve">1 contrato vigente </t>
  </si>
  <si>
    <t>Se remite a Control Interno Disciplinario para que se realice el proceso pertinente.</t>
  </si>
  <si>
    <t>Memorando Interno</t>
  </si>
  <si>
    <t>Operaciones de entrega y recibo de bienes con participación de diferentes colaboradores y susceptible de la ocurrencia de presiones indebidas</t>
  </si>
  <si>
    <t>El Auxiliar Administrativo o contratista designado cada vez que se realice la entrega de bienes o elementos por el proveedor o la entrega por asignación de elementos debe solicitar el acompañamiento de la Compañía de Seguridad para verificar y cotejar el ingreso o salida de la cantidad de elementos que se registran en el comprobante de ingreso, egreso o traslado y la correspondiente anotación en la bitácora de seguridad. En caso de encontrar observaciones se debe rechazar el ingreso o egreso de los bienes y solicitar al proveedor, Auxiliar Administrativo o contratista realizar las correcciones respectivas para autorizar la actividad de recibo o entrega de elementos hasta tanto la información coincida con la registrada en el comprobante y los documentos anexos de la solicitud. La evidencia se conserva en los comprobantes de ingreso, traslado o egreso y sus documentos soporte, como en la anotación de la minuta de seguridad.</t>
  </si>
  <si>
    <t>Contar con un póliza de seguros y la utilización de sistemas de seguridad para la protección de los elementos de propiedad de la Entidad</t>
  </si>
  <si>
    <t>Programa de seguros/ Sistema de seguridad para la protección de lo elementos</t>
  </si>
  <si>
    <t>Traslados y cambios de personal sin notificar a Almacén para verificar la entrega de los elementos asignados</t>
  </si>
  <si>
    <t>El Auxiliar Administrativo o Contratista asignado cada vez que finalice un contrato de prestación de servicio, apoyo a la gestión o la vinculación de un servidor público debe validar la devolución de los elementos que el colaborador tiene asignado, verificando los elementos asignados registrados en el formato movimientos de Almacén contra el sistema de administración de inventarios, para realizar el descargue o su reasignación, según sea el caso y la expedición de la constancia de devolución de los bienes, conservando copia del recibo del documento por el solicitante. En caso de observaciones, como que no se relacionen la totalidad de los bienes asignados se debe informar al solicitante para que realice las debidas correcciones. La evidencia de la verificación de la devolución de los elementos es la constancia de devolución de bienes, el control de recibido en la copia de la constancia y el formato de movimientos de Almacén solicitando el reintegro o el traslado de los bienes.</t>
  </si>
  <si>
    <t xml:space="preserve">Asegurar la expedición de la constancia de devolución de bienes para el contratista o servidor público como verificación de la obligación contractual o de responsabilidad del servidor público de la devolución de los elementos que se encuentran asignados </t>
  </si>
  <si>
    <t>Constancia de devolución de los bienes, soporte de la expedición y entrega dl paz y salvo</t>
  </si>
  <si>
    <t>Almacenista General, Auxiliar Administrativo o Contratista designado</t>
  </si>
  <si>
    <t>Número de constancias de devolución de bienes/Número de contratos prestación de servicios, apoyo a la gestión o de planta finalizados</t>
  </si>
  <si>
    <t>Adelantar un proceso contractual sin tener la aprobación por parte del comité de contratación o de la instancia correspondiente, en favor propio o de un tercero, a cambio de dádivas o cualquier otro beneficios directo o indirecto.</t>
  </si>
  <si>
    <t>Por la existencia de intereses personales para adelantar un contrato sin haber sido aprobado inicialmente en Comité de Contratación o la instancia correspondiente, generando posibles aperturas de investigaciones disciplinarias y penales y afectaciones a la ejecución presupuestal.</t>
  </si>
  <si>
    <t>Soborno</t>
  </si>
  <si>
    <t>Plan Anual de Adquisiciones
Comité de Contratación- Actas
Expedientes Contractuales - Orfeo</t>
  </si>
  <si>
    <t>Existencia de intereses personales</t>
  </si>
  <si>
    <t xml:space="preserve">R1-C1 
El profesional del proceso de Gestión Contractual, cada vez que tenga que adelantar un proceso contractual (exceptuando las modalidades de mínima cuantía y contratación directa) conforme a las necesidades que se encuentran vinculadas en el PAA-Plan Anual de Adquisiciones, que permite adelantar el proceso en la plataforma SECOP,  verificará previo a su publicación, que este haya sido  aprobado por el comité de contratación y que se realice conforme a lo establecido en la Resolución 300 de 2019 y la Resolución 092 de 2013 que regulan este comité. Como evidencia se cuenta con el correo electrónico institucional que remite el acta de comité de contratación donde los procesos contractuales fueron aprobados y el informe trimestral del seguimiento al PAA
En caso de evidenciar que la necesidad no se encuentra incluida en el PAA, ésta se devolverá a la dependencia generadora de la necesidad, para que solicite la inclusión de la necesidad en el PAA. Como evidencia de la devolución quedará el paso surtido en el aplicativo ORFEO o el correo electrónico institucional correspondiente.
</t>
  </si>
  <si>
    <t xml:space="preserve">Informe trimestral del plan de adquisiciones para verificar y mantener el seguimiento de las necesidades contempladas en el PAA.
</t>
  </si>
  <si>
    <t>informe del seguimiento del Plan de adquisiciones presentado al Comité de Contratación en cada trimestre</t>
  </si>
  <si>
    <t># de Informes trimestrales de seguimiento al Plan Anual de Adquisiciones realizados en la vigencia</t>
  </si>
  <si>
    <t>Dar apertura a las investigaciones disciplinarias para determinar el nivel de responsabilidad de los servidores públicos frente a la materialización del riesgo.</t>
  </si>
  <si>
    <t>Falta de integridad del funcionario encargado de la etapa contractual</t>
  </si>
  <si>
    <t>R1-C2
El gestor de integridad de la Secretaría General semestralmente verificará que se realice la sensibilización del código de integridad por parte de Gestión del Talento Humano (a través de los Gestores de Integridad), al equipo de Gestión Contractual, con el objeto de generar una cultura de integridad en el marco de la lucha contra la corrupción en el proceso GCON, para evitar conductas o comportamientos inadecuados, que transgredan el Código de Integridad UAERMV.  Como evidencia se cuenta con correos electrónicos de solicitud de la sensibilización para la interiorización del código de integridad del equipo de gestión contractual, y los listados de asistencia en cada semestre que permite verificar su participación.
En caso de evidenciar que no se ha realizado la sensibilización semestral, reiterará la solicitud para su realización. Como evidencia:  correo institucional de reiteración de la solicitud para que se realice la sensibilización y poder verificar la participación de equipo gestión contractual.</t>
  </si>
  <si>
    <t>Verificar la participación del equipo de gestión contractual en la interiorización del código de integridad.</t>
  </si>
  <si>
    <t>Listado de asistencia de la sensibilización al Código de integridad</t>
  </si>
  <si>
    <t># de participantes del equipo de gestión contractual a las sensibilizaciones del código de integridad por semestre / # de integrantes del equipo de gestión contractual en el semestre</t>
  </si>
  <si>
    <t>Aceptación de ofrecimientos o dádivas de los proveedores o contratistas para agilizar el trámite de los pagos, en beneficio propio o de un tercero, modificando el orden de presentación de los pagos por parte de los colaboradores.</t>
  </si>
  <si>
    <t>Puede ocurrir que por intereses personales, se presente la aceptación de ofrecimientos o dadivas, en beneficio propio o de un tercero, con el objetivo que se modifique el orden de los pagos a los contratistas, en contravía de lo establecido en el artículo 19 de la Ley 1150 de 2007.</t>
  </si>
  <si>
    <t xml:space="preserve">1.  Tráfico de influencias con el fin de agilizar el pago del contratista
2. No cumplimiento a la circular de pagos generada por la Entidad </t>
  </si>
  <si>
    <t>1. Investigaciones disciplinarias
2. Incumplimiento normativo del derecho al turno - Ley 1150 de 2007
3. Incumplimiento de procedimientos</t>
  </si>
  <si>
    <t xml:space="preserve">Cada vez que se recibe una solicitud de pago a través del sistema de correspondencia Orfeo en su orden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</si>
  <si>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una circular a todos los servidores de la UAERMV donde se establecen las fechas de radicación y pago de las cuentas.</t>
  </si>
  <si>
    <t>Circular</t>
  </si>
  <si>
    <t>Una circular proyectada</t>
  </si>
  <si>
    <t>Reporte del caso a la Secretaría General para tomar las medidas pertinentes</t>
  </si>
  <si>
    <t>Mensualmente la Auxiliar Administrativa recibe las solicitudes de pago según las fechas establecidas en la circular de pagos previamente socializada por los canales de comunicación de la Entidad, con el fin de cumplir con la oportunidad en los pagos las solicitudes se tramitan en el orden con que son recibidas a través del sistema de correspondencia Orfeo. En caso de recibir solicitudes de manera extemporánea, estas se devuelven al contratista o Supervisor para radicarse en el siguiente período establecido para la recepción de solicitudes de pago, como evidencia del control se establece la trazabilidad en el histórico del aplicativo Orfeo.</t>
  </si>
  <si>
    <t>Modificar  los resultados y/o los tiempos de entrega de informes de ensayos a cambio de beneficio a nombre propio o de terceros, con el fin agilizar, retrasar la entrega de informes o hacer que los materiales cumplan especificaciones técnicas.</t>
  </si>
  <si>
    <t>Que los resultados de los ensayos y/o los tiempos de entrega de los informes de ensayo sean modificados a causa de Presiones indebidas por falta de propiedad, gobernanza  o indebida gestión de personal, recursos compartidos, contratos o intereses particulares por parte de los clientes internos. Esto podría ocasionar, afectación de la imagen del laboratorio por retrasos en la prestación de servicio a los clientes internos, e incumplimiento del objetivo del laboratorio (que el ensayo se realice con desviaciones al método).</t>
  </si>
  <si>
    <t>Permitir presiones indebidas por falta de propiedad, gobernanza  o indebida gestión de personal, recursos compartidos, contratos o intereses particulares por parte de los clientes internos.</t>
  </si>
  <si>
    <t>* Afectación de la imagen del laboratorio por retrasos en la prestación de servicio a los clientes internos.
* Incumplimiento del objetivo del laboratorio (que el ensayo se realice con desviaciones al método).
* Afectación de la imagen del laboratorio ante sus clientes.
*Investigaciones disciplinarias</t>
  </si>
  <si>
    <t>Firma del compromiso de imparcialidad  de todo el personal que realiza actividades para el laboratorio</t>
  </si>
  <si>
    <t>Compromisos de confidencialidad e imparcialidad firmados</t>
  </si>
  <si>
    <t>Auxiliara de acreditación</t>
  </si>
  <si>
    <t>3 meses</t>
  </si>
  <si>
    <t>Dar apertura a las investigaciones para determinar el nivel de responsabilidad del personal involucrado frente a la materialización del riesgo</t>
  </si>
  <si>
    <t>Registros de la investigación</t>
  </si>
  <si>
    <t>Secretaria general</t>
  </si>
  <si>
    <t>Cada vez que se materialice el riesgo</t>
  </si>
  <si>
    <t>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</si>
  <si>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t xml:space="preserve">Posibilidad de recibir o solicitar cualquier dádiva o beneficio a nombre propio o de
terceros con el fin de influir en las decisiones judiciales,  términos  procesales , trámites o cualquier otra actuación,  en el desarrollo de procesos judiciales en los que intervenga la UAERMV. 
</t>
  </si>
  <si>
    <t xml:space="preserve">En el marco de los proceso judicales que adelanta la UAERMV se designan apoderados que se encargan de adelantar la defensa judicial  a favor de los intereses de la entidad y  se designanan otros, quienes tienen acceso a  información sobre los procesos judicales para efectos de controlar los mismos.  
Existe riesgo de soborno para los apoderados y para quienes tienen acceso a la información procesal, quienes pueden recibir alguna
contraprestación a cambio de  no realizar seguimiento adecuado a las etapas y términos procesales u omitir la inclusión de piezas documentales en los expedientes  y así favorecer los intereses de un tercero.
</t>
  </si>
  <si>
    <t>Expediente físico y/o digital del proceso</t>
  </si>
  <si>
    <t>Ausencia de control de las actuaciones procesales y su seguimiento en los términos legales.</t>
  </si>
  <si>
    <t xml:space="preserve">1. Vencimiento de términos al no contar con la información y trazabilidad correspondiente
2. Investigaciones disciplinarias penales y fiscales en contra de la entidad
3. Detrimento de la imagen de la entidad frente a sus grupos de valor
</t>
  </si>
  <si>
    <t>El profesional especializado de la OAJ revisará trimestralmente el cumplimiento  de las actuaciones y términos  procesales, a través de un informe de control y seguimiento, donde  se dará cuenta del monitoreo semanal a cada uno de los procesos judicales en los que intervenga la UAERMV.  En caso de encontrar incumplimiento en las actuaciones o términos procesales por parte de los apoderados, se informará al/la Jede de la OAJ por medio de correo electrónico, para que requiera al abogado  y adelante las actuaciones a que haya lugar. Como evidencia se tiene el informe trimestral, el cual estará acompañado de una base de datos con los movimientos semanales de cada proceso y el agendamiento de las actuaciones procesales en un calendario virtual compartido por la oficina.</t>
  </si>
  <si>
    <t>Actualización  del sistema de información  SIPROJ y del expediente físico y digital.</t>
  </si>
  <si>
    <t xml:space="preserve">Reuniones de seguimiento  y control con abogados que tienen a cargo procesos judiciales en los que hace parte la entidad </t>
  </si>
  <si>
    <t>Semanalmente durante toda la vigencia</t>
  </si>
  <si>
    <t>Datos incompletos o errados / Datos revisados 
*tomados de cada expediente</t>
  </si>
  <si>
    <t>Solicitar la
investigación
disciplinaria  y elaborar para el comité de conciliacion la ficha de accion de repeticion .</t>
  </si>
  <si>
    <t>Memorando a la Secretaria General remitiendo el caso para la investigacion a que haya lugar y la ficha  de Conciliación correspondiente.</t>
  </si>
  <si>
    <t>Inapropiado manejo de las piezas documentales  y su no inclusión en el expediente fisico y digital.</t>
  </si>
  <si>
    <t>1. Condenas en contra de la entidad
2. Pérdida de credibilidad a nivel Distrital.</t>
  </si>
  <si>
    <t>El/la Jefe de la OAJ  o la persona que este delegue, revisará semanalmente que  se incorporen todas las piezas procesales en el expediente fisico y virtual   de cada proceso judicial en el que intervenga la UAERMV,   a traves de los aplicativos SIPROJ  y ORFEO, y cotejando que se haya remitido  copia de los documentos al auxiliar administrativo para su inclusión en el expediente físico. En caso de observar que en alguno de los procesos no se encuntra cargada la totalidad de piezas procesales,  se requerirá por correo electrónico al apoderado del proceso que corresponda , para que proceda a incorporar  a los expedientes las piezas procesales que hagan falta. Como evidencia queda mesa de trabajo semanal de seguimiento a los procesos judiales en los que interviene la UAERMV  y el acta de la reunión adelantada por Microsoft Teams.</t>
  </si>
  <si>
    <t xml:space="preserve">1. Omisión de adelantar las actuaciones disciplinarias  en beneficio de los sujetos disciplinados a cambio de alguna retribución. </t>
  </si>
  <si>
    <t>Al omitir  las actuaciones disciplinarias que deben ser adelantadas,  en beneficio de los sujetos disciplinados a cambio de alguna retribución, se puede presentar la prescripción de la acción disciplinaria en favor del investigado, generando impunidad</t>
  </si>
  <si>
    <t>EXPEDIENTE : PROCESO DISCIPLINARIO</t>
  </si>
  <si>
    <t>Deficiencias en el registro  de la información de los procesos disciplinarios en las bases de datos</t>
  </si>
  <si>
    <t>1. No se cumple con el objetivo del proceso de disciplinar a los presuntos autores de conductas disciplinarias.
2. Vencimiento de términos procesales.
3. Caducidad o prescripción de la acción disciplinaria.
4. Sanciones disciplinarias para los responsables de adelantar los procesos.</t>
  </si>
  <si>
    <r>
      <t xml:space="preserve">Control 1.
</t>
    </r>
    <r>
      <rPr>
        <b/>
        <sz val="8"/>
        <rFont val="Arial"/>
        <family val="2"/>
      </rPr>
      <t xml:space="preserve">El Profesional Especializado 222-05 </t>
    </r>
    <r>
      <rPr>
        <sz val="8"/>
        <rFont val="Arial"/>
        <family val="2"/>
      </rPr>
      <t>con funciones disciplinarias, cuenta con dos (2)  bases de datos: Una corresponde al Sistema de Información Disciplinaria -SID (obligatoria para todas las Entidades del Distrito, por lo tanto inmodificable) y la otra  (Base de datos disciplinaria) en las que se relacionan la totalidad de los procesos disciplinarios y en cada uno se registran las actuaciones que se adelantan de acuerdo a la ley, se</t>
    </r>
    <r>
      <rPr>
        <b/>
        <sz val="8"/>
        <rFont val="Arial"/>
        <family val="2"/>
      </rPr>
      <t xml:space="preserve"> verifica CADA VEZ </t>
    </r>
    <r>
      <rPr>
        <sz val="8"/>
        <rFont val="Arial"/>
        <family val="2"/>
      </rPr>
      <t xml:space="preserve">QUE SE GENERA NUEVA INFORMACIÓN dentro de cada expediente que los datos como: fecha del informe/queja que da origen a la actuación, implicados, cargo, fecha de los hechos, etapa procesal, vencimiento de la etapa, conducta disciplinaria, prescipción de la acción, caducidad, fecha última actuación, etc). consignados en las bases datos coincidan con el expediente fisico. </t>
    </r>
    <r>
      <rPr>
        <b/>
        <sz val="8"/>
        <rFont val="Arial"/>
        <family val="2"/>
      </rPr>
      <t xml:space="preserve">Como evidencia </t>
    </r>
    <r>
      <rPr>
        <sz val="8"/>
        <rFont val="Arial"/>
        <family val="2"/>
      </rPr>
      <t xml:space="preserve">quedarán las bases de datos
</t>
    </r>
    <r>
      <rPr>
        <b/>
        <sz val="8"/>
        <rFont val="Arial"/>
        <family val="2"/>
      </rPr>
      <t>En caso de encontra</t>
    </r>
    <r>
      <rPr>
        <sz val="8"/>
        <rFont val="Arial"/>
        <family val="2"/>
      </rPr>
      <t>r diferencias entre la base de datos y el expediente fisico se realizará el ajuste de inmediato.</t>
    </r>
  </si>
  <si>
    <t>Sustanciar los procesos en los que se que generan alarmas en de las bases de datos, de manera prioritaria  y evitar que se materialice el riesgo.</t>
  </si>
  <si>
    <t>Base de datos</t>
  </si>
  <si>
    <t>Profesional especializado proceso CODI</t>
  </si>
  <si>
    <t>(No de procesos registrados en la base de datos con errores / total de procesos registrados de la base de datos) * 100</t>
  </si>
  <si>
    <t>Inicio de la actuación disciplinaria en contra de los responsables.</t>
  </si>
  <si>
    <t>Termino en el que caduca la acción</t>
  </si>
  <si>
    <t xml:space="preserve">Deficiencias en los controles y seguimiento a los procesos </t>
  </si>
  <si>
    <r>
      <t xml:space="preserve">Control 2.
</t>
    </r>
    <r>
      <rPr>
        <b/>
        <sz val="8"/>
        <rFont val="Arial"/>
        <family val="2"/>
      </rPr>
      <t>La Secretaria General y el profesional especializado grado 222-05</t>
    </r>
    <r>
      <rPr>
        <sz val="8"/>
        <rFont val="Arial"/>
        <family val="2"/>
      </rPr>
      <t xml:space="preserve"> con funciones disciplinarias, realizan </t>
    </r>
    <r>
      <rPr>
        <b/>
        <sz val="8"/>
        <rFont val="Arial"/>
        <family val="2"/>
      </rPr>
      <t>verificación mensua</t>
    </r>
    <r>
      <rPr>
        <sz val="8"/>
        <rFont val="Arial"/>
        <family val="2"/>
      </rPr>
      <t xml:space="preserve">l de la implementación de las acciones disciplinarias mediante el desarrollo de reuniones de seguimiento, con el propósito de conocer el estado actual de los procesos disciplinarios, y evidenciar que se hayan adelantado las actuaciones disciplinarias a que hubiere lugar en los términos de ley, dejando como </t>
    </r>
    <r>
      <rPr>
        <b/>
        <sz val="8"/>
        <rFont val="Arial"/>
        <family val="2"/>
      </rPr>
      <t xml:space="preserve">evidencia las actas de reunión.
</t>
    </r>
    <r>
      <rPr>
        <b/>
        <sz val="8"/>
        <rFont val="Arial"/>
        <family val="2"/>
      </rPr>
      <t xml:space="preserve">En caso de </t>
    </r>
    <r>
      <rPr>
        <sz val="8"/>
        <rFont val="Arial"/>
        <family val="2"/>
      </rPr>
      <t>evidenciarse próximos tiempos de vencimiento la Secretaria General imparte las instrucciones para la implementación de la actuación disciplinaria y se realiza el respectivo seguimiento a su cumplimiento.</t>
    </r>
  </si>
  <si>
    <t>Verificar por parte de la titular de la acción disciplinaria, que los expedientes que generaron la alerta en el mes inmediatamente anterior, se les haya dado el impulso procesal correspondiente; los que generen alerta en ese periodo, sean informados a la Secretaria General en esa reunión</t>
  </si>
  <si>
    <t>Actas de reunión</t>
  </si>
  <si>
    <t>(No de reuniones desarrolladas / No De informes de reuniones</t>
  </si>
  <si>
    <t>MAPA DE RIESGOS DE SEGURIDAD DIGITAL 2021_V1 UNIDAD ADMINISTRATIVA ESPECIAL DE REHABILITACIÓN Y MANTENIMIENTO VIAL</t>
  </si>
  <si>
    <t>Pérdida de disponibilidad</t>
  </si>
  <si>
    <t>Falta de un repositorio de respaldo de la información contenida en SISGESTION, por lo tanto, ante una eventual falla en el servicio, la entidad no contará con la disponibilidad de la información afectando el desarrollo de la gestión institucional.</t>
  </si>
  <si>
    <t>  Servicios de computación y comunicaciones: Intranet SISGESTIÓN</t>
  </si>
  <si>
    <t>Desactualización de la carpeta compartida destinada como repositorio de la información documental de la entidad.</t>
  </si>
  <si>
    <t>Afectación en el desarrollo de la gestión institucional</t>
  </si>
  <si>
    <t>El auxiliar admisnistrativo, revisa trimestralmente la copia de seguridad suministrada por el web master, cotejandola contra la información divulgada mensualmente, donde se evidencie la trazabilidad de la información aprobada (vigente que se encuentra en SISGESTION), está se almacenará en el sharepoint, como evidencia del control quedarán los correos electrónicos o actas de reunión de la revision de la información.
En caso de identificar que la información esté incompleta, se solicitará a los responsables las correciones correspondientes y se subirá la información faltante a sisgestión y al sharepoint.</t>
  </si>
  <si>
    <t>Divulgar a través del correo electrónico de la entidad, la actualización de la información documental de los procesos.</t>
  </si>
  <si>
    <t>Jefe de la OAP</t>
  </si>
  <si>
    <t xml:space="preserve">Mensual </t>
  </si>
  <si>
    <t>Utilizar el Back Up realizado por el web master</t>
  </si>
  <si>
    <t>Back Up</t>
  </si>
  <si>
    <t xml:space="preserve">Falta de copias de seguridad permanentes que permitan generar un repositorio de respaldo de la información. </t>
  </si>
  <si>
    <t>El (la) jefe de la Oficina Asesora de Planeación, solicita trimestralmente al web master  la copia de la Información en un Back-Up de la información de SISGESTIÓN, donde el auxiliar admisnistrativo, verificará que este completo. como evidencia del control quedarán actas de reunión o correos de la verificación del Back-Up, en el caso de idéntificar algún faltante de información se realiza el ajuste para completarlo.</t>
  </si>
  <si>
    <t xml:space="preserve">Actualizar el listado maestro de documentos de los procesos </t>
  </si>
  <si>
    <t>Matriz de excel</t>
  </si>
  <si>
    <t>Noviembre</t>
  </si>
  <si>
    <t>Pérdida de la integridad y disponibilidad de base de datos de programación y  segmentos terminados de la UMV</t>
  </si>
  <si>
    <t>Mecanismos de autenticación débil, pueden facilitar una modificación no autorizada (integridad), lo cual causaría la pérdida o eliminación de la disponibilidad de la base de datos.</t>
  </si>
  <si>
    <t>Base de datos de programación y  segmentos terminados de la UMV</t>
  </si>
  <si>
    <t>Perdida de integridad (precisa, coherente y completa) de la información de la Entidad.</t>
  </si>
  <si>
    <t>Interrupciones de las operaciones de la Entidad por un tiempo prolongado y perdida de información crítica para la Entidad que pueda ser recuperada de forma parcial e incompleta.</t>
  </si>
  <si>
    <r>
      <t>El Gerente de Intervención designa a los</t>
    </r>
    <r>
      <rPr>
        <b/>
        <u/>
        <sz val="9"/>
        <rFont val="Arial"/>
        <family val="2"/>
      </rPr>
      <t xml:space="preserve"> profesionales</t>
    </r>
    <r>
      <rPr>
        <sz val="9"/>
        <rFont val="Arial"/>
        <family val="2"/>
      </rPr>
      <t xml:space="preserve"> de la GI para </t>
    </r>
    <r>
      <rPr>
        <b/>
        <u/>
        <sz val="9"/>
        <rFont val="Arial"/>
        <family val="2"/>
      </rPr>
      <t>verificar</t>
    </r>
    <r>
      <rPr>
        <sz val="9"/>
        <rFont val="Arial"/>
        <family val="2"/>
      </rPr>
      <t xml:space="preserve"> el almacenamiento </t>
    </r>
    <r>
      <rPr>
        <b/>
        <u/>
        <sz val="9"/>
        <rFont val="Arial"/>
        <family val="2"/>
      </rPr>
      <t>mensualmente</t>
    </r>
    <r>
      <rPr>
        <sz val="9"/>
        <rFont val="Arial"/>
        <family val="2"/>
      </rPr>
      <t xml:space="preserve"> de la información de las bases de datos de programación y segmentos terminados de la UMV, corroborando si se encuentra precisa, coherente y completa la información en la carpeta compartida destinada para tal almacenamiento. Como </t>
    </r>
    <r>
      <rPr>
        <b/>
        <u/>
        <sz val="9"/>
        <rFont val="Arial"/>
        <family val="2"/>
      </rPr>
      <t>evidencia</t>
    </r>
    <r>
      <rPr>
        <sz val="9"/>
        <rFont val="Arial"/>
        <family val="2"/>
      </rPr>
      <t xml:space="preserve"> se contará con el acta de verificación de integridad de las bases de datos.
</t>
    </r>
    <r>
      <rPr>
        <b/>
        <u/>
        <sz val="9"/>
        <rFont val="Arial"/>
        <family val="2"/>
      </rPr>
      <t xml:space="preserve">En caso que </t>
    </r>
    <r>
      <rPr>
        <sz val="9"/>
        <rFont val="Arial"/>
        <family val="2"/>
      </rPr>
      <t>la información este inexacta o incompleta se solicitará a las profesionales designados completarla</t>
    </r>
  </si>
  <si>
    <t>Solicitar la información completa para el almacenamiento de la base de datos de la programación y segmentos ejecutados en la UMV</t>
  </si>
  <si>
    <t>Acta de verificación de integridad (exacta y completa) de la información</t>
  </si>
  <si>
    <t xml:space="preserve">Convocar en forma
extraordinaria un comité
para analizar y aplicar medidas
inmediatas que permitan cumplir con la programación de obra
</t>
  </si>
  <si>
    <t>Perdida de disponibilidad (accesible y utilizable) de la información de la Entidad.</t>
  </si>
  <si>
    <r>
      <rPr>
        <b/>
        <u/>
        <sz val="9"/>
        <rFont val="Arial"/>
        <family val="2"/>
      </rPr>
      <t>El profesional</t>
    </r>
    <r>
      <rPr>
        <sz val="9"/>
        <rFont val="Arial"/>
        <family val="2"/>
      </rPr>
      <t xml:space="preserve"> designado por el Gerente de Intervención </t>
    </r>
    <r>
      <rPr>
        <b/>
        <u/>
        <sz val="9"/>
        <rFont val="Arial"/>
        <family val="2"/>
      </rPr>
      <t>revisará mensualmente</t>
    </r>
    <r>
      <rPr>
        <sz val="9"/>
        <rFont val="Arial"/>
        <family val="2"/>
      </rPr>
      <t xml:space="preserve"> la disponibilidad de las bases de datos de programación y  segmentos terminados de la UMV que se encuentran ubicados en una carpeta compartida, asegurando su accesibilidad para ser utilizada cuando se requiera.  Como</t>
    </r>
    <r>
      <rPr>
        <b/>
        <u/>
        <sz val="9"/>
        <rFont val="Arial"/>
        <family val="2"/>
      </rPr>
      <t xml:space="preserve"> evidencia</t>
    </r>
    <r>
      <rPr>
        <sz val="9"/>
        <rFont val="Arial"/>
        <family val="2"/>
      </rPr>
      <t xml:space="preserve"> del control quedarán los correos electrónicos informando sobre el estado de la información.
</t>
    </r>
    <r>
      <rPr>
        <b/>
        <u/>
        <sz val="9"/>
        <rFont val="Arial"/>
        <family val="2"/>
      </rPr>
      <t>En caso de</t>
    </r>
    <r>
      <rPr>
        <sz val="9"/>
        <rFont val="Arial"/>
        <family val="2"/>
      </rPr>
      <t xml:space="preserve"> identificar que no se encuentra disponible se solicitará al responsable que permita su acceso y utilización.</t>
    </r>
  </si>
  <si>
    <t xml:space="preserve">Confirmar disponibilidad de bases de datos a traves de correo electrónico </t>
  </si>
  <si>
    <t>Correo electrónico de disponibilidad (accesible y utilizable) de la información.</t>
  </si>
  <si>
    <t>Perdida de la información consignada en el repositorio del proceso de EGTI</t>
  </si>
  <si>
    <t>Puede presentarse la combinación de diferentes factores tales como la insuficiente capacitación del personal que maneja el repositorio, el no poseer un nivel adecuado de seguridad para el acceso al repositorio y/o el cambio en la estructura de la herramienta lo que ocasionaría la perdida de la información, en consecuencia, esto afectaría la trazabilidad de cada uno de los proyecto y contratos dejándolos sin historial de cada una de las decisiones y avances realizados durante los últimos años.</t>
  </si>
  <si>
    <t>Todos los activos de información de los procesos EGTI</t>
  </si>
  <si>
    <t>Deficiencia en la calidad del servicio de los diferentes proveedores</t>
  </si>
  <si>
    <t>1. Perdida de la trazabilidad de cada uno de los proyecto y/o contratos relacionados con el proceso.
2. Parálisis en el procesos.
3. Incumplimiento en las solicitudes realizadas por cualquier ente de control (Interno o externo).
4. Investigaciones disciplinarias.
5. Deterioro de la imagen del proceso.</t>
  </si>
  <si>
    <t>El Líder Técnico del grupo de infraestructura y su equipo, semanalmente deben verificar los servicios y los elementos de infraestructura tecnológica realizando seguimiento y revision en cuanto a redes y comunicaciones de la entidad se refiere, comprobando que e esten cumpliendo con los parametros contratados.
En caso de presentarse caída o degredación del servicio, se escalará al proveedor del servicio la incidencia para su respectiva solución siguiendo el trámite establecido en las condiciones del contrato via correo electronico.
Evidencia: Instrumento de seguimiento, correo electronico cuando aplique.</t>
  </si>
  <si>
    <t>Realizar un monitoreo al sistema pandora donde se evidencie la disponibilidad de los servicios y elementos de la infraestructura tecnológica en cuento a redes y comunicaciones.</t>
  </si>
  <si>
    <t>Informe semanal donde se evidencie la disponibilidad de los servicios y elementos de la infraestructura tecnológica en cuento a redes y comunicaciones.</t>
  </si>
  <si>
    <t>Grupo de EGTI en cabeza del líder técnico del grupo de infraestructura.</t>
  </si>
  <si>
    <t>(Nro. de horas fuera de servicio al mes/Nro. de horas totales hábiles al mes)*100</t>
  </si>
  <si>
    <t>Utilizar el servicio de los respaldo de cada uno de los elementos y/o hacer efectivo los respaldos de los proveedores</t>
  </si>
  <si>
    <t>El reporte de GLPI y las comunicaciones enviadas al proveedor.</t>
  </si>
  <si>
    <t>Lider del grupo de infraestructura</t>
  </si>
  <si>
    <t>Deficiencia en la planeación del los controles de cambio</t>
  </si>
  <si>
    <t xml:space="preserve">El líder técnico de grupo de infraestructura tecnológica designado por la Secretaria General, cada vez que se realice un cambio en la infraestructura tecnológica debe validar lo dispuesto en EGTI-DI-006 Politica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</si>
  <si>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Seguir todas las directrices de la Política de Responsabilidades y Control de Cambios (EGTI-DI-006)</t>
  </si>
  <si>
    <t xml:space="preserve">Registro de control de cambios (EGTI-001) </t>
  </si>
  <si>
    <t>Líder del grupo de Infraestructura, el grupo de infraestructura y todos los involucrados en la adquisición..</t>
  </si>
  <si>
    <t>Cada vez que se realice un cambio en la infraestructura tecnológica.</t>
  </si>
  <si>
    <t>(Nro. De Cambios realizados/Nro. De cambios totales)*100</t>
  </si>
  <si>
    <t>Restablecer la versión anterior al cambio</t>
  </si>
  <si>
    <t>Registro de control de cambios (EGTI-001) .</t>
  </si>
  <si>
    <t>Líder del grupo de Infraestructura y el grupo de infraestructura.</t>
  </si>
  <si>
    <t>Inadecuada planeación de los requisitos tecnológicos</t>
  </si>
  <si>
    <t>El líder técnico de grupo de infraestructura y el líder técnico de grupo de desarrollo designados por la Secretaria General cada vez que se deba realizar una contratación referente a elementos tecnológicos de infraestructura y desarrollo, realizaran una reunión donde se determinen las especificaciones técnicas de los elementos a adquirir, esto para dimensionar el cambio, la usabilidad y el alcance. Producto de esta reunión se determinará la ficha técnica de la contratación y la programación del control de cambios (EGTI-FM-001) para el elemento. 
En el caso de no aplicarse este proceso cuando llegue la adquisición deberá realizarse el control de cambios y determinar el alcance la de la instalación y/o desarrollo.</t>
  </si>
  <si>
    <t>Realizar un reunión para revisar las adquisiciones, construir las fichas técnicas y planear la puesta en marcha.</t>
  </si>
  <si>
    <t>1. Actas de reunión con las respectivas directrices del caso
2. Fichas técnicas para los proceso de contratación.
3. Plan de trabajo para la implementación</t>
  </si>
  <si>
    <t>Cada vez que se realice una contratación</t>
  </si>
  <si>
    <t>(Nro. Adquisiciones de elementos de infraestructura tecnológica/Nro. Total de adquisiciones de infraestructura tecnológica)*100</t>
  </si>
  <si>
    <t>Realizar un plan de identificación y restricción de los recursos para optimizar los procesos.</t>
  </si>
  <si>
    <t>El plan de  identificación y restricción de los recursos</t>
  </si>
  <si>
    <t>Caída total del uno de los sistemas de información de la entidad.</t>
  </si>
  <si>
    <t>Factores como la posibilidad de una falla en la infraestructura, la base de datos y/o la aplicación en general podrían ocasionar la caída total de cualquiera del sistema de información, en consecuencia, afectaría la continuidad de la operación de los procesos misional, estratégicos y de apoyo.</t>
  </si>
  <si>
    <t>Problemas tecnicos por parte de los proveedores
Daño físico de los equipos de red.</t>
  </si>
  <si>
    <t>1. Imposibilidad de acceder a la información del sistema de información
2. Parálisis en el procesos.
3. Incumplimiento en las solicitudes realizadas por cualquier ente de control (Interno o externo).
4. Investigaciones disciplinarias.
5. Deterioro de la imagen del proceso.
6. Perdida de tiempo en todos los proceso de la entidad.</t>
  </si>
  <si>
    <t>Ingreso de personal no autorizado al centro de cómputo con el fin de afectar la infraestructura tecnológica de la Entidad.</t>
  </si>
  <si>
    <t>Puede presentarse que ingrese personal no autorizado al centro de cómputo y realice manipulación de los equipos y/o las redes de forma incorrecta, y esto a causa de fallas en la seguridad de los controles de acceso, en consecuencia, puede afectar la disponibilidad del servicio de la infraestructura tecnológica, impactando la operación de los procesos misionales, de apoyo y estratégicos.</t>
  </si>
  <si>
    <t>Equipos de redes, firewall, control de acceso.</t>
  </si>
  <si>
    <t>Carencias en la asignación de permisos a los usuarios para ingresar al centro de computo.</t>
  </si>
  <si>
    <t>1. Indisponibilidad de los servicios de IT.
2. Daño físico de los equipos y redes de IT.
3. Hurto de equipos de propiedad o bajo custodia de la Entidad.
4. Parálisis en el procesos.
5. Incumplimiento en las solicitudes realizadas por cualquier ente de control (Interno o externo).
6. Investigaciones disciplinarias.
7. Deterioro de la imagen del proceso.
8. Perdida de tiempo en todos los proceso de la entidad.
9. Mal funcionamiento del sistema Biometrico
10.El bloqueo del sistema biometrico afectaria el acceso a las sedes y a los datacenter de la entidad.</t>
  </si>
  <si>
    <t>Los Analistas de Mesa de ayuda designados por el Lider de Infraestructura, cada año o cuando ingrese o egrese un funcionario público y/o contratista con permisos de ingreso, deben verificar que el formato GSIT-FM-010-V2 Formato Gestion de Credenciales de Acceso y Novedades cumpla con los permisos correspondientes, para realizar el proceso de depuración de los usuarios con acceso al centro de cómputo; en caso de requerir el acceso a un tercero, debe solicitarse el permiso via correo electronico al Lider de Infraestructura el cual notificará a los Analistas, una vez se ingrese al centro de computo debe diligenciarse el formato GSIT-FM-003-V1 Bitacora Ingreso-Salida Centro Computo; de este proceso resultará un documento maestro de acceso donde se especifican los colaboradores que tienen acceso, los roles y el rango de tiempo en los cuales tendrán acceso. Con base en el documento maestro de el Lider de Infraestructura realizará un informe trimestral de seguimiento en donde debe validar el registro de ingreso de personal autorizado y no autorizado al centro de cómputo, esto con el fin de garantizar la seguridad de cada uno de los elementos que se encuentran en el centro de cómputo.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realizo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Lider de Infraestrcutura para que realiza los respectivos tramites ante el proveedor para su correctos solicitud de permisos.</t>
  </si>
  <si>
    <t>Los Analistas deben configurar el biométrico con los permisos de los usuarios y quienes ingresen al centro de computo deben diligenciar el formato GSIT-FM-003-V1 Bitacora Ingreso-Salida Centro Computo</t>
  </si>
  <si>
    <t>GSIT-FM-010-V2 Formato Gestion de Credenciales de Acceso y Novedades.
GSIT-FM-003-V1 Bitacora Ingreso-Salida Centro Computo</t>
  </si>
  <si>
    <t>Analista soporte nivel II</t>
  </si>
  <si>
    <t>La versión inicial del plan maestro se deberá realizar en Marzo del 2021 y se deben realizar actualizaciones cada vez que ingrese alguien autorizado al datacenter.</t>
  </si>
  <si>
    <t>Porcentaje de avance del documento</t>
  </si>
  <si>
    <t>Configurar el acceso al data center únicamente a los siguientes roles:
- Líder de TI
- Líder de Infraestructura tecnológica.
- Líder Desarrollo de los sistemas de información</t>
  </si>
  <si>
    <t>Documento de asignación de permisos</t>
  </si>
  <si>
    <t>Líder del grupo de infraestructura</t>
  </si>
  <si>
    <t>Firmware desactualizado</t>
  </si>
  <si>
    <t>Los Analistas de Mesa de Ayuda, Trimestralmente deben verificar las notas de la version del firmware actual de los equipos biométricos de las sedes Administrativa y Operativa, comparandolas con las existentes en el sitio web oficial del fabricante, mediante el diligenciamiento de la bitacora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actualizacion del dispositivo. 
La evidencia de esta actividad es el diligenciamiento de la bitacora de Seguimiento de Infraestructura, las notas de la version, correo electrónico  y el plan de actualizacion cuando aplique.</t>
  </si>
  <si>
    <t>Verificar las Notas de la version del firmware actual de los equipos biométricos de las sedes Administrativa y Operativa.</t>
  </si>
  <si>
    <t>Bítacora de seguimiento de infraestructura</t>
  </si>
  <si>
    <t>(Número de Seguimientos realizados / número de Seguimientos programadas )*100</t>
  </si>
  <si>
    <t xml:space="preserve"> Escalamiento correspondiente al Líder de Infraestructura vía correo electrónico quien solicitará por la misma vía al proveedor FAMOC la realización del plan de trabajo para la actualizacion del dispositivo.</t>
  </si>
  <si>
    <t>Firmware Actualizado</t>
  </si>
  <si>
    <t>FAMOC</t>
  </si>
  <si>
    <t>Indisponibilidad de los equipos de seguridad perimetral</t>
  </si>
  <si>
    <t>Factores como la variacion de tension, escalamiento de privilegios,  errores humanos y la obsolencia tecnologica, pueden ocasionar indisponibilidad de los servicios tecnológicos en la Entidad.</t>
  </si>
  <si>
    <t>Equipos de seguridad perimetral</t>
  </si>
  <si>
    <t>Variacion de tension
Escalamiento de privilegios.
Error humano.
Obsolencia tecnologica.</t>
  </si>
  <si>
    <t>Fallas electricas</t>
  </si>
  <si>
    <t>1. Indisponibilidad de los servicios de infraestructura tecnológica.
2. Parálisis en todos los procesos de la entidad.
3. Incumplimiento en las solicitudes realizadas por cualquier ente de control (Interno o externo).
4. Investigaciones disciplinarias.
5. Deterioro de la imagen del proceso.
6. Mal Uso de los elementos de infraestructura tecnológica
7. Mal funconamiento de los elementos de infraestrcutura tecnologica.</t>
  </si>
  <si>
    <t>El especialista de seguridad informatica, cada vez que ocurra el evento se debe revisar los logs de los equipos de seguiridad perimetral para verificar que los apagados no controlados no causaron daños en estos, diligenciando la bitacora "Seguimiento de estado de equipos de seguridad perimetral".
En caso de presentarse alguna alerta de apagado no controlado y/o daño de los equipos de seguridad pertimetral, se debe notificar via correo electronico al lider de infraestructura para que realice el escalamiento pertinente.
Las evidencia de esta actividad es el diligenciamiento de la bitacora "Seguimiento de estado de equipos de seguridad perimetral", los logs de los equipos de seguridad pertimetral y los correos de notificacion de escalamiento del evento cuando aplique.</t>
  </si>
  <si>
    <t xml:space="preserve">Revisar los logs de los equipos de seguiridad perimetral </t>
  </si>
  <si>
    <t>Bitacora de seguimiento de estado de equipos de seguridad perimetral</t>
  </si>
  <si>
    <t>Especialista Seguridad Informática</t>
  </si>
  <si>
    <t>Cada vez que ocurra un evento de apagado no controlado</t>
  </si>
  <si>
    <t>(Numero de logs con falla critica/Numero de logs con estado de apagado no controlado)*100</t>
  </si>
  <si>
    <t>Se debe escalar al Lider de Infraestrcutura el incidente</t>
  </si>
  <si>
    <t>Logs de equipos de seguridad perimetral y correos electronicos de escalamiento de incidente</t>
  </si>
  <si>
    <t>El especialista de seguridad informatica, cada cuatro meses (4) meses debe verificar las notas de la version del firmware actual de los equipos de seguridad perimetral comparandolas con las existentes en el sitio web oficial del fabricante mediante el diligenciamiento de la bitacora "seguimiento de actualizacion de firmware de equipos perimetrales",  en caso de existir nuevas versiones se realizará el plan de trabajo para la actualizacion del dispositivo. 
La evidencia de esta actividad es el diligenciamiento de la bitacora "seguimiento de actualizacion de firmware de equipos perimetrales", las notas de la version y el plan de actualizacion cuando se ejecute.</t>
  </si>
  <si>
    <t>Verificar las notas de la version del firmware actual de los equipos de seguridad perimetral</t>
  </si>
  <si>
    <t>Número de verificaciones realizadas/Número de verificaciones planeadas*100</t>
  </si>
  <si>
    <t>Plan de trabajao para actualizacion de equipos de seguridad perimetral</t>
  </si>
  <si>
    <t xml:space="preserve">Omisión de aplicación política de responsabilidades y control de cambios (EGTI-DI-006) </t>
  </si>
  <si>
    <t>Seguir todas las directrices en EGTI-DI-006 Politica de Responsabilidades y Control de Cambios y  convocar a reunión a los colaboradores a los cuales impacte dicho cambio</t>
  </si>
  <si>
    <t>EGTI-FM-001 Formato Control de Cambios</t>
  </si>
  <si>
    <t>Líder del grupo de Infraestructura y el grupo de infraestructura e implicados.</t>
  </si>
  <si>
    <t>Restablecer el cambio a la versión a anterior</t>
  </si>
  <si>
    <t>Carencia en el control y verificación de tiempos de obsolescencia de los equipos, versiones de programación de los sistemas de información y estudio de compatibilidad con la infraestructura tecnológica de cada uno.</t>
  </si>
  <si>
    <t>El especialista de seguridad inforamatica cada seis (6) meses debe verificar el End of Support (EoS) en la pagina web del fabricante determinando el estado de este, diligenciando la bitacora  "Seguimiento de estado de equipos de seguridad perimetral"; y cada vez que se deba realizar una compra de un elemento de la infraestructura tecnológica, deberá realizar una ficha tecnica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via correo electronico, para su respectivo escalamiento, por otra parte, en caso que el elemento de infraestructura requerido supere el presupuesto disponible, se debe incluir en el plan de adquisiciones de la proxima vigencia. 
La evidencia de la actividad del EoS es el diligenciamiento de la bitacora "Seguimiento de estado de equipos de seguridad perimetral" y notificaciones via correos electronicos cuando aplique.
La evidencia de la actividad adquisicion de elementos de infraestructura es la ficha tecnica del elemento y el plan de adquisiciones cuando aplique.</t>
  </si>
  <si>
    <t xml:space="preserve">Verificar End of Support (EoS) en pagina web de fabricante de equipos </t>
  </si>
  <si>
    <t>(Numero de verificaciones realizadas/Numero de verificaciones planeadas)*100</t>
  </si>
  <si>
    <t>Correo electronico de escalamiento
Plan de adquisicones nueva vigencia</t>
  </si>
  <si>
    <t>Ausencia de mantenimiento de cada uno de los equipos de infraestructura tecnológica</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</si>
  <si>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segun lo programado, se escala al Líder de Infraestructura vía correo electrónico la no ejecución, quien tomará las acciones correspondientes.
Evidencia: Hoja de Vida de Equipos Activos de Red, Plan de Mantenimiento,correo electrónico cuando aplique.</t>
  </si>
  <si>
    <t>Verificar ejecucion de mantenimiento programados para equipos activos de red</t>
  </si>
  <si>
    <t>Plan de mantenimiento anual
Hoja de vida e equipos activos de red</t>
  </si>
  <si>
    <t>Lider de Infraestructura 
Especialista Seguridad Informática</t>
  </si>
  <si>
    <t>(Nro. De actividades planeadas/Nro. De actividades Totales)*100</t>
  </si>
  <si>
    <t>Correo electronico de escalamiento</t>
  </si>
  <si>
    <t>Lider de Infraestructura</t>
  </si>
  <si>
    <t>Indisponibilidad de los servicios de Oracle Cloud Infrastructure y Correo electronico en Office 365</t>
  </si>
  <si>
    <t>Afectación de la plataforma tecnológica de canales Oracle Cloud y Correo electrónico Office 365.</t>
  </si>
  <si>
    <t>Servidores en Oracle Cloud Plataforma Office 365</t>
  </si>
  <si>
    <t>1. Acceso indebido por usuarios con privilegios 
2. Indisponibilidad de los servicios de Internet.
3. Problemas tecnicos por parte de los proveedores</t>
  </si>
  <si>
    <t>Acceso de usuarios con privilegio de administracion.</t>
  </si>
  <si>
    <t xml:space="preserve">Imposibilidad de acceder a las plataformas de administracion
Alteracion de datos o configuraciones.
Afectacción a los servicios contratados dentro del licenciamiento.
</t>
  </si>
  <si>
    <t xml:space="preserve">El líder del grupo de infraestructura designado por la Secretaria General, junto con el equipo de infraestructura, cada cuatro meses debe realizar el proceso de verificacion y depuración de los usuarios que tienen acceso a las plataformas Oracle Cloud Infrastructure y Office 365, de acuerdo a la fecha de finalizacion de contrato cotejando con el directorio activo, En el caso de encontrar usuarios retirados de la compañia pero con acceso vigente a las plataformas se debera eliminar inmediatamente la cuenta de usuario; de este proceso resultará la bitacora de seguimiento de infraestructura donde se especifica los roles y perfiles de los colaboradores y el rango de tiempo en los cuales tendrán acceso, esto con el fin de garantizar la seguridad en el acceso en las plataformas. </t>
  </si>
  <si>
    <t>Realizar monitoreo trimestral de los usuarios que inician sesion en la plataforma y decidir que privilegios de acceso tendran los usuarios en funcion al rol</t>
  </si>
  <si>
    <t>bitacora de seguimiento de infraestructura</t>
  </si>
  <si>
    <t>Especialistas Servodores</t>
  </si>
  <si>
    <t>(Nro. De informes realizados/Nro. de informes Planeados)*100</t>
  </si>
  <si>
    <t>Realizar un nuevo estudio de los perfiles y roles de usuario y configurar permisos de acuerdo a los resultados</t>
  </si>
  <si>
    <t>Fallo en los servicios del proveedor (Infraestructura Microsoft)</t>
  </si>
  <si>
    <t>Los especialistas de serividores mensualmente deben verificar que los servicios prestados por el proveedor Microsoft se encuentren disponibles diligenciando la bitacora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</si>
  <si>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de serividores mensualmente deben verificar que los servicios prestados por el proveedor Microsoft se encuentren disponibles.</t>
  </si>
  <si>
    <t>(Nro. De incidencias presentadas/Nro. de Incidencias reportadas)*100</t>
  </si>
  <si>
    <t>Crear un caso de soporte técnico con el proveedor mediante Service Request  y se notifica al Líder de infraestructura vía correo electrónico la incidencia presentada, para que tome las medidas correspondiente, según sea el caso.</t>
  </si>
  <si>
    <t>Solicitud de Servicio
Correo electrónico de escalamiento</t>
  </si>
  <si>
    <t xml:space="preserve">Indisponibilidad Servidor antivirus </t>
  </si>
  <si>
    <t>el Fallo o Caida del servicio de la plataforma de antivirus, los equipos no tendrian actualizaciones de las bases de datos quedando expuestos a virus y amenasas en la red .</t>
  </si>
  <si>
    <t>SRV_ANTIVIRUS</t>
  </si>
  <si>
    <t>1. Indisponibilidad de los servicios de red e internet
2. Problemas tecnicos por parte de los proveedores</t>
  </si>
  <si>
    <t>1. Fallo en el servicio de antivirus en los equipos cliente.</t>
  </si>
  <si>
    <t>No tener soporte por parte del proveedor.
NO poder tener actualizadas las bases de datos de virus en los equipos.</t>
  </si>
  <si>
    <t>Los especialistas de servidores semanalmente deben revisar que el agente este activo y actualizado en los equipos de la entidad, ingresando a la consola de administracion de antivirus en el modulo de tareas automaticas donde se evidenciara el estado de los agentes. 
Se anotara en la bitacora de seguimiento de infraestructura instaladas con la fecha y hora de instalacion.
En caso de encontrar equipos en estado critico o en estado desactualizado se intentarar reinstalar el agente desde la consola y en caso que no se logre se apoyara con la mesa de ayuda para la instalacion manual, como evidencia quedan el diligenciamiento de la bitacora con las actualizaciones instaladas, los reportes generados por la consola de antivirus y/o los casos de mesa de ayuda colocados para tal fin.</t>
  </si>
  <si>
    <t>Los especialistas en servidores deben reinstalar el agente desde la consola en caso de encontrar equipos en estado critico o en estado desactualizado se intentarar reinstalar el agente desde la consola y en caso que no se logre se apoyara con la mesa de ayuda para la instalacion manual mediante un ticke</t>
  </si>
  <si>
    <t>(Nro. De informes realizados/Nro. de semanas)*100</t>
  </si>
  <si>
    <t>Programar Tarea de analisis completo desde la consola al equipo afectado.
programar reinstalacion del antivirus.</t>
  </si>
  <si>
    <t>Reporte Tarea ejecutada generado desde la consola</t>
  </si>
  <si>
    <t>Especialistas Servidores</t>
  </si>
  <si>
    <t>2. NO tener Acceso al servidor</t>
  </si>
  <si>
    <t>Los especialistas en servidores designados por la Secretaria General, semanalmente deben revisar que el servidor tenga las ultimas actualizaciones de bases de datos, incluyendo Windows Update. Ingresando al servidor  a la consola de antivirus y al configuracion de actualizaciones de windows donde se evidenciara si se encuentra actualizado a la fecha.
Se anotara en la bitacora las actualizaciones instaladas con la fecha y hora de instalacion.
En caso que no lo este se correra la utilidad de actualizaciones automaticas para actualizar el equipo lo mismo aplica para la consola, como evidencia quedan los log ubicados en la ruta C:\Windows\Logs\WindowsUpdate del servidor e imprimir el reporte Informe de uso de las bases de datos antivirus de la consola.</t>
  </si>
  <si>
    <t>Los especialistas deben actualizar las bases de datos y aplicar parches si es requerido a la consola de antivirus y ejecutar las actualizaciones de windows manualmente</t>
  </si>
  <si>
    <t>Recuperacion del sistema operativo.
Recuperacion del perfil de usuario
Restauracion Servidor</t>
  </si>
  <si>
    <t xml:space="preserve">Log de actualizaciones de Windows Update.
Informe uso base de datos </t>
  </si>
  <si>
    <t>3. No licenciamiento.</t>
  </si>
  <si>
    <t>Los especialistas de servidores designado por la Secretaria General cada cuatro meses deben revisar la vigencia de la licencia, ingresando a la consola de administracion de antivirus en el modulo de licenciamiento e imprimir el informe de uso de claves de licencia que genera la consola, diligenciando la bitacora de seguimiento de infraestructura, si la fecha de vencimiento esta proxima a expirar se informara por medio de correo electronico al Lider de infraestructura por lo menos con un mes de antelacion a la fecha de vencimiento a fin de que este pueda generar la requisicion de compra de nuevo licenciamiento. como evidencia de esta actividad queda el correo enviado y el reporte de uso de claves generado desde la consola de antivirus, a su vez se dejara registro en la bitacora de infrestructura la fecha de revision.</t>
  </si>
  <si>
    <t xml:space="preserve">Los especialistas deben informar al lider de infraestructura con un mes anticipado a la fecha de vencimiento de la licencia </t>
  </si>
  <si>
    <t>(Nro. De Informes realizados/Nro de meses * 100)</t>
  </si>
  <si>
    <t>el Lider de Infraestructura debe realizar la requisicion de compra de licencias. Una vez adquiridas la licencias, los especilastas en servidores procederan con la respectiva configuracion y distribucion entre los equipos de la entidad apoyados con la mesa de ayuda</t>
  </si>
  <si>
    <t>Casos reportados en la mesa de ayuda</t>
  </si>
  <si>
    <t>indisponibilidad servicios de Directorio Activo</t>
  </si>
  <si>
    <t>el Fallo o Caida del servicio de Directorio Activo causaria que los equipos no tengan acceso a los servicios de red (servidor de Archivos, impresión, DNS, DHCP, Navegcion a internet) ya que no estaría disponible la autenticacion de usuarios</t>
  </si>
  <si>
    <t>UMVSVRDC02 
UMVSVRDC03 
UMVSVRDC04
OCI-SRV-AD
OCI-SRV-AD_HA</t>
  </si>
  <si>
    <t>1. Indisponibilidad de los servicios de red.
2. Daño físico de los equipos y redes de IT.
3. Hurto de equipos de propiedad o bajo custodia de la Entidad.</t>
  </si>
  <si>
    <t xml:space="preserve">Daños Fisicos en los equipos que se pueden presentar por Falta de mantenimiento fisico preventivo, desgaste natural de los componentes electronicos, Fallos en el circuito electrico </t>
  </si>
  <si>
    <t xml:space="preserve">Perdida del los servicios de red, por no poder realzar el log on de los usuarios
Los usuarios no podran iniciar sesion en los equipos
</t>
  </si>
  <si>
    <t>El Lider del grupo de infraestructura designado por la Secretaria General junto con el grupo de infraestructura cada  cuatro meses debe revisar el cumplimiento al plan de mantenimiento anual donde se incluye el mantenimiento a los servidores fisicos, diligenciando la bitacora de infraestructura, en caso que no se cumpla el plan de mantenimento este se escalara al lider de infraestructura via correo electronico, quien dara las instrucciones a seguir a fin de garantizar el correcto funcionamiento de los servidores, como evidencia de esta actividad quedara el registro en la bitacora de infraestructura, los correos electronicos cuando aplique,el informe de mantenimiento, el plan de mantenimiento.</t>
  </si>
  <si>
    <t>El lider de infraestructura debera informara a los especialistas de servidores el plan de mantenimento preventivo para los servidores, Programar mantenimiento fisico preventivo a los equipos y monitorear que la actividad se realice a cabo y en caso de ser necesario se apoyara con la mesa de ayuda</t>
  </si>
  <si>
    <t>Planilla de mantenimiento
bitacora de seguimiento de infraestructura</t>
  </si>
  <si>
    <t>Lider de Infraestructura y especialistas en servidores</t>
  </si>
  <si>
    <t>(Nro. de mantenimientos realizados / Mantenimientos programados) *100</t>
  </si>
  <si>
    <t>El especialista en servidores realizara un diagnostico al equipo servidor, si dicho diagnostico da como resultado que el fallo es generado por un componente,  se informara al lider de infraestructura quien debera realizar la adquicion del mismo y hara entrega del componentee para realizar el respectivo cambio,  si el daño se encuentra en un disco se debera realizar rle cambio y posterior montaje de sistema operativo y realizar la restauracion del directorio activo.</t>
  </si>
  <si>
    <t>Formato control de cambios</t>
  </si>
  <si>
    <t>Corrupcion o deterioro del sistema operativo que pueden ocaciones daños en la Configuracion del servidor o en las base de datos del directorio activo.</t>
  </si>
  <si>
    <t>Los especialistas de Servidores designados por la Secretaria General, trimestralmente deberan verificar el funcionamiento del servidor de directorio activo  realizando un mantenimiento lógico preventivo (defragmentacion de disco, limpieza de archivos temporales, verificacion e instalacion de actualizaciones), diligenciando la Bitacora de infraestructura, en caso que el mantenimiento evidencie un mal funcionamiento en los servicios, se procedera a realizar un backup del directorio activo y se escala via correo electronico al lider de infraestructura la novedad, como evidencia de esta actividad quedan el registro en la bitacora de infraestructura, el backup del directorio activo y correo electronico cuando aplique.</t>
  </si>
  <si>
    <t>Revisar que los backup programados se esten realizando correctamente, validar la instalacion de actualizaciones del sistema operativo</t>
  </si>
  <si>
    <t>Nro. de Backups realizados / programados *100</t>
  </si>
  <si>
    <t>En caso de fallo en la realizacion del Backup, se revisara la causa programacion del backup, se realizara de manera manual. Lo mismo aplica para las actualizaciones automaticas</t>
  </si>
  <si>
    <t>indisponibilidad Servidor de archivos</t>
  </si>
  <si>
    <t>El fallo o caida del servidor de archivos afecta directamente el acceso a la bodega de datos de orfeo y carpetas compartidas</t>
  </si>
  <si>
    <t>OCI-FILESRV
OCI-FILESRV_HA</t>
  </si>
  <si>
    <t>1. Indisponibilidad de los servicios de IT.
2. Daño físico de los equipos de red.
3. Indisponibilidad de los servicios de red e internet
4. Problemas tecnicos por parte de los proveedores Cloud</t>
  </si>
  <si>
    <t>Corrupcion o deterioro del sistema operativo que pueden ocasionar daños en la Configuracion del servidor</t>
  </si>
  <si>
    <t>Los usuarios no podran acceder a la informacion almacenada en las carpetas compartidas, asi como el servidor de Orfeo no podra leer la bodega de datos.
Afectacción a los servicios contratados dentro del licenciamiento.</t>
  </si>
  <si>
    <t>Los especialistas en servidores designados por la Secretaria General, semanalmente  deben verificar que se esten realizando las copias de seguridad de las maquinas que estan en la plataforma Oracle cloud mediante el diligenciamiento de la bitacora de infraestructura , en caso de evidenciar que no se ejecuto el backup programado, se debera realizar inmediatamente la copia y el escalameiento correspondiente al proveedor de servicio mediante la plataforma service request, como evidencia de esta actividad se tiene bitacora de infraestructura, el escalamiento al proveedor del servicio cuando aplique.</t>
  </si>
  <si>
    <t xml:space="preserve">El especialista de Servidores programa en la plataforma de oracle Coud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</si>
  <si>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 y confugrando nuevamente carpetas compartidas.</t>
  </si>
  <si>
    <t>Fallo en los servicios del proveedor (Infraestructura Oracle)</t>
  </si>
  <si>
    <t>Los especialistas de serividores mensualmente deben verificar que los servicios prestados por el proveedor Oracle se encuentren disponibles diligenciando la bitacora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Bitacora de Seguimiento de Infraestructura, Solicitud de Servicio cuando aplique y correo electrónico cuando aplique.</t>
  </si>
  <si>
    <t>Los especialistas de serividores mensualmente deben verificar que los servicios prestados por el proveedor Oracle se encuentren disponibles.</t>
  </si>
  <si>
    <t>En caso de presentarse degradación en el servicio, se crea un caso de soporte técnico con el proveedor mediante Service Request  y se notifica al Líder de infraestructura vía correo electrónico la incidencia presentada.</t>
  </si>
  <si>
    <t>Indisponibilidad servidor GLPI</t>
  </si>
  <si>
    <t xml:space="preserve">El fallo del servdor de GLPI afectaria los servicios de soporte a usuarios a tra vez de la mesa de ayuda </t>
  </si>
  <si>
    <t>GLPI
CI_GLPI_Test</t>
  </si>
  <si>
    <t>Corrupcion o deterioro del sistema operativo</t>
  </si>
  <si>
    <t>Los usuarios no podran acceder a la plataforma para generar los casos de mesa de ayuda</t>
  </si>
  <si>
    <t>Los especialistas en servidores designados por la Secretaria General a traves de la plataforma de administracion de Oracle cloud semanalmente deben verificar que se esten ejecutandolas tareas de copias de seguridad de la maquina virtual y sus discos adjuntos de acuerdo a las politicas de backup establecidas en  la plataforma diligenciando la bitacora de infraestructura,en caso de evidenciar que no se ejecuto el backup programado, se debera realizar inmediatamente la copia y el escalamiento correspondiente al proveedor de servicio mediante la plataforma service request, como evidencia de esta actividad se tiene bitacora de infraestructura, el escalamiento al proveedor del servicio cuando aplique.</t>
  </si>
  <si>
    <t xml:space="preserve">El especialista de Servidores programa en la plataforma de oracle Cloud la realizacion del backup del servidor virtual asi como de las unidades de disco adjuntadas al servidor </t>
  </si>
  <si>
    <t>Los especialistas en servidores realizaran un diagnostico del servidor para evaluar si se restaura el servidor desde un backup o de ser necesesario se creara un nuevo servidor attachando los discos duros.</t>
  </si>
  <si>
    <t>Corrupcion,  deterioro o daño en las bases de datos del aplicativo</t>
  </si>
  <si>
    <t xml:space="preserve">el especialista Gestor Herramienta GLPI desigando por la Secretaria General, semanalmente verificara que se este realizando la copia de seguridad de la base de datos (mySql) de la herramienta GLPI desde la consola de mysql diligenciando la bitacora de infraestructura, en caso de evidenciar que no se este realizando la copia se debera realizar un backup de manera manual y escalar al lider de infraestructura mediante correo lectronico quien dara las instrucciones a seguir a fin de garantizar el correcto funcionamiento de los servidores, como evidencia de esta actividad se tomara el screenshot de la consola y de la ruta donde se almacenan los backup.  </t>
  </si>
  <si>
    <t xml:space="preserve">El Gestor Herramienta GLPI programa una copia diaria de la bases de datos  (MySql) de la herramienta GLPI. </t>
  </si>
  <si>
    <t>El especialista gestor de la herramienta GLPI realizara la restauracion de la bases de datos (MySql) junto con las respectivas pruebas de funcionamiento</t>
  </si>
  <si>
    <t>Especialista Gestor Herramienta GLPI</t>
  </si>
  <si>
    <t>indisponibilidad servidor SpiceWorks</t>
  </si>
  <si>
    <t>El fallo del servidor SpiceWork afectaria el control de inventarios de tecnologia</t>
  </si>
  <si>
    <t>SpiceWork</t>
  </si>
  <si>
    <t>Corrupcion o deterioro de la base de datos</t>
  </si>
  <si>
    <t xml:space="preserve">No se podra tener acceso a la informacion de los equipos, ni se podra agrNo se podra acceder al servidor o en su defecto daño en las configuraciones o servicios principalesegar o dar baja al inventario de equipos de la entidad 
</t>
  </si>
  <si>
    <t>El profesional especializado designado por la Secretaria General, mensualmente validara que se este realizando el backup diario de las bases de datos,mediante el diligenciamiento de la bitacora de infraestructura, en caso de que se evidencie que no se este realizando el backup se realizara inmediatamente una copia de seguridad y se escalara via correo electrinico al lider de infraestructua  quien dara las instrucciones a seguir a fin de garantizar el correcto funcionamiento de los servidores, como evidencia de esta actividad queda el registro en la bitacora de infraestructura, correo electronico cuando aplique.</t>
  </si>
  <si>
    <t>El profesional especializado dvalidara que se este realizando el backup diario de las bases de datos</t>
  </si>
  <si>
    <t>Profesional Especializado</t>
  </si>
  <si>
    <t>Mesual</t>
  </si>
  <si>
    <t>Realizar Backup inmediatamente</t>
  </si>
  <si>
    <t>Técnico Operativo</t>
  </si>
  <si>
    <t>Los especialistas en servidores designados por la Secretaria General mensualmente verifcara que en la plataforma de Oracle cloud se este realizando la tarea de backup programda de acuerdo a las politicas mediante el diligenciamiento de la bitacora de infraestructura, en caso que se evidencie que no se este realizando la copia de seguridad, se realizara inmediatamente una copia de seguridad y se escalara a Oracle cloud creando el caso mediante la herramienta  de service Request, como evidencia de esta actividad se deja registro en la bitacora de infraestructura y el correo electronico generado en Service Request.</t>
  </si>
  <si>
    <t>Especialistas Servidores verifcarán que en la plataforma de Oracle cloud se este realizando la tarea de backup programda</t>
  </si>
  <si>
    <t>indisponibilidad servidor Project</t>
  </si>
  <si>
    <t xml:space="preserve">Caida del servidor o fallos de la aplicación deajria a los usuarios sin el servicio de project impidiendo el acceso a informacion como cronogramas de proyectos </t>
  </si>
  <si>
    <t>SRV_PROJECT</t>
  </si>
  <si>
    <t>Corrupcion del software Project</t>
  </si>
  <si>
    <t>Los usuarios no podran crear cronogramas, ni revisar sus proyectos guardados para realizar seguimiento a planes de trabajo
No se podra acceder al servidor o en su defecto daño en las configuraciones o servicios principales</t>
  </si>
  <si>
    <t>El especialista soporte nivel 2 designado por la Secretaria General, una vez al mes debe revisar  el estado de funcionamiento de la aplicacion microsoft project mediante el diligenciamiento de la bitacora de infraestructura, en caso que se evidencie degradacion en el servicio procedera a validar el funcionamiento y se informara via correo electronico al lider de infraestructura quien dara las instrucciones a seguir, como evidencia de esta actividad queda el registor en la bitacora de infraestructura el correo electronico cuando aplique.</t>
  </si>
  <si>
    <t>El especialista nivel 2 realiza actualizaciones del programa microsoft project</t>
  </si>
  <si>
    <t>Especialista II</t>
  </si>
  <si>
    <t>Nro. De Seguimientos realizados / Totales * 100</t>
  </si>
  <si>
    <t>El especialista Nivel 2 realizara la instalacion de la aplicación microsoft project</t>
  </si>
  <si>
    <t>El especialista soporte nivel 2 designado por la Secretaria trimestralmente realizara una revision de rendimiento de la VM diligenciando la bitacora de infraestructura,  en caso que se evidencie degradacion en el rendimiento del servicio, se debe reportar mediante correo electronico al lider de infraestructura las posibles causas de la degradacion del servicio , quien dara las instrucciones a seguir, como evidencias de esta actividad quedara el registro en la bitacora de infraestructura y correo electronico cuando aplique.</t>
  </si>
  <si>
    <t>El especialista en servidores relizara una vez al mes la instalacion de actualizaciones automaticas</t>
  </si>
  <si>
    <t>el especialista en servidores realizara la restauracion del la maquina desde el ultimo backup realizado</t>
  </si>
  <si>
    <t>indisponibilidad equipo biometrico</t>
  </si>
  <si>
    <t>La caida del servidor del biometrico impediria el acceso de los usuarios a las instalaciones de la entidad</t>
  </si>
  <si>
    <t>Equipo Biométrico DataCenter</t>
  </si>
  <si>
    <t>1. Indisponibilidad de los servicios de IT.
2. Daño físico en el equipo y  los elementos de red.
3. Indisponibilidad de los servicios de red e internet.
4. Problemas tecnicos por parte de los proveedores Cloud.</t>
  </si>
  <si>
    <t>Corrupcion o deterioro delas bases de datos</t>
  </si>
  <si>
    <t>Mal funcionamiento del sistema Biometrico
No tener acceso al sistema
El bloqueo del sistema biometrico afectaria el acceso a las sedes de la entidad</t>
  </si>
  <si>
    <t>El grupo de mesa de ayuda mensualmente debe validar que se este realizando el backup de las bases de datos de la aplicacion, mediante el diligenciamiento de la bitacora de infraestructura, en caso de evidenciar que no se este realizando la copia debera realizar inmediatamente una copia de seguridad e informara mediante correo electronico al lider de infraestructura quien dara las instrucciones a seguir, como evidencia de esta activididad quedara el registro en la bitacora de infraestructura y el correo electronico cuando aplique.</t>
  </si>
  <si>
    <t>El grupo de mesa de ayuda programa una tarea de backup diario de las bases de datos de la aplicación y mensualmente verifica que se este realizando, en caso de fallo de la aplicacion se reporta mediante correo electroncio al arquitecto Eduardo sanchez quien reporta a FAMOC</t>
  </si>
  <si>
    <t>Restaurar la imagen tomada en una maquina fisica de caracteristacs similares o eun una maquina virtual una vez en funcionamiento se procede a restarura la base de datos del ultimo backup</t>
  </si>
  <si>
    <t>caso reportado en la mesa de ayuda</t>
  </si>
  <si>
    <t>Corrupcion o deterioro del sistema Operativo</t>
  </si>
  <si>
    <t>El grupo de mesa de ayuda mensualmente debe revisar el funcionamiento de la maquina donde reside el aplicativo biometrico dejando registro en la bítacora de Seguimiento de Infraestructura y realizando una imagen completa de la maquina,  en caso de evidenciar un mal funcionamiento  el grupo de mesa de ayuda reportara mediante un correo electronico al arquitecto Eduardo Sanchez quien a su vez contactara a FAMOC para realizar las respectivas correcciones y configuraciones. como evidencia de esta actividad se deja el registro en la bitacora de infraestructura y/ó el correo electronico dirigido al arquitecto Eduardo Sanchez.</t>
  </si>
  <si>
    <t>EL grupo de mesa de ayuda mensualmente saca una imagen completa de la maquina con el fin de virtualizar o restaurar en caso de fallo</t>
  </si>
  <si>
    <t>(Numero de imágenes realizada / nuemro de imágenes programadas )*100</t>
  </si>
  <si>
    <t>El Lider del grupo demesa de ayuda junto con el lider de infraestructura cada  cuatro meses (4) debe revisar el cumplimiento al plan de mantenimiento anual donde se incluye el mantenimiento al equipo biometrico, diligenciando la bitacora de infraestructura, en caso que no se cumpla el plan de mantenimento este se escalara al lider de infraestructura via correo electronico, quien dara las instrucciones a seguir a fin de garantizar el correcto funcionamiento del equipo, como evidencia de esta actividad quedara el registro en la bitacora de infraestructura, los correos electronicos cuando aplique,el informe de mantenimiento, el plan de mantenimiento.</t>
  </si>
  <si>
    <t>El grupo de mesa de ayuda realiza el mantenimento fisico preventivo de acuerdo a los tiempo programados en el plan de mantenimiento</t>
  </si>
  <si>
    <t>(No. Mantenimentos realizados / nro Mantenimentos programados )* 100</t>
  </si>
  <si>
    <t>Afectación de la integridad de los datos  del Sistema de control de Inventarios por el registro incorrecto de los movimientos</t>
  </si>
  <si>
    <t xml:space="preserve">El incorrecto registro de los movimientos (traslados, puestas en servicio, reintegros) de los diferentes elementos de propiedad de la entidad por la cambios por implementación de nueva normatividad, descuido o la falta de validaciones del sistema, puede afectar el inventario general, la contabilización de los elementos, el cierre mensual y generar la necesidad de realizar ajustes y conciliaciones tanto contables como en la clasificación de los elementos  </t>
  </si>
  <si>
    <t>Registro de Movimientos Almacén</t>
  </si>
  <si>
    <t xml:space="preserve">Cambios en la clasificación de los elementos y el registro de los movimientos en el respectivo sistema por implementación del nuevo marco normativo contable </t>
  </si>
  <si>
    <t>1.Registro de elementos en la clasificación que no es la indicada
2.Registro de movimientos con datos inexactos o que no corresponden a la clasificación o de errores del usuario que afectan la producción de los datos
3.Pérdida de la información o inexactitud de la información</t>
  </si>
  <si>
    <t xml:space="preserve">El Auxiliar Administrativo o Contratista cada vez que realice un ingreso o movimiento de elementos debe validar contra el catálogo de elementos cargado en el sistema de Administración de inventarios para validar y cotejar que el ID del elemento asignado corresponde con la clasificación y las características del elemento a ingresar o trasladar. En caso, de presentarse observaciones o desviaciones como el registro de ingreso o de movimientos de forma incorrecta, se debe hacer la reclasificación y la conciliación contable de la información, si así procede. La evidencia del control es el catálogo de elementos en el sistema de Administración de inventarios, el comprobante de ingreso, egreso o traslado y los documentos soporte de la reclasificación y conciliación contable, en caso de proceder. </t>
  </si>
  <si>
    <t>Incompleta</t>
  </si>
  <si>
    <t>Actualizar el catálogo de elementos en el sistema de información y sistematización del control administrativo cuando se realicen reclasificaciones o ingresen elementos nuevos que no se encuentren en el catálogo</t>
  </si>
  <si>
    <t>Catálogo de elementos actualizado</t>
  </si>
  <si>
    <t>Auxiliar Administrativo o Contratista designado</t>
  </si>
  <si>
    <t>Número de elementos registrado en el catálogo/ Número de elementos en inventario</t>
  </si>
  <si>
    <t>Realizar los ajustes correspondientes (reclasificaciones, conciliaciones, etc.) y desarrollos para evitar una nueva ocurrencia de la incidencia.</t>
  </si>
  <si>
    <t>Documentos soportes de reclasificación o de conciliaciones</t>
  </si>
  <si>
    <t>Inconsistencias en la aplicación de las validaciones del sistema</t>
  </si>
  <si>
    <t>El Almacenista General anualmente debe solicitar la contratación de un Ingeniero de sistemas para brindar soporte y mantenimiento al Sistema de Información de Si capital para los módulos de Almacén, para asegurar que se cuente con un especialista para brindar el soporte técnico al sistema de Administración de inventarios, quién verifique y valida las condiciones de operatividad y ponga a punto el sistema, apoyando las actividades del registro de ingreso o de movimientos de elementos, el cierre mensual y anual, como la generación e implementación de desarrollos según la necesidad, para mejorar la funcionalidad del sistema. En caso de observaciones o desviaciones, como fallas se debe realizar el requerimiento al Ingeniero para la revisión del caso, aplicación del soporte técnico y los ajustes requeridos. La evidencia es el contrato del Ingeniero de soporte, los informes de actividades del ingeniero, los desarrollos adelantados, las solicitudes de mesa de ayuda, los reportes de logs registrados en el sistema por actividades realizadas por despliegues de desarrollos o del soporte técnico.</t>
  </si>
  <si>
    <t>Asegurar la contratación y la prestación de servicios del Ingeniero de Soporte técnico</t>
  </si>
  <si>
    <t>Contrato y Informes de actividades del Ingeniero de Soporte técnico</t>
  </si>
  <si>
    <t>Almacenista General Responsable Grupo Sistemas de Información/ Secretaría General</t>
  </si>
  <si>
    <t>Insuficiencia en el aseguramiento de la base de datos</t>
  </si>
  <si>
    <t xml:space="preserve">El Administrador de la base de datos diariamente y el Ingeniero de Soporte técnico de los módulos de inventario de Si capital semanalmente deben validar y cotejar que se realice la copia de seguridad (el back up) de la información del sistema de manera automática permanentemente por el servicio de Oracle de almacenamiento en la nube y en el programa definido por Sistemas de información para conservar las copias de seguridad de los programadores de los diferentes módulos, organizadas de acuerdo a la fecha en que se realiza la copia, para que en caso de presentarse desviaciones o observaciones por errores o intromisiones en el sistema se asegure el respaldo de la información y evitar daños. En caso de presentarse pérdida de la información, se realiza una parada por soporte técnico, se desmonta la base de datos y se realiza el cargue de la última copia de seguridad a la fecha en que se registra el siniestro para restaurar la información. La evidencia es la solicitud y el reporte de la atención del requerimiento atendido, como las copias de seguridad almacenadas en los lugares establecidos por el proceso GSIT.   </t>
  </si>
  <si>
    <t>Garantizar la realización de las copias de seguridad y su restauración según requerimiento</t>
  </si>
  <si>
    <t>Sitio designado por Infraestructura con las Copias de seguridad de la información</t>
  </si>
  <si>
    <t>Ingeniero Soporte Técnico - Administrador de la base de datos y equipo de Infraestructura</t>
  </si>
  <si>
    <t xml:space="preserve">Número de incidentes del sistema Sí capital (SAE/SAI) con restauración de back up/Número de incidentes del sistema Sí capital (SAE/SAI) reportados por pérdida o inexactitud de la información </t>
  </si>
  <si>
    <t xml:space="preserve">
Que se pierda o modifique informacion de los registros de datos primarios y/o  los informes de ensayo
</t>
  </si>
  <si>
    <t xml:space="preserve">Que los datos primarios  y/o  los informes de los ensayos sean modificados o estén incompletos, puede ocurrir debido a que estos no estén protegidos adecuadamente o a que sufran algún deterioro. Esto llevaría a que los informes de ensayo no tengan registro o estén incompletos los datos con los cuales fueron generados </t>
  </si>
  <si>
    <t>Datos primarios</t>
  </si>
  <si>
    <t xml:space="preserve"> Ausencia de controles para la prevención y protección de incendios de manera automática.</t>
  </si>
  <si>
    <t xml:space="preserve">Afectación moderada de la integridad de la información debido al interés particular de los empleados y terceros </t>
  </si>
  <si>
    <t>El líder de acreditación, mensualmente revisa que se halla generado una copia digital de los registros de toma de datos en el repositorio.  En el  caso de no encontrar el archivo digitalizado, se solicita la digitalización de inmediato.</t>
  </si>
  <si>
    <t xml:space="preserve">Perdida de los registros de los informes  ensayo generados por el laboratorio </t>
  </si>
  <si>
    <t>Afectación leve de la disponibilidad  de los informes de ensayo.</t>
  </si>
  <si>
    <t>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</si>
  <si>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t xml:space="preserve">
Pérdida de la Integridad del Sistema de Gestión de Información Administrativa y Financiera 
</t>
  </si>
  <si>
    <t>Se pueden presentar fallas en los procesos de actualización y/o parametrización de la información, debido a debilidades en soporte técnico, que afecten la integridad de la información por el ingreso de información incorrecta por parte de los usuarios, la aplicación de cálculos inadecuados por modificación normativa,  como el incumplimiento o demoras en el desarrollo de los procesos.</t>
  </si>
  <si>
    <t xml:space="preserve">Sistema de Gestión de Información Administrativa y Financiera </t>
  </si>
  <si>
    <t>1. Debilidad en el soporte técnico del Sistema Financiero.
2. Parametrización inadecuada o fuera de la normatividad vigente.</t>
  </si>
  <si>
    <t>1. Reprocesos y/o correcciones.
2. Demoras en el desarrollo de las actividades.
3. Ingreso de información incorrecta</t>
  </si>
  <si>
    <t>Mensualmente los profesionales del proceso de Gestión financiera validan en el comité de seguimiento al aplicativo financiero vigente, las necesidades de actualizaciones y/o parametrizaciones, como los avances en los diferentes requerimientos, con el propósito de contar con información confiable y veraz, dejando como evidencia las respectivas actas y/o controles de asistencia 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</si>
  <si>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
Realizar el seguimiento del desarrollo e implementación de los requerimientos solicitados en el Comité de seguimiento al sistema financiero vigente </t>
  </si>
  <si>
    <t>Actas de reunión del comité de seguimiento, solicitudes mesa de ayuda o notas de reunión</t>
  </si>
  <si>
    <t>Profesional Especializado de Financiera 
Ingeniero de Sistema de Información y tecnología.</t>
  </si>
  <si>
    <t>Mensualmente</t>
  </si>
  <si>
    <t>Número de requerimientos o ajustes realizados</t>
  </si>
  <si>
    <t>Reporte en mesa de ayuda de la novedad presentada con relación a la funcionalidad del sistema financiero vigente.</t>
  </si>
  <si>
    <t>Reporte de mesa de ayuda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</si>
  <si>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</si>
  <si>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Pérdida o fuga de la información digitalizada generada por la OCI</t>
  </si>
  <si>
    <t>Puede suceder: se presentan problemas con la disponibilidad de la información.
Como puede suceder: por el uso y apropiación indebida  de los archivos físicos y digitales por parte de servidores públicos y contratistas de la dependencia.
Tendría como consecuencias: que se pierda y no se cuente la disponibilidad y trazabilidad de la información.</t>
  </si>
  <si>
    <t>Aplicar inadecuadamente en la carpeta compatida la Tabla de Retención Documental - TRD correspondiente a la dependencia.</t>
  </si>
  <si>
    <t>No se cuenta con la totalidad de la información generada para su oportuna consulta y trazabilidad.</t>
  </si>
  <si>
    <t>El auxiliar administrativo de planta OCI  mensualmente verifica, según el reporte enviado por el integrante del equipo de trabajo OCI mediante correo electrónico, la información subida en la carpeta compartida que este de acuerdo a la estructura TRD de la dependencia; En caso de identificar diferencias en la verificación de la información de la carpeta compartida, el auxiliar solicitará completar lo faltante. 
Como evidencia se tienen los correos que se cursen entre el integrante del equipo de trabajo OCI y el auxiliar administrativo.</t>
  </si>
  <si>
    <t>Cada integrante del equipo OCI al generar un informe o reporte aprobado por la Jefe OCI deberá subirlo a la carpeta compartida de acuerdo a los lineamientos definidos.</t>
  </si>
  <si>
    <t>Correos electrónicos institucionales de los integrantes del equipo de trabajo, con los archivos de la información cargada en la carpeta compartida implementando la TRD</t>
  </si>
  <si>
    <t>Equipo OCI</t>
  </si>
  <si>
    <t>CARPETA COMPARTIDA GENERADA PARA LA OCI con información completa</t>
  </si>
  <si>
    <t>Solicitar a Sistemas de la Secretaría General,  la Recuperación de la información generada por la OCI, a través de los Backups o copias de seguridad que el proceso haya realizado de  conformidad con el procedimiento "GSIT-PR-001-V6 Generación de copias de respaldo" y en cumplimiento de la política: "6.23 Es responsabilidad del administrador de copias informar la disponibilidad de los respaldos, realizar el trámite para obtener los medios magnéticos, ejecutar el procedimiento de recuperación e informar los resultados".</t>
  </si>
  <si>
    <t xml:space="preserve">Comunicación Oficial </t>
  </si>
  <si>
    <t>No realizar copias de seguridad de la información generada por la OCI.</t>
  </si>
  <si>
    <t>El Auxiliar Administrativo OCI mensualmente revisa, la respuesta a la solicitud  enviada mediante correo electrónico al proceso GSIT - Gestión de Servicios e Infraestructura Tecnológica, del log del backup de la carpeta compartida de la dependencia donde se alojan los archivos generados por el equipo de trabajo OCI. En caso de no recibir respuesta y/o identificar que no se realiza el backup, se enviará un correo electrónico con copia a la Secretaria General informando el incumplimiento y solicitando se cumpla con la ejecución del back up.
Como evidencia, los correos electrónicos remitidos por el auxiliar Administrativo OCI al personal del  proceso GSIT - Gestión de Servicios e Infraestructura Tecnológica .</t>
  </si>
  <si>
    <t>Solicitar aleatoriamente la restauración de un backup en un espacio diferente a la carpeta compartida, para verificar la correcta generación del backup.</t>
  </si>
  <si>
    <t>Información Restaurada</t>
  </si>
  <si>
    <t>Auxiliar Administrativo OCI
Ingeniera Sistemas OCI</t>
  </si>
  <si>
    <t>Solicitudes restauración de copias de seguridad a sistemas (GSIT)</t>
  </si>
  <si>
    <t>Pérdida de información en la base de datos donde se lleva el seguimiento a cada proceso Disciplinario.</t>
  </si>
  <si>
    <t>Al perder el control de la información que se registra en la base de datos, se pierde el seguimiento de cada proceso, generando acciones en favor o en contra de los sujetos disciplinados</t>
  </si>
  <si>
    <t>BASE DE DATOS EXCEL - SISTEMA DE INFORMACIÓN DISCIPLINARIA</t>
  </si>
  <si>
    <t>Ausencia de seguridad de acceso a la base de datos que contiene la información de los procesos vigentes.</t>
  </si>
  <si>
    <t>1.  Vencimiento de términos procesales.
2.  Prescripción de la acción disciplinaria.
3. Perdida de información
4. Filtración de información confidencial
5. Modificación de la información</t>
  </si>
  <si>
    <r>
      <t xml:space="preserve">Control 3.
</t>
    </r>
    <r>
      <rPr>
        <b/>
        <sz val="8"/>
        <rFont val="Arial"/>
        <family val="2"/>
      </rPr>
      <t xml:space="preserve">El profesional especializado </t>
    </r>
    <r>
      <rPr>
        <sz val="8"/>
        <rFont val="Arial"/>
        <family val="2"/>
      </rPr>
      <t xml:space="preserve">del proceso Control Disciplinario Interno, </t>
    </r>
    <r>
      <rPr>
        <b/>
        <sz val="8"/>
        <rFont val="Arial"/>
        <family val="2"/>
      </rPr>
      <t xml:space="preserve">verifica mensualmente </t>
    </r>
    <r>
      <rPr>
        <sz val="8"/>
        <rFont val="Arial"/>
        <family val="2"/>
      </rPr>
      <t xml:space="preserve">que el proceso Gestión de Servicios e Infraestructura, realice el Back up de la información contenida en la base de datos del proceso, con el fin de contar con respaldos para el restablecimiento de la información en caso de ser necesario, quedando </t>
    </r>
    <r>
      <rPr>
        <b/>
        <sz val="8"/>
        <rFont val="Arial"/>
        <family val="2"/>
      </rPr>
      <t>como evidencia el correo de verificación.</t>
    </r>
    <r>
      <rPr>
        <sz val="8"/>
        <rFont val="Arial"/>
        <family val="2"/>
      </rPr>
      <t xml:space="preserve">
</t>
    </r>
    <r>
      <rPr>
        <b/>
        <sz val="8"/>
        <rFont val="Arial"/>
        <family val="2"/>
      </rPr>
      <t xml:space="preserve">En caso de evidenciarse </t>
    </r>
    <r>
      <rPr>
        <sz val="8"/>
        <rFont val="Arial"/>
        <family val="2"/>
      </rPr>
      <t>que no se haya realiazado el back up , se procede a requerir para que lo realicen puntualmente</t>
    </r>
  </si>
  <si>
    <t>Verificar que efectivamente se realice el backup mensual correspondiente revisando la evidencia remitida por la mesa de ayuda</t>
  </si>
  <si>
    <t>Base de datos proceso procesos Disciplinarios</t>
  </si>
  <si>
    <t>Profesional especializado proceso CODI, con el apoyo del proceso de Informacion y tecnologÍa.</t>
  </si>
  <si>
    <t>Marzo de 2021</t>
  </si>
  <si>
    <t>1 base de datos con ajuste del nivel de seguridad</t>
  </si>
  <si>
    <t>Restablecer al Back Up mas reciente y actualizar según consulta con el Sistema de Información Disciplinaria.</t>
  </si>
  <si>
    <t>Back Up mas reciente y Sistema de Información Disciplinaria.</t>
  </si>
  <si>
    <t>TIPOLOGÍA DE RIESGO</t>
  </si>
  <si>
    <t>( Muestra las clases de riesgos que se pueden presentar)</t>
  </si>
  <si>
    <t>ESTRATÉGICOS</t>
  </si>
  <si>
    <t xml:space="preserve">Son aquellos que se asocian con la posibilidad de ocurrencia de eventos que afecten los objetivos estratégicos de la organización pública y por tanto impactan toda la entidad. </t>
  </si>
  <si>
    <t>GERENCIALES</t>
  </si>
  <si>
    <t>Son aquellos que se asocian con la posibilidad de ocurrencia de eventos que afecten los procesos gerenciales y/o la alta dirección.</t>
  </si>
  <si>
    <t>OPERATIVO</t>
  </si>
  <si>
    <t xml:space="preserve">Son aquellos relacionados conposibilidad de ocurrencia de eventos que afecten los procesos misionales de la entidad. </t>
  </si>
  <si>
    <t>FINANCIERO</t>
  </si>
  <si>
    <t>Son los relacionados con la Gestión Financiera  de la entidad, los cuales pueden estar relacionados con la posibilidad de ocurrencia de eventos que afecten los estados financieros y todas aquellas áreas involucradas con el proceso financiero como presupuesto, tesorería, contabilidad, cartera, central de cuentas, costos, etc</t>
  </si>
  <si>
    <t>CUMPLIMIENTO</t>
  </si>
  <si>
    <t xml:space="preserve">Son aquellos que se asocian con la posibilidad de ocurrencia de eventos que afecten la situación jurídica o contractual de la organización debido a su incumplimiento o desacato a la normatividad legal y las obligaciones contractuales. </t>
  </si>
  <si>
    <t>TECNOLÓGICOS</t>
  </si>
  <si>
    <t xml:space="preserve">Son los relacionados con la posibilidad de ocurrencia de eventos que afecten la totalidad o parte de la infraestructura tecnológica (hardware, software, redes, etc.) de una entidad. </t>
  </si>
  <si>
    <t>DE IMAGEN</t>
  </si>
  <si>
    <t>Están relacionados con la posibilidad de ocurrencia de un evento que afecte la imagen, buen nombre o reputación de una organización, ante sus clientes y partes interesadas</t>
  </si>
  <si>
    <t>CORRUPCIÓN</t>
  </si>
  <si>
    <t xml:space="preserve">Son todos los relacionados con la posibilidad de que por acción u omisión, se use el poder para desviar la gestión de lo público hacia un beneficio privado. </t>
  </si>
  <si>
    <t>RIESGOS DE SEGURIDAD DIGITAL</t>
  </si>
  <si>
    <t xml:space="preserve">Están relacionados con posibilidad de la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 </t>
  </si>
  <si>
    <t>NIVEL</t>
  </si>
  <si>
    <t>DESCRIPTOR</t>
  </si>
  <si>
    <t>DESCRIPCIÓN</t>
  </si>
  <si>
    <t>FRECUENCIA</t>
  </si>
  <si>
    <t>Casi Cierta</t>
  </si>
  <si>
    <t>Se espera que el evento ocurra en la mayoría de las circunstancias.</t>
  </si>
  <si>
    <t>Más de  vez al año.</t>
  </si>
  <si>
    <t>Es viable que el evento ocurra en la mayoría de las circunstancias.</t>
  </si>
  <si>
    <t>Al menos 1 vez en el último año.</t>
  </si>
  <si>
    <t>El evento podría ocurrir en algún momento.</t>
  </si>
  <si>
    <t>Al menos 1 vez en los últimos 2 años.</t>
  </si>
  <si>
    <t>El evento puede ocurrir en algún momento.</t>
  </si>
  <si>
    <t>Al menos 1 vez en los últimos 4 años.</t>
  </si>
  <si>
    <t>Raro</t>
  </si>
  <si>
    <t>El evento puede ocurrir solo en circunstancias excepcionales.(poco comunes o anormales)</t>
  </si>
  <si>
    <t>No se ha presentado en los últimos 4 años.</t>
  </si>
  <si>
    <t>Nro</t>
  </si>
  <si>
    <t>RIESGO</t>
  </si>
  <si>
    <t>P1</t>
  </si>
  <si>
    <t>P2</t>
  </si>
  <si>
    <t>P3</t>
  </si>
  <si>
    <t>P4</t>
  </si>
  <si>
    <t>P5</t>
  </si>
  <si>
    <t>Promedio</t>
  </si>
  <si>
    <t>Criterios para calificar el Impacto – riesgos de gestión</t>
  </si>
  <si>
    <t>Nivel</t>
  </si>
  <si>
    <t xml:space="preserve">Impacto (consecuencias) 
Cuantitativo </t>
  </si>
  <si>
    <t xml:space="preserve">Impacto (consecuencias) 
Cualitativo </t>
  </si>
  <si>
    <t>-Impacto que afecte la ejecución presupuestal en un valor ≥50%</t>
  </si>
  <si>
    <t xml:space="preserve">Interrupción de las operaciones de la Entidad por más de cinco (5) días. </t>
  </si>
  <si>
    <t xml:space="preserve"> - Pérdida de cobertura en la prestación de los servicios de la entidad ≥50%. </t>
  </si>
  <si>
    <t xml:space="preserve">- Intervención por parte de un ente de control u otro ente regulador. </t>
  </si>
  <si>
    <t xml:space="preserve">- Pago de indemnizaciones a terceros por acciones legales que pueden afectar el presupuesto total de la entidad en un valor ≥50% </t>
  </si>
  <si>
    <t xml:space="preserve">- Pérdida de Información crítica para la entidad que no se puede recuperar. </t>
  </si>
  <si>
    <t xml:space="preserve">- Pago de sanciones económicas por incumplimiento en la normatividad aplicable ante un ente regulador, las cuales afectan en un valor ≥50% del presupuesto general de la entidad. </t>
  </si>
  <si>
    <t xml:space="preserve">- Incumplimiento en las metas y objetivos institucionales afectando de forma grave la ejecución presupuestal. </t>
  </si>
  <si>
    <t>- Imagen institucional afectada en el orden nacional o regional por actos o hechos de corrupción comprobados.</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</si>
  <si>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</si>
  <si>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</si>
  <si>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</si>
  <si>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</si>
  <si>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</si>
  <si>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Sanción por parte de ente de control u otro ente regulador.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</si>
  <si>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</si>
  <si>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</si>
  <si>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</si>
  <si>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-Impacto que afecte la ejecución presupuestal en un valor ≥5%</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</si>
  <si>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</si>
  <si>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</si>
  <si>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</si>
  <si>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</si>
  <si>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</si>
  <si>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</si>
  <si>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</si>
  <si>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</si>
  <si>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</si>
  <si>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</si>
  <si>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</si>
  <si>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</si>
  <si>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</si>
  <si>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Pago de indemnizaciones a terceros por acciones legales que pueden afectar el presupuesto total de la entidad en un valor ≤1% </t>
  </si>
  <si>
    <t xml:space="preserve">- Imagen institucional afectada localmente por retrasos en la prestación del servicio a los usuarios o ciudadanos. </t>
  </si>
  <si>
    <t xml:space="preserve">- Pago de sanciones económicas por incumplimiento en la normatividad aplicable ante un ente regulador, las cuales afectan en un valor ≤1%del presupuesto general de la entidad. </t>
  </si>
  <si>
    <t>-Impacto que afecte la ejecución presupuestal en un valor ≤0,5%</t>
  </si>
  <si>
    <t xml:space="preserve">- No hay interrupción de las operaciones de la entidad. </t>
  </si>
  <si>
    <t>-Pérdida de cobertura en la prestación de los servicios de la entidad ≤1%.</t>
  </si>
  <si>
    <t>- No se generan sanciones económicas o administrativas.</t>
  </si>
  <si>
    <t xml:space="preserve">-Pago de indemnizaciones a terceros por acciones legales que pueden afectar el presupuesto total de la entidad en un valor ≤0,5% </t>
  </si>
  <si>
    <t xml:space="preserve"> - No se afecta la imagen institucional de forma significativa.</t>
  </si>
  <si>
    <t xml:space="preserve">-Pago de sanciones económicas por incumplimiento en la normatividad aplicable ante un ente regulador, las cuales afectan en un valor ≤0,5% del presupuesto general de la entidad. </t>
  </si>
  <si>
    <t>No.</t>
  </si>
  <si>
    <t>SI EL RIESGO DE CORRUPCIÓN SE MATERIALIZA PODRÍA...</t>
  </si>
  <si>
    <t>RESPUESTA</t>
  </si>
  <si>
    <t>SI</t>
  </si>
  <si>
    <t>NO</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</si>
  <si>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</si>
  <si>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</si>
  <si>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</si>
  <si>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</si>
  <si>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</si>
  <si>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</si>
  <si>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</si>
  <si>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</si>
  <si>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</si>
  <si>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</si>
  <si>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</si>
  <si>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</si>
  <si>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</si>
  <si>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</si>
  <si>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</si>
  <si>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</si>
  <si>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</si>
  <si>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</si>
  <si>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</si>
  <si>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TOTAL RESPUESTAS AFIRMATIVAS </t>
  </si>
  <si>
    <r>
      <t>Responder afirmativamente de 1 a 5 pregunta(s) genera un impacto</t>
    </r>
    <r>
      <rPr>
        <b/>
        <sz val="10"/>
        <rFont val="Arial"/>
        <family val="2"/>
      </rPr>
      <t xml:space="preserve"> Moderado</t>
    </r>
    <r>
      <rPr>
        <sz val="11"/>
        <color theme="1"/>
        <rFont val="Arial"/>
        <family val="2"/>
      </rPr>
      <t xml:space="preserve">
Responder afirmativamente de 6 a 11 preguntas genera un impacto </t>
    </r>
    <r>
      <rPr>
        <b/>
        <sz val="10"/>
        <rFont val="Arial"/>
        <family val="2"/>
      </rPr>
      <t xml:space="preserve">Mayor </t>
    </r>
    <r>
      <rPr>
        <sz val="11"/>
        <color theme="1"/>
        <rFont val="Arial"/>
        <family val="2"/>
      </rPr>
      <t xml:space="preserve">
Responder afirmativamente de 12 a 19 preguntas genera un impacto </t>
    </r>
    <r>
      <rPr>
        <b/>
        <sz val="10"/>
        <rFont val="Arial"/>
        <family val="2"/>
      </rPr>
      <t>Catastrófico</t>
    </r>
    <r>
      <rPr>
        <sz val="11"/>
        <color theme="1"/>
        <rFont val="Arial"/>
        <family val="2"/>
      </rPr>
      <t>.</t>
    </r>
  </si>
  <si>
    <t xml:space="preserve">IMPACTO DE GESTIÓN </t>
  </si>
  <si>
    <t>Niveles para calificar el impacto</t>
  </si>
  <si>
    <t>Impacto (consecuencias) 
Cualitativo</t>
  </si>
  <si>
    <t>Afectación ≥X% de la población</t>
  </si>
  <si>
    <t>Sin afectación de la integridad</t>
  </si>
  <si>
    <t xml:space="preserve">Afectación ≥X% del presupuesto anual de la entidad </t>
  </si>
  <si>
    <t xml:space="preserve">Sin afectación de la disponibilidad </t>
  </si>
  <si>
    <t>No hay Afectación medioambiental</t>
  </si>
  <si>
    <t>Sin afectación de la confidencialidad</t>
  </si>
  <si>
    <t xml:space="preserve">Afectación ≥X% de la población </t>
  </si>
  <si>
    <t xml:space="preserve">Afectación leve de la integridad </t>
  </si>
  <si>
    <t>Afectación leve de la disponibilidad</t>
  </si>
  <si>
    <t>Afectación leve del Medio Ambiente requiere de ≥X días de recuperación</t>
  </si>
  <si>
    <t>Afectación leve de la confidencialidad</t>
  </si>
  <si>
    <t xml:space="preserve">Afectación moderada de la disponibilidad de la información debido al interés particular de los empleados y terceros </t>
  </si>
  <si>
    <t>Afectación leve del Medio Ambiente requiere de ≥X semanas de recuperación</t>
  </si>
  <si>
    <t>Afectación moderada de la confidencialidad de la información debido al interés particular de los empleados y terceros</t>
  </si>
  <si>
    <t>4</t>
  </si>
  <si>
    <t xml:space="preserve">Afectación grave de la integridad de la información debido al interés particular de los empleados y terceros </t>
  </si>
  <si>
    <t xml:space="preserve"> Afectación ≥X% del presupuesto anual de la entidad </t>
  </si>
  <si>
    <t>Afectación grave de la disponibilidad de la información debido al interés particular de los empleados y terceros</t>
  </si>
  <si>
    <t>Afectación importante del Medio Ambiente que requiere de ≥X meses de recuperación</t>
  </si>
  <si>
    <t>Afectación grave de la confidencialidad de la información debido al interés particular de los empleados y terceros</t>
  </si>
  <si>
    <t xml:space="preserve">Afectación muy grave de la integridad de la información debido al interés particular de los empleados y terceros </t>
  </si>
  <si>
    <t xml:space="preserve">Afectación muy grave de la disponibilidad de la información debido al interés particular de los empleados y terceros </t>
  </si>
  <si>
    <t>Afectación muy grave del Medio Ambiente que requiere de ≥X años de recuperación</t>
  </si>
  <si>
    <t>Afectación muy grave confidencialidad de la información debido al interés particular de los empleados y terceros</t>
  </si>
  <si>
    <t>Soportes de Mesa de trabajo y/o Solicitudes a mesa de ayuda</t>
  </si>
  <si>
    <t xml:space="preserve">Mensualmente el Contratista designado recibe la información reportada por las áreas y se procede a la verificación de las cuentas contables y conceptos utilizados, con el propósito de evidenciar posibles inconsistencias en la documentación presentada. En caso de presentarse inconsistencias se informa al área para que realicen los ajustes o correcciones pertinentes. La evidencia de la verificación se observa en las conciliaciones realizadas por el área contable, los correos y/o radicados de correspondencia con que se recibe o se solicita el ajuste de la información.  </t>
  </si>
  <si>
    <r>
      <t>El servidor público</t>
    </r>
    <r>
      <rPr>
        <sz val="11"/>
        <color rgb="FFFF0000"/>
        <rFont val="Arial"/>
        <family val="2"/>
      </rPr>
      <t xml:space="preserve"> </t>
    </r>
    <r>
      <rPr>
        <sz val="11"/>
        <rFont val="Arial"/>
        <family val="2"/>
      </rPr>
      <t>designado</t>
    </r>
    <r>
      <rPr>
        <sz val="11"/>
        <color theme="1"/>
        <rFont val="Arial"/>
        <family val="2"/>
      </rPr>
      <t xml:space="preserve">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
En caso de evidenciar inconsistencias en la comparación realizada, se procede a reportar la incidencia a través del aplicativo de soporte y seguimiento Mantis para su revisión y corrección de las diferencias identificadas.</t>
    </r>
  </si>
  <si>
    <t>Realizar revisión detallada por parte del personal encargado de la liquidación de la nómina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t>
  </si>
  <si>
    <t>Realizar revisión detallada por parte del personal encargado de la liquidación de la nómina “reporte individual de descuentos y soportes de libranza u embargos,”, a través de una comparación de los reportes generados por el aplicativo de nómina People Net – SIGEP, frente al reporte individual de descuentos y soportes de libranzas u embargos.</t>
  </si>
  <si>
    <t>El Líder asignado por la Dirección General como responsable de coordinar el diseño e implementación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</si>
  <si>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El profesional responsable de dirigir el Sistema de Gestión de la Seguridad y Salud en el Trabajo SG-SST, propiciara de acuerdo a las reuniones realizadas, seguimiento a los hallazgos encontrados.
de reunión.
El profesional responsable de dirigir el Sistema de Gestión de la Seguridad y Salud en el Trabajo SG-SST El Líder asignado por la Dirección General como responsable de coordinar el diseño e implementación del SG-SST, propiciara de acuerdo a las reuniones realizadas, seguimiento a los hallazgos encontrados.</t>
  </si>
  <si>
    <t>El profesional responsable de dirigir el Sistema de Gestion de la Seguridad y Salud en el Trabajo SG-SST.
El Líder asignado por la Dirección General como responsable de coordinar el diseño e implementación del SG-SST.</t>
  </si>
  <si>
    <t>El Líder asignado por la Dirección General como responsable de coordinar el diseño e implementación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dejando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</si>
  <si>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El profesional responsable de dirigir el Sistema de Gestión de la Seguridad y Salud en el Trabajo SG-SST, pondrá al tanto a los integrantes del Comité de Seguridad y salud en el Trabajo (Secretaria General, Gerente GASA, Profesional Especializado del Proceso de Talento Humano, asesores de la Secretaria General y colaboradores de SST), del avance, novedades y oportunidades de articulación para mejorar el desempeño del Sistema de Gestión de Seguridad y Salud en el Trabajo SG-SST en la entidad.
El profesional responsable de dirigir el Sistema de Gestión de la Seguridad y Salud en el Trabajo SG-SST El Líder asignado por la Dirección General como responsable de coordinar el diseño e implementación del SG-SST, pondrá al tanto a los integrantes del Comité de Seguridad y salud en el Trabajo (Secretaria General, Gerente GASA, Profesional Especializado del Proceso de Talento Humano, asesores de la Secretaria General y colaboradores de SST), del avance, novedades y oportunidades de articulación para mejorar el desempeño del Sistema de Gestión de Seguridad y Salud en el Trabajo SG-SST en la entidad.</t>
  </si>
  <si>
    <t>Realizar presentación de avances y novedades del plan de capacitación y plan de bienestar e incentivos ante el profesional Especializado del Proceso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</si>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</sst>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_);_(* \(#,##0\);_(* &quot;-&quot;??_);_(@_)"/>
  </numFmts>
  <fonts count="45" x14ac:knownFonts="1">
    <font>
      <sz val="11"/>
      <color theme="1"/>
      <name val="Calibri"/>
      <family val="2"/>
      <scheme val="minor"/>
    </font>
    <font>
      <sz val="11"/>
      <color theme="1"/>
      <name val="Calibri"/>
      <family val="2"/>
      <scheme val="minor"/>
    </font>
    <font>
      <sz val="10"/>
      <name val="Arial"/>
      <family val="2"/>
    </font>
    <font>
      <sz val="10"/>
      <color indexed="8"/>
      <name val="Arial"/>
      <family val="2"/>
    </font>
    <font>
      <b/>
      <sz val="10"/>
      <name val="Arial"/>
      <family val="2"/>
    </font>
    <font>
      <sz val="11"/>
      <name val="Arial"/>
      <family val="2"/>
    </font>
    <font>
      <b/>
      <sz val="11"/>
      <name val="Arial"/>
      <family val="2"/>
    </font>
    <font>
      <b/>
      <sz val="14"/>
      <color theme="1"/>
      <name val="Arial"/>
      <family val="2"/>
    </font>
    <font>
      <sz val="11"/>
      <color theme="1"/>
      <name val="Arial"/>
      <family val="2"/>
    </font>
    <font>
      <sz val="12"/>
      <color rgb="FF000000"/>
      <name val="Calibri"/>
      <family val="2"/>
      <scheme val="minor"/>
    </font>
    <font>
      <b/>
      <sz val="8"/>
      <name val="Arial"/>
      <family val="2"/>
    </font>
    <font>
      <sz val="8"/>
      <name val="Arial"/>
      <family val="2"/>
    </font>
    <font>
      <sz val="8"/>
      <name val="Calibri"/>
      <family val="2"/>
      <scheme val="minor"/>
    </font>
    <font>
      <b/>
      <sz val="12"/>
      <color theme="1"/>
      <name val="Arial"/>
      <family val="2"/>
    </font>
    <font>
      <b/>
      <sz val="10"/>
      <color theme="1"/>
      <name val="Arial"/>
      <family val="2"/>
    </font>
    <font>
      <b/>
      <sz val="11"/>
      <color theme="1"/>
      <name val="Arial"/>
      <family val="2"/>
    </font>
    <font>
      <sz val="10"/>
      <color theme="1"/>
      <name val="Arial"/>
      <family val="2"/>
    </font>
    <font>
      <sz val="10"/>
      <color theme="9" tint="-0.499984740745262"/>
      <name val="Arial"/>
      <family val="2"/>
    </font>
    <font>
      <b/>
      <sz val="9"/>
      <name val="Arial"/>
      <family val="2"/>
    </font>
    <font>
      <b/>
      <u/>
      <sz val="11"/>
      <color theme="0"/>
      <name val="Arial"/>
      <family val="2"/>
    </font>
    <font>
      <b/>
      <sz val="14"/>
      <name val="Arial"/>
      <family val="2"/>
    </font>
    <font>
      <sz val="9"/>
      <name val="Arial"/>
      <family val="2"/>
    </font>
    <font>
      <sz val="9"/>
      <color theme="1" tint="0.249977111117893"/>
      <name val="Arial"/>
      <family val="2"/>
    </font>
    <font>
      <sz val="9"/>
      <color theme="1"/>
      <name val="Arial"/>
      <family val="2"/>
    </font>
    <font>
      <sz val="9"/>
      <color rgb="FF7030A0"/>
      <name val="Arial"/>
      <family val="2"/>
    </font>
    <font>
      <b/>
      <sz val="9"/>
      <color indexed="81"/>
      <name val="Tahoma"/>
      <family val="2"/>
    </font>
    <font>
      <sz val="9"/>
      <color indexed="81"/>
      <name val="Tahoma"/>
      <family val="2"/>
    </font>
    <font>
      <b/>
      <u/>
      <sz val="9"/>
      <name val="Arial"/>
      <family val="2"/>
    </font>
    <font>
      <u/>
      <sz val="9"/>
      <name val="Arial"/>
      <family val="2"/>
    </font>
    <font>
      <sz val="8"/>
      <color theme="4"/>
      <name val="Arial"/>
      <family val="2"/>
    </font>
    <font>
      <sz val="9"/>
      <color theme="8" tint="-0.249977111117893"/>
      <name val="Arial"/>
      <family val="2"/>
    </font>
    <font>
      <sz val="9"/>
      <color rgb="FFFF0000"/>
      <name val="Arial"/>
      <family val="2"/>
    </font>
    <font>
      <sz val="9"/>
      <color rgb="FF0070C0"/>
      <name val="Arial"/>
      <family val="2"/>
    </font>
    <font>
      <b/>
      <sz val="18"/>
      <name val="Arial"/>
      <family val="2"/>
    </font>
    <font>
      <sz val="8"/>
      <color theme="1"/>
      <name val="Calibri"/>
      <family val="2"/>
      <scheme val="minor"/>
    </font>
    <font>
      <b/>
      <sz val="9"/>
      <color theme="8" tint="-0.249977111117893"/>
      <name val="Arial"/>
      <family val="2"/>
    </font>
    <font>
      <sz val="9"/>
      <color theme="3"/>
      <name val="Arial"/>
      <family val="2"/>
    </font>
    <font>
      <sz val="9"/>
      <name val="Calibri Light"/>
      <family val="2"/>
    </font>
    <font>
      <b/>
      <sz val="9"/>
      <color theme="5" tint="0.39997558519241921"/>
      <name val="Arial"/>
      <family val="2"/>
    </font>
    <font>
      <b/>
      <sz val="9"/>
      <color theme="1"/>
      <name val="Arial"/>
      <family val="2"/>
    </font>
    <font>
      <b/>
      <sz val="9"/>
      <color rgb="FFFF0000"/>
      <name val="Arial"/>
      <family val="2"/>
    </font>
    <font>
      <sz val="12"/>
      <color theme="1"/>
      <name val="Arial"/>
      <family val="2"/>
    </font>
    <font>
      <sz val="14"/>
      <name val="Arial"/>
      <family val="2"/>
    </font>
    <font>
      <sz val="12"/>
      <name val="Arial"/>
      <family val="2"/>
    </font>
    <font>
      <sz val="11"/>
      <color rgb="FFFF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1" tint="0.249977111117893"/>
        <bgColor indexed="64"/>
      </patternFill>
    </fill>
    <fill>
      <patternFill patternType="solid">
        <fgColor rgb="FFD8D8D8"/>
        <bgColor indexed="64"/>
      </patternFill>
    </fill>
    <fill>
      <patternFill patternType="solid">
        <fgColor theme="8" tint="0.79998168889431442"/>
        <bgColor indexed="64"/>
      </patternFill>
    </fill>
    <fill>
      <patternFill patternType="solid">
        <fgColor rgb="FFD9D9D9"/>
        <bgColor indexed="64"/>
      </patternFill>
    </fill>
    <fill>
      <patternFill patternType="solid">
        <fgColor rgb="FF002060"/>
        <bgColor indexed="64"/>
      </patternFill>
    </fill>
    <fill>
      <patternFill patternType="solid">
        <fgColor rgb="FFFFFFFF"/>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thin">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rgb="FF000000"/>
      </right>
      <top/>
      <bottom/>
      <diagonal/>
    </border>
    <border>
      <left/>
      <right style="medium">
        <color rgb="FF000000"/>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0" fontId="1" fillId="0" borderId="0"/>
  </cellStyleXfs>
  <cellXfs count="647">
    <xf numFmtId="0" fontId="0" fillId="0" borderId="0" xfId="0"/>
    <xf numFmtId="0" fontId="0" fillId="0" borderId="0" xfId="0" applyAlignment="1">
      <alignment wrapText="1"/>
    </xf>
    <xf numFmtId="0" fontId="4" fillId="2" borderId="19"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vertical="center" wrapText="1"/>
    </xf>
    <xf numFmtId="0" fontId="11" fillId="0" borderId="0" xfId="0" applyFont="1" applyAlignment="1">
      <alignment horizontal="center" vertical="center" wrapText="1"/>
    </xf>
    <xf numFmtId="0" fontId="10" fillId="0" borderId="0" xfId="2" applyFont="1" applyAlignment="1">
      <alignment horizontal="center" vertical="center" wrapText="1"/>
    </xf>
    <xf numFmtId="2" fontId="10" fillId="0" borderId="0" xfId="1" applyNumberFormat="1" applyFont="1" applyFill="1" applyBorder="1" applyAlignment="1" applyProtection="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vertical="center" wrapText="1"/>
    </xf>
    <xf numFmtId="0" fontId="12" fillId="0" borderId="0" xfId="0" applyFont="1" applyAlignment="1">
      <alignment horizontal="center" vertical="center" wrapText="1"/>
    </xf>
    <xf numFmtId="165" fontId="12" fillId="0" borderId="0" xfId="1" applyNumberFormat="1" applyFont="1" applyFill="1" applyAlignment="1" applyProtection="1">
      <alignment horizontal="center" vertical="center" wrapText="1"/>
    </xf>
    <xf numFmtId="0" fontId="10" fillId="0" borderId="0" xfId="0" applyFont="1" applyAlignment="1">
      <alignment vertical="center" wrapText="1"/>
    </xf>
    <xf numFmtId="0" fontId="5" fillId="0" borderId="1" xfId="0" applyFont="1" applyBorder="1" applyAlignment="1">
      <alignment horizontal="center" vertical="center" wrapText="1"/>
    </xf>
    <xf numFmtId="0" fontId="11" fillId="0" borderId="0" xfId="2" applyFont="1" applyAlignment="1">
      <alignment horizontal="center" vertical="center" wrapText="1"/>
    </xf>
    <xf numFmtId="0" fontId="8" fillId="0" borderId="0" xfId="0" applyFont="1" applyAlignment="1">
      <alignment vertical="center" wrapText="1"/>
    </xf>
    <xf numFmtId="0" fontId="14"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1" fontId="5" fillId="0" borderId="1" xfId="0" applyNumberFormat="1" applyFont="1" applyBorder="1" applyAlignment="1">
      <alignment horizontal="center" vertical="center" wrapText="1"/>
    </xf>
    <xf numFmtId="0" fontId="2" fillId="0" borderId="22" xfId="0" applyFont="1" applyBorder="1" applyAlignment="1">
      <alignment horizontal="justify" vertical="center" wrapText="1"/>
    </xf>
    <xf numFmtId="49" fontId="2" fillId="0" borderId="1"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3" fillId="5" borderId="29"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7" fillId="0" borderId="30" xfId="0" applyFont="1" applyBorder="1" applyAlignment="1">
      <alignment horizontal="justify" vertical="center" wrapText="1"/>
    </xf>
    <xf numFmtId="0" fontId="16" fillId="0" borderId="31" xfId="0" applyFont="1" applyBorder="1" applyAlignment="1">
      <alignment horizontal="justify" vertical="center" wrapText="1"/>
    </xf>
    <xf numFmtId="0" fontId="17" fillId="0" borderId="22" xfId="0" applyFont="1" applyBorder="1" applyAlignment="1">
      <alignment horizontal="justify" vertical="center" wrapText="1"/>
    </xf>
    <xf numFmtId="0" fontId="16" fillId="0" borderId="28" xfId="0" applyFont="1" applyBorder="1" applyAlignment="1">
      <alignment horizontal="justify" vertical="center" wrapText="1"/>
    </xf>
    <xf numFmtId="0" fontId="17" fillId="0" borderId="25" xfId="0" applyFont="1" applyBorder="1" applyAlignment="1">
      <alignment horizontal="justify" vertical="center" wrapText="1"/>
    </xf>
    <xf numFmtId="0" fontId="16" fillId="0" borderId="32"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28" xfId="0" applyFont="1" applyBorder="1" applyAlignment="1">
      <alignment horizontal="justify" vertical="center" wrapText="1"/>
    </xf>
    <xf numFmtId="0" fontId="2" fillId="0" borderId="32" xfId="0" applyFont="1" applyBorder="1" applyAlignment="1">
      <alignment horizontal="justify" vertical="center" wrapText="1"/>
    </xf>
    <xf numFmtId="0" fontId="19" fillId="8" borderId="1" xfId="0" applyFont="1" applyFill="1" applyBorder="1" applyAlignment="1">
      <alignment horizontal="center" vertical="center" wrapText="1"/>
    </xf>
    <xf numFmtId="0" fontId="16" fillId="9" borderId="1" xfId="0" applyFont="1" applyFill="1" applyBorder="1" applyAlignment="1">
      <alignment horizontal="justify" vertical="center" wrapText="1"/>
    </xf>
    <xf numFmtId="0" fontId="13" fillId="5" borderId="17" xfId="0" applyFont="1" applyFill="1" applyBorder="1" applyAlignment="1">
      <alignment horizontal="center" vertical="center" wrapText="1"/>
    </xf>
    <xf numFmtId="49" fontId="2" fillId="0" borderId="3" xfId="0" applyNumberFormat="1" applyFont="1" applyBorder="1" applyAlignment="1">
      <alignment horizontal="justify" vertical="center" wrapText="1"/>
    </xf>
    <xf numFmtId="0" fontId="2" fillId="0" borderId="16" xfId="0" applyFont="1" applyBorder="1" applyAlignment="1">
      <alignment horizontal="justify" vertical="center" wrapText="1"/>
    </xf>
    <xf numFmtId="0" fontId="2" fillId="0" borderId="10" xfId="0" applyFont="1" applyBorder="1" applyAlignment="1">
      <alignment horizontal="justify" vertical="center" wrapText="1"/>
    </xf>
    <xf numFmtId="0" fontId="8" fillId="0" borderId="12" xfId="0" applyFont="1" applyBorder="1" applyAlignment="1">
      <alignment vertical="center" wrapText="1"/>
    </xf>
    <xf numFmtId="0" fontId="2" fillId="0" borderId="19"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19" xfId="0" applyFont="1" applyBorder="1" applyAlignment="1">
      <alignment horizontal="justify" vertical="center" wrapText="1"/>
    </xf>
    <xf numFmtId="0" fontId="2" fillId="0" borderId="3" xfId="0" applyFont="1" applyBorder="1" applyAlignment="1">
      <alignment horizontal="justify" vertical="center" wrapText="1"/>
    </xf>
    <xf numFmtId="0" fontId="16" fillId="0" borderId="12" xfId="0" applyFont="1" applyBorder="1" applyAlignment="1">
      <alignment horizontal="justify" vertical="center" wrapText="1"/>
    </xf>
    <xf numFmtId="0" fontId="8" fillId="0" borderId="19" xfId="0" applyFont="1" applyBorder="1" applyAlignment="1">
      <alignment vertical="center" wrapText="1"/>
    </xf>
    <xf numFmtId="0" fontId="2" fillId="0" borderId="12"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16" xfId="0" applyFont="1" applyBorder="1" applyAlignment="1">
      <alignment vertical="center" wrapText="1"/>
    </xf>
    <xf numFmtId="0" fontId="8" fillId="0" borderId="8" xfId="0" applyFont="1" applyBorder="1" applyAlignment="1">
      <alignment horizontal="center"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21" fillId="0" borderId="0" xfId="0" applyFont="1" applyAlignment="1">
      <alignment horizontal="center" vertical="center" wrapText="1"/>
    </xf>
    <xf numFmtId="0" fontId="4" fillId="10" borderId="1" xfId="0" applyFont="1" applyFill="1" applyBorder="1" applyAlignment="1">
      <alignment vertical="center" wrapText="1"/>
    </xf>
    <xf numFmtId="0" fontId="4" fillId="10" borderId="12" xfId="0" applyFont="1" applyFill="1" applyBorder="1" applyAlignment="1">
      <alignment vertical="center" wrapText="1"/>
    </xf>
    <xf numFmtId="0" fontId="21" fillId="0" borderId="1" xfId="2" applyFont="1" applyBorder="1" applyAlignment="1" applyProtection="1">
      <alignment vertical="center" wrapText="1"/>
      <protection locked="0"/>
    </xf>
    <xf numFmtId="0" fontId="4" fillId="10" borderId="17" xfId="0" applyFont="1" applyFill="1" applyBorder="1" applyAlignment="1">
      <alignment vertical="center" wrapText="1"/>
    </xf>
    <xf numFmtId="0" fontId="30" fillId="0" borderId="0" xfId="0" applyFont="1" applyAlignment="1">
      <alignment horizontal="center" vertical="center" wrapText="1"/>
    </xf>
    <xf numFmtId="0" fontId="21" fillId="0" borderId="3" xfId="2" applyFont="1" applyBorder="1" applyAlignment="1" applyProtection="1">
      <alignment vertical="center" wrapText="1"/>
      <protection locked="0"/>
    </xf>
    <xf numFmtId="0" fontId="21" fillId="0" borderId="1"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12" xfId="2" applyFont="1" applyBorder="1" applyAlignment="1">
      <alignment horizontal="center" vertical="center" wrapText="1"/>
    </xf>
    <xf numFmtId="0" fontId="18" fillId="0" borderId="14" xfId="2" applyFont="1" applyBorder="1" applyAlignment="1" applyProtection="1">
      <alignment horizontal="center" vertical="center" wrapText="1"/>
      <protection locked="0"/>
    </xf>
    <xf numFmtId="0" fontId="18" fillId="0" borderId="14" xfId="2" applyFont="1" applyBorder="1" applyAlignment="1">
      <alignment horizontal="center" vertical="center" wrapText="1"/>
    </xf>
    <xf numFmtId="0" fontId="21" fillId="0" borderId="17" xfId="2" applyFont="1" applyBorder="1" applyAlignment="1">
      <alignment horizontal="center" vertical="center" wrapText="1"/>
    </xf>
    <xf numFmtId="0" fontId="21" fillId="0" borderId="12" xfId="2" applyFont="1" applyBorder="1" applyAlignment="1" applyProtection="1">
      <alignment vertical="center" wrapText="1"/>
      <protection locked="0"/>
    </xf>
    <xf numFmtId="0" fontId="16" fillId="0" borderId="12" xfId="0" applyFont="1" applyBorder="1" applyAlignment="1" applyProtection="1">
      <alignment horizontal="center" vertical="center" wrapText="1"/>
      <protection locked="0"/>
    </xf>
    <xf numFmtId="0" fontId="18" fillId="0" borderId="5" xfId="2" applyFont="1" applyBorder="1" applyAlignment="1" applyProtection="1">
      <alignment horizontal="center" vertical="center" wrapText="1"/>
      <protection locked="0"/>
    </xf>
    <xf numFmtId="0" fontId="21" fillId="0" borderId="14" xfId="2"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21" fillId="0" borderId="14" xfId="2" applyFont="1" applyBorder="1" applyAlignment="1">
      <alignment horizontal="center" vertical="center" wrapText="1"/>
    </xf>
    <xf numFmtId="2" fontId="18" fillId="0" borderId="14" xfId="1" applyNumberFormat="1" applyFont="1" applyFill="1" applyBorder="1" applyAlignment="1" applyProtection="1">
      <alignment horizontal="center" vertical="center" wrapText="1"/>
    </xf>
    <xf numFmtId="2" fontId="18" fillId="0" borderId="14" xfId="1" applyNumberFormat="1"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1" fillId="0" borderId="14" xfId="2" applyFont="1" applyBorder="1" applyAlignment="1">
      <alignment horizontal="center" vertical="center" wrapText="1"/>
    </xf>
    <xf numFmtId="14" fontId="23" fillId="0" borderId="1" xfId="0" applyNumberFormat="1"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14" fontId="23" fillId="0" borderId="3" xfId="0" applyNumberFormat="1" applyFont="1" applyBorder="1" applyAlignment="1" applyProtection="1">
      <alignment horizontal="center" vertical="center" wrapText="1"/>
      <protection locked="0"/>
    </xf>
    <xf numFmtId="14" fontId="23" fillId="0" borderId="12" xfId="0" applyNumberFormat="1" applyFont="1" applyBorder="1" applyAlignment="1" applyProtection="1">
      <alignment horizontal="center" vertical="center" wrapText="1"/>
      <protection locked="0"/>
    </xf>
    <xf numFmtId="0" fontId="23" fillId="11" borderId="3" xfId="0" applyFont="1" applyFill="1" applyBorder="1" applyAlignment="1">
      <alignment horizontal="center" vertical="center" wrapText="1"/>
    </xf>
    <xf numFmtId="14" fontId="16" fillId="0" borderId="12" xfId="0" applyNumberFormat="1" applyFont="1" applyBorder="1" applyAlignment="1" applyProtection="1">
      <alignment horizontal="center" vertical="center" wrapText="1"/>
      <protection locked="0"/>
    </xf>
    <xf numFmtId="0" fontId="23" fillId="0" borderId="12" xfId="0" applyFont="1" applyBorder="1" applyAlignment="1">
      <alignment horizontal="center" vertical="center" wrapText="1"/>
    </xf>
    <xf numFmtId="0" fontId="23" fillId="0" borderId="3" xfId="0" applyFont="1" applyBorder="1" applyAlignment="1" applyProtection="1">
      <alignment horizontal="center" vertical="top" wrapText="1"/>
      <protection locked="0"/>
    </xf>
    <xf numFmtId="14" fontId="23" fillId="0" borderId="9" xfId="0" applyNumberFormat="1" applyFont="1" applyBorder="1" applyAlignment="1" applyProtection="1">
      <alignment horizontal="center" vertical="center" wrapText="1"/>
      <protection locked="0"/>
    </xf>
    <xf numFmtId="0" fontId="34" fillId="0" borderId="0" xfId="0" applyFont="1" applyAlignment="1">
      <alignment horizontal="center" vertical="center" wrapText="1"/>
    </xf>
    <xf numFmtId="0" fontId="16" fillId="0" borderId="3"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0" xfId="0" applyFont="1" applyAlignment="1">
      <alignment horizontal="center" vertical="center" wrapText="1"/>
    </xf>
    <xf numFmtId="0" fontId="23" fillId="0" borderId="17" xfId="2" applyFont="1" applyBorder="1" applyAlignment="1" applyProtection="1">
      <alignment horizontal="center" vertical="center" wrapText="1"/>
      <protection locked="0"/>
    </xf>
    <xf numFmtId="0" fontId="21" fillId="0" borderId="9" xfId="2" applyFont="1" applyBorder="1" applyAlignment="1" applyProtection="1">
      <alignment horizontal="left" vertical="center" wrapText="1"/>
      <protection locked="0"/>
    </xf>
    <xf numFmtId="0" fontId="12" fillId="0" borderId="0" xfId="0" applyFont="1" applyAlignment="1">
      <alignment horizontal="justify" vertical="center" wrapText="1"/>
    </xf>
    <xf numFmtId="0" fontId="18" fillId="0" borderId="3" xfId="2" applyFont="1" applyBorder="1" applyAlignment="1">
      <alignment vertical="center" wrapText="1"/>
    </xf>
    <xf numFmtId="0" fontId="21" fillId="11" borderId="1" xfId="0" applyFont="1" applyFill="1" applyBorder="1" applyAlignment="1" applyProtection="1">
      <alignment horizontal="center" vertical="center" wrapText="1"/>
      <protection locked="0"/>
    </xf>
    <xf numFmtId="14" fontId="31" fillId="11" borderId="1" xfId="0" applyNumberFormat="1" applyFont="1" applyFill="1" applyBorder="1" applyAlignment="1" applyProtection="1">
      <alignment horizontal="center" vertical="center" wrapText="1"/>
      <protection locked="0"/>
    </xf>
    <xf numFmtId="14" fontId="23" fillId="11" borderId="1" xfId="0" applyNumberFormat="1" applyFont="1" applyFill="1" applyBorder="1" applyAlignment="1" applyProtection="1">
      <alignment vertical="center" wrapText="1"/>
      <protection locked="0"/>
    </xf>
    <xf numFmtId="0" fontId="22" fillId="4" borderId="3" xfId="2" applyFont="1" applyFill="1" applyBorder="1" applyAlignment="1" applyProtection="1">
      <alignment vertical="center" wrapText="1"/>
      <protection locked="0"/>
    </xf>
    <xf numFmtId="0" fontId="21" fillId="0" borderId="17" xfId="2" applyFont="1" applyBorder="1" applyAlignment="1" applyProtection="1">
      <alignment horizontal="justify" vertical="center" wrapText="1"/>
      <protection locked="0"/>
    </xf>
    <xf numFmtId="0" fontId="22" fillId="4" borderId="12" xfId="2" applyFont="1" applyFill="1" applyBorder="1" applyAlignment="1" applyProtection="1">
      <alignment vertical="center" wrapText="1"/>
      <protection locked="0"/>
    </xf>
    <xf numFmtId="14" fontId="23" fillId="11" borderId="17" xfId="0" applyNumberFormat="1" applyFont="1" applyFill="1" applyBorder="1" applyAlignment="1" applyProtection="1">
      <alignment vertical="center" wrapText="1"/>
      <protection locked="0"/>
    </xf>
    <xf numFmtId="0" fontId="21" fillId="0" borderId="3" xfId="0" applyFont="1" applyBorder="1" applyAlignment="1" applyProtection="1">
      <alignment horizontal="center" vertical="center" wrapText="1"/>
      <protection locked="0"/>
    </xf>
    <xf numFmtId="14" fontId="21" fillId="0" borderId="3" xfId="0" applyNumberFormat="1" applyFont="1" applyBorder="1" applyAlignment="1" applyProtection="1">
      <alignment horizontal="center" vertical="center" wrapText="1"/>
      <protection locked="0"/>
    </xf>
    <xf numFmtId="14" fontId="21" fillId="11" borderId="3" xfId="0" applyNumberFormat="1" applyFont="1" applyFill="1" applyBorder="1" applyAlignment="1" applyProtection="1">
      <alignment horizontal="center" vertical="center" wrapText="1"/>
      <protection locked="0"/>
    </xf>
    <xf numFmtId="0" fontId="18" fillId="0" borderId="12" xfId="2" applyFont="1" applyBorder="1" applyAlignment="1">
      <alignment vertical="center" wrapText="1"/>
    </xf>
    <xf numFmtId="0" fontId="21" fillId="0" borderId="12" xfId="0" applyFont="1" applyBorder="1" applyAlignment="1" applyProtection="1">
      <alignment horizontal="center" vertical="center" wrapText="1"/>
      <protection locked="0"/>
    </xf>
    <xf numFmtId="14" fontId="21" fillId="0" borderId="12" xfId="0" applyNumberFormat="1" applyFont="1" applyBorder="1" applyAlignment="1" applyProtection="1">
      <alignment horizontal="center" vertical="center" wrapText="1"/>
      <protection locked="0"/>
    </xf>
    <xf numFmtId="0" fontId="21" fillId="0" borderId="3" xfId="0" applyFont="1" applyBorder="1" applyAlignment="1" applyProtection="1">
      <alignment vertical="center" wrapText="1"/>
      <protection locked="0"/>
    </xf>
    <xf numFmtId="14" fontId="21" fillId="0" borderId="3" xfId="0" applyNumberFormat="1" applyFont="1" applyBorder="1" applyAlignment="1" applyProtection="1">
      <alignment vertical="center" wrapText="1"/>
      <protection locked="0"/>
    </xf>
    <xf numFmtId="0" fontId="21" fillId="0" borderId="12" xfId="0" applyFont="1" applyBorder="1" applyAlignment="1" applyProtection="1">
      <alignment vertical="center" wrapText="1"/>
      <protection locked="0"/>
    </xf>
    <xf numFmtId="14" fontId="21" fillId="0" borderId="12" xfId="0" applyNumberFormat="1" applyFont="1" applyBorder="1" applyAlignment="1" applyProtection="1">
      <alignment vertical="center" wrapText="1"/>
      <protection locked="0"/>
    </xf>
    <xf numFmtId="0" fontId="21" fillId="0" borderId="17" xfId="2" applyFont="1" applyBorder="1" applyAlignment="1" applyProtection="1">
      <alignment vertical="center" wrapText="1"/>
      <protection locked="0"/>
    </xf>
    <xf numFmtId="0" fontId="11" fillId="0" borderId="1" xfId="0" applyFont="1" applyBorder="1" applyAlignment="1">
      <alignment horizontal="center" vertical="center" wrapText="1"/>
    </xf>
    <xf numFmtId="2" fontId="18" fillId="0" borderId="3" xfId="1" applyNumberFormat="1" applyFont="1" applyFill="1" applyBorder="1" applyAlignment="1" applyProtection="1">
      <alignment horizontal="center" vertical="center" wrapText="1"/>
      <protection locked="0"/>
    </xf>
    <xf numFmtId="2" fontId="18" fillId="0" borderId="12" xfId="1" applyNumberFormat="1" applyFont="1" applyFill="1" applyBorder="1" applyAlignment="1" applyProtection="1">
      <alignment horizontal="center" vertical="center" wrapText="1"/>
      <protection locked="0"/>
    </xf>
    <xf numFmtId="0" fontId="21" fillId="0" borderId="3" xfId="2" applyFont="1" applyBorder="1" applyAlignment="1" applyProtection="1">
      <alignment horizontal="center" vertical="center" wrapText="1"/>
      <protection locked="0"/>
    </xf>
    <xf numFmtId="0" fontId="21" fillId="0" borderId="12" xfId="2" applyFont="1" applyBorder="1" applyAlignment="1" applyProtection="1">
      <alignment horizontal="center" vertical="center" wrapText="1"/>
      <protection locked="0"/>
    </xf>
    <xf numFmtId="0" fontId="18" fillId="0" borderId="3" xfId="2" applyFont="1" applyBorder="1" applyAlignment="1">
      <alignment horizontal="center" vertical="center" wrapText="1"/>
    </xf>
    <xf numFmtId="0" fontId="18" fillId="0" borderId="12" xfId="2" applyFont="1" applyBorder="1" applyAlignment="1">
      <alignment horizontal="center" vertical="center" wrapText="1"/>
    </xf>
    <xf numFmtId="0" fontId="23" fillId="0" borderId="35" xfId="0" applyFont="1" applyBorder="1" applyAlignment="1" applyProtection="1">
      <alignment horizontal="center" vertical="center" wrapText="1"/>
      <protection locked="0"/>
    </xf>
    <xf numFmtId="0" fontId="18" fillId="0" borderId="1" xfId="2" applyFont="1" applyBorder="1" applyAlignment="1" applyProtection="1">
      <alignment horizontal="center" vertical="center" wrapText="1"/>
      <protection locked="0"/>
    </xf>
    <xf numFmtId="2" fontId="18" fillId="0" borderId="3" xfId="1" applyNumberFormat="1" applyFont="1" applyFill="1" applyBorder="1" applyAlignment="1" applyProtection="1">
      <alignment horizontal="center" vertical="center" wrapText="1"/>
    </xf>
    <xf numFmtId="2" fontId="18" fillId="0" borderId="1" xfId="1" applyNumberFormat="1" applyFont="1" applyFill="1" applyBorder="1" applyAlignment="1" applyProtection="1">
      <alignment horizontal="center" vertical="center" wrapText="1"/>
    </xf>
    <xf numFmtId="2" fontId="18" fillId="0" borderId="12" xfId="1" applyNumberFormat="1" applyFont="1" applyFill="1" applyBorder="1" applyAlignment="1" applyProtection="1">
      <alignment horizontal="center" vertical="center" wrapText="1"/>
    </xf>
    <xf numFmtId="0" fontId="21" fillId="11" borderId="3" xfId="2" applyFont="1" applyFill="1" applyBorder="1" applyAlignment="1" applyProtection="1">
      <alignment horizontal="justify" vertical="center" wrapText="1"/>
      <protection locked="0"/>
    </xf>
    <xf numFmtId="0" fontId="21" fillId="0" borderId="37" xfId="2" applyFont="1" applyBorder="1" applyAlignment="1" applyProtection="1">
      <alignment horizontal="center" vertical="center" wrapText="1"/>
      <protection locked="0"/>
    </xf>
    <xf numFmtId="0" fontId="23" fillId="0" borderId="17" xfId="0" applyFont="1" applyBorder="1" applyAlignment="1" applyProtection="1">
      <alignment horizontal="center" vertical="center" wrapText="1"/>
      <protection locked="0"/>
    </xf>
    <xf numFmtId="0" fontId="21" fillId="0" borderId="1" xfId="2" applyFont="1" applyBorder="1" applyAlignment="1" applyProtection="1">
      <alignment horizontal="center" vertical="center" wrapText="1"/>
      <protection locked="0"/>
    </xf>
    <xf numFmtId="0" fontId="22" fillId="4" borderId="1" xfId="2" applyFont="1" applyFill="1" applyBorder="1" applyAlignment="1" applyProtection="1">
      <alignment horizontal="center" vertical="center" wrapText="1"/>
      <protection locked="0"/>
    </xf>
    <xf numFmtId="0" fontId="18" fillId="0" borderId="1" xfId="2" applyFont="1" applyBorder="1" applyAlignment="1">
      <alignment horizontal="center" vertical="center" wrapText="1"/>
    </xf>
    <xf numFmtId="0" fontId="23" fillId="0" borderId="36" xfId="0" applyFont="1" applyBorder="1" applyAlignment="1" applyProtection="1">
      <alignment horizontal="center" vertical="center" wrapText="1"/>
      <protection locked="0"/>
    </xf>
    <xf numFmtId="0" fontId="21" fillId="0" borderId="12" xfId="2" applyFont="1" applyBorder="1" applyAlignment="1" applyProtection="1">
      <alignment horizontal="justify" vertical="center" wrapText="1"/>
      <protection locked="0"/>
    </xf>
    <xf numFmtId="0" fontId="21" fillId="0" borderId="3" xfId="2" applyFont="1" applyBorder="1" applyAlignment="1" applyProtection="1">
      <alignment horizontal="justify" vertical="center" wrapText="1"/>
      <protection locked="0"/>
    </xf>
    <xf numFmtId="2" fontId="18" fillId="0" borderId="1" xfId="1" applyNumberFormat="1" applyFont="1" applyFill="1" applyBorder="1" applyAlignment="1" applyProtection="1">
      <alignment horizontal="center" vertical="center" wrapText="1"/>
      <protection locked="0"/>
    </xf>
    <xf numFmtId="0" fontId="21" fillId="11" borderId="12" xfId="2" applyFont="1" applyFill="1" applyBorder="1" applyAlignment="1" applyProtection="1">
      <alignment horizontal="justify" vertical="center" wrapText="1"/>
      <protection locked="0"/>
    </xf>
    <xf numFmtId="0" fontId="18" fillId="0" borderId="1" xfId="0" applyFont="1" applyBorder="1" applyAlignment="1" applyProtection="1">
      <alignment horizontal="center" vertical="center" wrapText="1"/>
      <protection locked="0"/>
    </xf>
    <xf numFmtId="0" fontId="23" fillId="11" borderId="3"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wrapText="1"/>
      <protection locked="0"/>
    </xf>
    <xf numFmtId="0" fontId="23" fillId="11" borderId="12" xfId="0" applyFont="1" applyFill="1" applyBorder="1" applyAlignment="1" applyProtection="1">
      <alignment horizontal="center" vertical="center" wrapText="1"/>
      <protection locked="0"/>
    </xf>
    <xf numFmtId="14" fontId="23" fillId="0" borderId="39" xfId="0" applyNumberFormat="1" applyFont="1" applyBorder="1" applyAlignment="1" applyProtection="1">
      <alignment horizontal="center" vertical="center" wrapText="1"/>
      <protection locked="0"/>
    </xf>
    <xf numFmtId="14" fontId="23" fillId="0" borderId="18" xfId="0" applyNumberFormat="1" applyFont="1" applyBorder="1" applyAlignment="1" applyProtection="1">
      <alignment horizontal="center" vertical="center" wrapText="1"/>
      <protection locked="0"/>
    </xf>
    <xf numFmtId="14" fontId="23" fillId="0" borderId="17" xfId="0" applyNumberFormat="1" applyFont="1" applyBorder="1" applyAlignment="1" applyProtection="1">
      <alignment horizontal="center" vertical="center" wrapText="1"/>
      <protection locked="0"/>
    </xf>
    <xf numFmtId="14" fontId="23" fillId="0" borderId="37" xfId="0" applyNumberFormat="1"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1" fillId="0" borderId="1" xfId="2" applyFont="1" applyBorder="1" applyAlignment="1" applyProtection="1">
      <alignment horizontal="justify" vertical="center" wrapText="1"/>
      <protection locked="0"/>
    </xf>
    <xf numFmtId="0" fontId="21" fillId="11" borderId="1" xfId="2" applyFont="1" applyFill="1" applyBorder="1" applyAlignment="1" applyProtection="1">
      <alignment horizontal="justify" vertical="center" wrapText="1"/>
      <protection locked="0"/>
    </xf>
    <xf numFmtId="0" fontId="21" fillId="0" borderId="17" xfId="2" applyFont="1" applyBorder="1" applyAlignment="1" applyProtection="1">
      <alignment horizontal="center" vertical="center" wrapText="1"/>
      <protection locked="0"/>
    </xf>
    <xf numFmtId="0" fontId="23" fillId="0" borderId="3" xfId="2" applyFont="1" applyBorder="1" applyAlignment="1" applyProtection="1">
      <alignment horizontal="center" vertical="center" wrapText="1"/>
      <protection locked="0"/>
    </xf>
    <xf numFmtId="0" fontId="23" fillId="0" borderId="1" xfId="2" applyFont="1" applyBorder="1" applyAlignment="1" applyProtection="1">
      <alignment horizontal="center" vertical="center" wrapText="1"/>
      <protection locked="0"/>
    </xf>
    <xf numFmtId="0" fontId="23" fillId="0" borderId="12" xfId="2" applyFont="1" applyBorder="1" applyAlignment="1" applyProtection="1">
      <alignment horizontal="center" vertical="center" wrapText="1"/>
      <protection locked="0"/>
    </xf>
    <xf numFmtId="0" fontId="21" fillId="0" borderId="9" xfId="2" applyFont="1" applyBorder="1" applyAlignment="1" applyProtection="1">
      <alignment horizontal="justify" vertical="center" wrapText="1"/>
      <protection locked="0"/>
    </xf>
    <xf numFmtId="2" fontId="18" fillId="0" borderId="17" xfId="1" applyNumberFormat="1" applyFont="1" applyFill="1" applyBorder="1" applyAlignment="1" applyProtection="1">
      <alignment horizontal="center" vertical="center" wrapText="1"/>
    </xf>
    <xf numFmtId="2" fontId="18" fillId="0" borderId="17" xfId="1" applyNumberFormat="1" applyFont="1" applyFill="1" applyBorder="1" applyAlignment="1" applyProtection="1">
      <alignment horizontal="center" vertical="center" wrapText="1"/>
      <protection locked="0"/>
    </xf>
    <xf numFmtId="0" fontId="18" fillId="0" borderId="17" xfId="2" applyFont="1" applyBorder="1" applyAlignment="1">
      <alignment horizontal="center" vertical="center" wrapText="1"/>
    </xf>
    <xf numFmtId="0" fontId="18" fillId="0" borderId="17" xfId="0" applyFont="1" applyBorder="1" applyAlignment="1" applyProtection="1">
      <alignment horizontal="center" vertical="center" wrapText="1"/>
      <protection locked="0"/>
    </xf>
    <xf numFmtId="0" fontId="18" fillId="0" borderId="17" xfId="2" applyFont="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23" fillId="0" borderId="9" xfId="0" applyFont="1" applyBorder="1" applyAlignment="1" applyProtection="1">
      <alignment horizontal="center" vertical="center" wrapText="1"/>
      <protection locked="0"/>
    </xf>
    <xf numFmtId="14" fontId="23" fillId="0" borderId="19" xfId="0" applyNumberFormat="1" applyFont="1" applyBorder="1" applyAlignment="1" applyProtection="1">
      <alignment horizontal="center" vertical="center" wrapText="1"/>
      <protection locked="0"/>
    </xf>
    <xf numFmtId="14" fontId="23" fillId="11" borderId="3" xfId="0" applyNumberFormat="1" applyFont="1" applyFill="1" applyBorder="1" applyAlignment="1" applyProtection="1">
      <alignment horizontal="center" vertical="center" wrapText="1"/>
      <protection locked="0"/>
    </xf>
    <xf numFmtId="0" fontId="4" fillId="10" borderId="3" xfId="0" applyFont="1" applyFill="1" applyBorder="1" applyAlignment="1">
      <alignment horizontal="center" vertical="center" wrapText="1"/>
    </xf>
    <xf numFmtId="0" fontId="18" fillId="0" borderId="9" xfId="0" applyFont="1" applyBorder="1" applyAlignment="1" applyProtection="1">
      <alignment horizontal="center" vertical="center" wrapText="1"/>
      <protection locked="0"/>
    </xf>
    <xf numFmtId="2" fontId="18" fillId="0" borderId="9" xfId="1" applyNumberFormat="1" applyFont="1" applyFill="1" applyBorder="1" applyAlignment="1" applyProtection="1">
      <alignment horizontal="center" vertical="center" wrapText="1"/>
    </xf>
    <xf numFmtId="2" fontId="18" fillId="0" borderId="9" xfId="1" applyNumberFormat="1" applyFont="1" applyFill="1" applyBorder="1" applyAlignment="1" applyProtection="1">
      <alignment horizontal="center" vertical="center" wrapText="1"/>
      <protection locked="0"/>
    </xf>
    <xf numFmtId="0" fontId="18" fillId="0" borderId="9" xfId="2" applyFont="1" applyBorder="1" applyAlignment="1" applyProtection="1">
      <alignment horizontal="center" vertical="center" wrapText="1"/>
      <protection locked="0"/>
    </xf>
    <xf numFmtId="0" fontId="21" fillId="0" borderId="9" xfId="2" applyFont="1" applyBorder="1" applyAlignment="1" applyProtection="1">
      <alignment horizontal="center" vertical="center" wrapText="1"/>
      <protection locked="0"/>
    </xf>
    <xf numFmtId="0" fontId="18" fillId="0" borderId="9" xfId="2" applyFont="1" applyBorder="1" applyAlignment="1">
      <alignment horizontal="center" vertical="center" wrapText="1"/>
    </xf>
    <xf numFmtId="0" fontId="23" fillId="0" borderId="9" xfId="2" applyFont="1" applyBorder="1" applyAlignment="1" applyProtection="1">
      <alignment horizontal="center" vertical="center" wrapText="1"/>
      <protection locked="0"/>
    </xf>
    <xf numFmtId="0" fontId="23" fillId="11" borderId="3" xfId="2" applyFont="1" applyFill="1" applyBorder="1" applyAlignment="1" applyProtection="1">
      <alignment horizontal="justify" vertical="center" wrapText="1"/>
      <protection locked="0"/>
    </xf>
    <xf numFmtId="14" fontId="23" fillId="0" borderId="16" xfId="0" applyNumberFormat="1" applyFont="1" applyBorder="1" applyAlignment="1" applyProtection="1">
      <alignment horizontal="center" vertical="center" wrapText="1"/>
      <protection locked="0"/>
    </xf>
    <xf numFmtId="0" fontId="21" fillId="0" borderId="12" xfId="2" applyFont="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18" xfId="2" applyFont="1" applyBorder="1" applyAlignment="1" applyProtection="1">
      <alignment horizontal="center" vertical="center" wrapText="1"/>
      <protection locked="0"/>
    </xf>
    <xf numFmtId="0" fontId="21" fillId="11" borderId="1" xfId="2"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14" fontId="16" fillId="0" borderId="3"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14" fontId="21" fillId="11" borderId="1" xfId="0" applyNumberFormat="1" applyFont="1" applyFill="1" applyBorder="1" applyAlignment="1" applyProtection="1">
      <alignment horizontal="justify" vertical="center" wrapText="1"/>
      <protection locked="0"/>
    </xf>
    <xf numFmtId="14" fontId="21" fillId="11" borderId="1" xfId="0" applyNumberFormat="1" applyFont="1" applyFill="1" applyBorder="1" applyAlignment="1" applyProtection="1">
      <alignment horizontal="center" vertical="center" wrapText="1"/>
      <protection locked="0"/>
    </xf>
    <xf numFmtId="14" fontId="21" fillId="0" borderId="17" xfId="0" applyNumberFormat="1"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14" fontId="21" fillId="0" borderId="18" xfId="0" applyNumberFormat="1"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14" fontId="21" fillId="0" borderId="9" xfId="0" applyNumberFormat="1" applyFont="1" applyBorder="1" applyAlignment="1" applyProtection="1">
      <alignment horizontal="center" vertical="center" wrapText="1"/>
      <protection locked="0"/>
    </xf>
    <xf numFmtId="0" fontId="18" fillId="0" borderId="17" xfId="2" applyFont="1" applyBorder="1" applyAlignment="1" applyProtection="1">
      <alignment vertical="center" wrapText="1"/>
      <protection locked="0"/>
    </xf>
    <xf numFmtId="0" fontId="18" fillId="0" borderId="1" xfId="2" applyFont="1" applyBorder="1" applyAlignment="1" applyProtection="1">
      <alignment vertical="center" wrapText="1"/>
      <protection locked="0"/>
    </xf>
    <xf numFmtId="0" fontId="18" fillId="0" borderId="1" xfId="0"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14" fontId="21" fillId="0" borderId="1" xfId="0" applyNumberFormat="1" applyFont="1" applyBorder="1" applyAlignment="1" applyProtection="1">
      <alignment vertical="center" wrapText="1"/>
      <protection locked="0"/>
    </xf>
    <xf numFmtId="0" fontId="21" fillId="0" borderId="1" xfId="0" applyFont="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8" fillId="0" borderId="1" xfId="0" applyFont="1" applyBorder="1" applyAlignment="1">
      <alignment horizontal="left" vertical="center" wrapText="1"/>
    </xf>
    <xf numFmtId="0" fontId="21" fillId="11" borderId="0" xfId="5" applyFont="1" applyFill="1" applyAlignment="1">
      <alignment horizontal="center" vertical="top" wrapText="1" readingOrder="1"/>
    </xf>
    <xf numFmtId="0" fontId="11" fillId="11" borderId="1" xfId="2" applyFont="1" applyFill="1" applyBorder="1" applyAlignment="1" applyProtection="1">
      <alignment horizontal="center" vertical="center" wrapText="1" readingOrder="1"/>
      <protection locked="0"/>
    </xf>
    <xf numFmtId="0" fontId="18" fillId="11" borderId="1" xfId="2" applyFont="1" applyFill="1" applyBorder="1" applyAlignment="1" applyProtection="1">
      <alignment horizontal="center" vertical="center" wrapText="1" readingOrder="1"/>
      <protection locked="0"/>
    </xf>
    <xf numFmtId="0" fontId="18" fillId="11" borderId="1" xfId="2" applyFont="1" applyFill="1" applyBorder="1" applyAlignment="1">
      <alignment horizontal="center" vertical="center" wrapText="1" readingOrder="1"/>
    </xf>
    <xf numFmtId="2" fontId="18" fillId="11" borderId="1" xfId="4" applyNumberFormat="1" applyFont="1" applyFill="1" applyBorder="1" applyAlignment="1" applyProtection="1">
      <alignment horizontal="center" vertical="center" wrapText="1" readingOrder="1"/>
      <protection locked="0"/>
    </xf>
    <xf numFmtId="2" fontId="18" fillId="11" borderId="1" xfId="4" applyNumberFormat="1" applyFont="1" applyFill="1" applyBorder="1" applyAlignment="1" applyProtection="1">
      <alignment horizontal="center" vertical="center" wrapText="1" readingOrder="1"/>
    </xf>
    <xf numFmtId="0" fontId="21" fillId="11" borderId="1" xfId="5" applyFont="1" applyFill="1" applyBorder="1" applyAlignment="1" applyProtection="1">
      <alignment horizontal="center" vertical="center" wrapText="1" readingOrder="1"/>
      <protection locked="0"/>
    </xf>
    <xf numFmtId="14" fontId="21" fillId="11" borderId="1" xfId="5" applyNumberFormat="1" applyFont="1" applyFill="1" applyBorder="1" applyAlignment="1" applyProtection="1">
      <alignment horizontal="center" vertical="center" wrapText="1" readingOrder="1"/>
      <protection locked="0"/>
    </xf>
    <xf numFmtId="0" fontId="11" fillId="11" borderId="0" xfId="5" applyFont="1" applyFill="1" applyAlignment="1">
      <alignment horizontal="center" vertical="center" wrapText="1"/>
    </xf>
    <xf numFmtId="0" fontId="11" fillId="11" borderId="0" xfId="5" applyFont="1" applyFill="1" applyAlignment="1">
      <alignment horizontal="center" vertical="top" wrapText="1" readingOrder="1"/>
    </xf>
    <xf numFmtId="0" fontId="21" fillId="11" borderId="17" xfId="0" applyFont="1" applyFill="1" applyBorder="1" applyAlignment="1" applyProtection="1">
      <alignment horizontal="center" vertical="center" wrapText="1"/>
      <protection locked="0"/>
    </xf>
    <xf numFmtId="14" fontId="21" fillId="11" borderId="17" xfId="0" applyNumberFormat="1" applyFont="1" applyFill="1" applyBorder="1" applyAlignment="1" applyProtection="1">
      <alignment horizontal="center" vertical="center" wrapText="1"/>
      <protection locked="0"/>
    </xf>
    <xf numFmtId="0" fontId="18" fillId="11" borderId="1" xfId="2" applyFont="1" applyFill="1" applyBorder="1" applyAlignment="1">
      <alignment horizontal="center" vertical="center" wrapText="1"/>
    </xf>
    <xf numFmtId="0" fontId="21" fillId="11" borderId="1" xfId="0" applyFont="1" applyFill="1" applyBorder="1" applyAlignment="1" applyProtection="1">
      <alignment vertical="center" wrapText="1"/>
      <protection locked="0"/>
    </xf>
    <xf numFmtId="14" fontId="21" fillId="11" borderId="1" xfId="0" applyNumberFormat="1" applyFont="1" applyFill="1" applyBorder="1" applyAlignment="1" applyProtection="1">
      <alignment vertical="center" wrapText="1"/>
      <protection locked="0"/>
    </xf>
    <xf numFmtId="2" fontId="18" fillId="13" borderId="1" xfId="1" applyNumberFormat="1" applyFont="1" applyFill="1" applyBorder="1" applyAlignment="1" applyProtection="1">
      <alignment horizontal="center" vertical="center" wrapText="1"/>
    </xf>
    <xf numFmtId="0" fontId="21" fillId="11" borderId="9" xfId="0" applyFont="1" applyFill="1" applyBorder="1" applyAlignment="1" applyProtection="1">
      <alignment vertical="center" wrapText="1"/>
      <protection locked="0"/>
    </xf>
    <xf numFmtId="0" fontId="21" fillId="0" borderId="9" xfId="0" applyFont="1" applyBorder="1" applyAlignment="1" applyProtection="1">
      <alignment vertical="center"/>
      <protection locked="0"/>
    </xf>
    <xf numFmtId="0" fontId="21" fillId="0" borderId="9" xfId="0" applyFont="1" applyBorder="1" applyAlignment="1" applyProtection="1">
      <alignment vertical="center" wrapText="1"/>
      <protection locked="0"/>
    </xf>
    <xf numFmtId="14" fontId="21" fillId="11" borderId="9" xfId="0" applyNumberFormat="1" applyFont="1" applyFill="1" applyBorder="1" applyAlignment="1" applyProtection="1">
      <alignment horizontal="center" vertical="center"/>
      <protection locked="0"/>
    </xf>
    <xf numFmtId="14" fontId="21" fillId="0" borderId="9" xfId="0" applyNumberFormat="1" applyFont="1" applyBorder="1" applyAlignment="1" applyProtection="1">
      <alignment vertical="center"/>
      <protection locked="0"/>
    </xf>
    <xf numFmtId="14" fontId="21" fillId="11" borderId="9" xfId="0" applyNumberFormat="1" applyFont="1" applyFill="1" applyBorder="1" applyAlignment="1" applyProtection="1">
      <alignment vertical="center" wrapText="1"/>
      <protection locked="0"/>
    </xf>
    <xf numFmtId="0" fontId="21" fillId="11" borderId="9" xfId="0" applyFont="1" applyFill="1" applyBorder="1" applyAlignment="1" applyProtection="1">
      <alignment horizontal="center" vertical="center" wrapText="1"/>
      <protection locked="0"/>
    </xf>
    <xf numFmtId="14" fontId="21" fillId="11" borderId="9" xfId="0" applyNumberFormat="1" applyFont="1" applyFill="1" applyBorder="1" applyAlignment="1" applyProtection="1">
      <alignment horizontal="center" vertical="center" wrapText="1"/>
      <protection locked="0"/>
    </xf>
    <xf numFmtId="0" fontId="41" fillId="11" borderId="17" xfId="2" applyFont="1" applyFill="1" applyBorder="1" applyAlignment="1" applyProtection="1">
      <alignment horizontal="center" vertical="center" wrapText="1"/>
      <protection locked="0"/>
    </xf>
    <xf numFmtId="0" fontId="43" fillId="11" borderId="1" xfId="2" applyFont="1" applyFill="1" applyBorder="1" applyAlignment="1" applyProtection="1">
      <alignment horizontal="center" vertical="center" wrapText="1"/>
      <protection locked="0"/>
    </xf>
    <xf numFmtId="0" fontId="21" fillId="11" borderId="12" xfId="0" applyFont="1" applyFill="1" applyBorder="1" applyAlignment="1" applyProtection="1">
      <alignment horizontal="center" vertical="center" wrapText="1"/>
      <protection locked="0"/>
    </xf>
    <xf numFmtId="0" fontId="12" fillId="0" borderId="28" xfId="0" applyFont="1" applyBorder="1" applyAlignment="1">
      <alignment horizontal="center" vertical="center" wrapText="1"/>
    </xf>
    <xf numFmtId="2" fontId="18" fillId="0" borderId="1" xfId="1" applyNumberFormat="1" applyFont="1" applyFill="1" applyBorder="1" applyAlignment="1" applyProtection="1">
      <alignment horizontal="center" vertical="center" wrapText="1"/>
    </xf>
    <xf numFmtId="0" fontId="22" fillId="4" borderId="1" xfId="2" applyFont="1" applyFill="1" applyBorder="1" applyAlignment="1" applyProtection="1">
      <alignment horizontal="center" vertical="center" wrapText="1"/>
      <protection locked="0"/>
    </xf>
    <xf numFmtId="2" fontId="18" fillId="0" borderId="1" xfId="1" applyNumberFormat="1" applyFont="1" applyFill="1" applyBorder="1" applyAlignment="1" applyProtection="1">
      <alignment horizontal="center" vertical="center" wrapText="1"/>
      <protection locked="0"/>
    </xf>
    <xf numFmtId="0" fontId="33" fillId="0" borderId="58"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0" xfId="0" applyFont="1" applyAlignment="1">
      <alignment horizontal="center" vertical="center" wrapText="1"/>
    </xf>
    <xf numFmtId="0" fontId="33" fillId="0" borderId="28" xfId="0" applyFont="1" applyBorder="1" applyAlignment="1">
      <alignment horizontal="center" vertical="center" wrapText="1"/>
    </xf>
    <xf numFmtId="0" fontId="33" fillId="0" borderId="59"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32" xfId="0" applyFont="1" applyBorder="1" applyAlignment="1">
      <alignment horizontal="center" vertical="center" wrapText="1"/>
    </xf>
    <xf numFmtId="0" fontId="35" fillId="12" borderId="40" xfId="2" applyFont="1" applyFill="1" applyBorder="1" applyAlignment="1" applyProtection="1">
      <alignment horizontal="center" vertical="center" wrapText="1"/>
      <protection locked="0"/>
    </xf>
    <xf numFmtId="0" fontId="35" fillId="12" borderId="41" xfId="2" applyFont="1" applyFill="1" applyBorder="1" applyAlignment="1" applyProtection="1">
      <alignment horizontal="center" vertical="center" wrapText="1"/>
      <protection locked="0"/>
    </xf>
    <xf numFmtId="0" fontId="18" fillId="11" borderId="17" xfId="2" applyFont="1" applyFill="1" applyBorder="1" applyAlignment="1" applyProtection="1">
      <alignment horizontal="center" vertical="center" wrapText="1"/>
      <protection locked="0"/>
    </xf>
    <xf numFmtId="0" fontId="18" fillId="11" borderId="1" xfId="2" applyFont="1" applyFill="1" applyBorder="1" applyAlignment="1" applyProtection="1">
      <alignment horizontal="center" vertical="center" wrapText="1"/>
      <protection locked="0"/>
    </xf>
    <xf numFmtId="0" fontId="21" fillId="11" borderId="17" xfId="2" applyFont="1" applyFill="1" applyBorder="1" applyAlignment="1" applyProtection="1">
      <alignment horizontal="center" vertical="center" wrapText="1"/>
      <protection locked="0"/>
    </xf>
    <xf numFmtId="0" fontId="21" fillId="11" borderId="1" xfId="2" applyFont="1" applyFill="1" applyBorder="1" applyAlignment="1" applyProtection="1">
      <alignment horizontal="center" vertical="center" wrapText="1"/>
      <protection locked="0"/>
    </xf>
    <xf numFmtId="0" fontId="22" fillId="4" borderId="1" xfId="2" applyFont="1" applyFill="1" applyBorder="1" applyAlignment="1" applyProtection="1">
      <alignment horizontal="justify" vertical="center" wrapText="1"/>
      <protection locked="0"/>
    </xf>
    <xf numFmtId="0" fontId="18" fillId="0" borderId="1" xfId="2" applyFont="1" applyBorder="1" applyAlignment="1">
      <alignment horizontal="center" vertical="center" wrapText="1"/>
    </xf>
    <xf numFmtId="2" fontId="18" fillId="0" borderId="39" xfId="1" applyNumberFormat="1" applyFont="1" applyFill="1" applyBorder="1" applyAlignment="1" applyProtection="1">
      <alignment horizontal="center" vertical="center" wrapText="1"/>
    </xf>
    <xf numFmtId="2" fontId="18" fillId="0" borderId="9" xfId="1" applyNumberFormat="1" applyFont="1" applyFill="1" applyBorder="1" applyAlignment="1" applyProtection="1">
      <alignment horizontal="center" vertical="center" wrapText="1"/>
    </xf>
    <xf numFmtId="0" fontId="18" fillId="0" borderId="39" xfId="2" applyFont="1" applyBorder="1" applyAlignment="1" applyProtection="1">
      <alignment horizontal="center" vertical="center" wrapText="1"/>
      <protection locked="0"/>
    </xf>
    <xf numFmtId="0" fontId="18" fillId="0" borderId="9" xfId="2" applyFont="1" applyBorder="1" applyAlignment="1" applyProtection="1">
      <alignment horizontal="center" vertical="center" wrapText="1"/>
      <protection locked="0"/>
    </xf>
    <xf numFmtId="0" fontId="16" fillId="0" borderId="40"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35"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37" xfId="0" applyFont="1" applyBorder="1" applyAlignment="1" applyProtection="1">
      <alignment horizontal="center" vertical="center" wrapText="1"/>
      <protection locked="0"/>
    </xf>
    <xf numFmtId="0" fontId="23" fillId="0" borderId="35" xfId="0" applyFont="1" applyBorder="1" applyAlignment="1" applyProtection="1">
      <alignment horizontal="center" vertical="center" wrapText="1"/>
      <protection locked="0"/>
    </xf>
    <xf numFmtId="0" fontId="23" fillId="0" borderId="38" xfId="0" applyFont="1" applyBorder="1" applyAlignment="1" applyProtection="1">
      <alignment horizontal="center" vertical="center" wrapText="1"/>
      <protection locked="0"/>
    </xf>
    <xf numFmtId="0" fontId="18" fillId="11" borderId="18" xfId="2" applyFont="1" applyFill="1" applyBorder="1" applyAlignment="1" applyProtection="1">
      <alignment horizontal="center" vertical="center" wrapText="1"/>
      <protection locked="0"/>
    </xf>
    <xf numFmtId="2" fontId="18" fillId="0" borderId="1" xfId="1" applyNumberFormat="1" applyFont="1" applyFill="1" applyBorder="1" applyAlignment="1" applyProtection="1">
      <alignment horizontal="center" vertical="center" wrapText="1"/>
    </xf>
    <xf numFmtId="2" fontId="18" fillId="0" borderId="39" xfId="1" applyNumberFormat="1" applyFont="1" applyFill="1" applyBorder="1" applyAlignment="1" applyProtection="1">
      <alignment horizontal="center" vertical="center" wrapText="1"/>
      <protection locked="0"/>
    </xf>
    <xf numFmtId="2" fontId="18" fillId="0" borderId="9" xfId="1" applyNumberFormat="1" applyFont="1" applyFill="1" applyBorder="1" applyAlignment="1" applyProtection="1">
      <alignment horizontal="center" vertical="center" wrapText="1"/>
      <protection locked="0"/>
    </xf>
    <xf numFmtId="0" fontId="23" fillId="0" borderId="39" xfId="2" applyFont="1" applyBorder="1" applyAlignment="1" applyProtection="1">
      <alignment horizontal="center" vertical="center" wrapText="1"/>
      <protection locked="0"/>
    </xf>
    <xf numFmtId="0" fontId="23" fillId="0" borderId="37" xfId="2" applyFont="1" applyBorder="1" applyAlignment="1" applyProtection="1">
      <alignment horizontal="center" vertical="center" wrapText="1"/>
      <protection locked="0"/>
    </xf>
    <xf numFmtId="0" fontId="35" fillId="0" borderId="3" xfId="2" applyFont="1" applyBorder="1" applyAlignment="1" applyProtection="1">
      <alignment horizontal="center" vertical="center" wrapText="1"/>
      <protection locked="0"/>
    </xf>
    <xf numFmtId="0" fontId="35" fillId="0" borderId="12" xfId="2" applyFont="1" applyBorder="1" applyAlignment="1" applyProtection="1">
      <alignment horizontal="center" vertical="center" wrapText="1"/>
      <protection locked="0"/>
    </xf>
    <xf numFmtId="0" fontId="30" fillId="0" borderId="3" xfId="2" applyFont="1" applyBorder="1" applyAlignment="1" applyProtection="1">
      <alignment horizontal="center" vertical="center" wrapText="1"/>
      <protection locked="0"/>
    </xf>
    <xf numFmtId="0" fontId="30" fillId="0" borderId="12" xfId="2" applyFont="1" applyBorder="1" applyAlignment="1" applyProtection="1">
      <alignment horizontal="center" vertical="center" wrapText="1"/>
      <protection locked="0"/>
    </xf>
    <xf numFmtId="0" fontId="30" fillId="0" borderId="39" xfId="2" applyFont="1" applyBorder="1" applyAlignment="1" applyProtection="1">
      <alignment horizontal="center" vertical="center" wrapText="1"/>
      <protection locked="0"/>
    </xf>
    <xf numFmtId="0" fontId="30" fillId="0" borderId="37" xfId="2" applyFont="1" applyBorder="1" applyAlignment="1" applyProtection="1">
      <alignment horizontal="center" vertical="center" wrapText="1"/>
      <protection locked="0"/>
    </xf>
    <xf numFmtId="0" fontId="23" fillId="11" borderId="39" xfId="0" applyFont="1" applyFill="1" applyBorder="1" applyAlignment="1" applyProtection="1">
      <alignment horizontal="center" vertical="center" wrapText="1"/>
      <protection locked="0"/>
    </xf>
    <xf numFmtId="0" fontId="23" fillId="11" borderId="18" xfId="0" applyFont="1" applyFill="1" applyBorder="1" applyAlignment="1" applyProtection="1">
      <alignment horizontal="center" vertical="center" wrapText="1"/>
      <protection locked="0"/>
    </xf>
    <xf numFmtId="0" fontId="23" fillId="11" borderId="37" xfId="0" applyFont="1" applyFill="1" applyBorder="1" applyAlignment="1" applyProtection="1">
      <alignment horizontal="center" vertical="center" wrapText="1"/>
      <protection locked="0"/>
    </xf>
    <xf numFmtId="14" fontId="23" fillId="11" borderId="39" xfId="0" applyNumberFormat="1" applyFont="1" applyFill="1" applyBorder="1" applyAlignment="1" applyProtection="1">
      <alignment horizontal="center" vertical="center" wrapText="1"/>
      <protection locked="0"/>
    </xf>
    <xf numFmtId="14" fontId="23" fillId="11" borderId="18" xfId="0" applyNumberFormat="1" applyFont="1" applyFill="1" applyBorder="1" applyAlignment="1" applyProtection="1">
      <alignment horizontal="center" vertical="center" wrapText="1"/>
      <protection locked="0"/>
    </xf>
    <xf numFmtId="14" fontId="23" fillId="11" borderId="37" xfId="0" applyNumberFormat="1" applyFont="1" applyFill="1" applyBorder="1" applyAlignment="1" applyProtection="1">
      <alignment horizontal="center" vertical="center" wrapText="1"/>
      <protection locked="0"/>
    </xf>
    <xf numFmtId="0" fontId="21" fillId="0" borderId="39" xfId="2" applyFont="1" applyBorder="1" applyAlignment="1" applyProtection="1">
      <alignment horizontal="center" vertical="center" wrapText="1"/>
      <protection locked="0"/>
    </xf>
    <xf numFmtId="0" fontId="21" fillId="0" borderId="18" xfId="2" applyFont="1" applyBorder="1" applyAlignment="1" applyProtection="1">
      <alignment horizontal="center" vertical="center" wrapText="1"/>
      <protection locked="0"/>
    </xf>
    <xf numFmtId="0" fontId="21" fillId="11" borderId="17" xfId="2" applyFont="1" applyFill="1" applyBorder="1" applyAlignment="1" applyProtection="1">
      <alignment horizontal="justify" vertical="center" wrapText="1"/>
      <protection locked="0"/>
    </xf>
    <xf numFmtId="0" fontId="21" fillId="11" borderId="1" xfId="2" applyFont="1" applyFill="1" applyBorder="1" applyAlignment="1" applyProtection="1">
      <alignment horizontal="justify" vertical="center" wrapText="1"/>
      <protection locked="0"/>
    </xf>
    <xf numFmtId="0" fontId="21" fillId="11" borderId="18" xfId="2" applyFont="1" applyFill="1" applyBorder="1" applyAlignment="1" applyProtection="1">
      <alignment horizontal="justify" vertical="center" wrapText="1"/>
      <protection locked="0"/>
    </xf>
    <xf numFmtId="0" fontId="21" fillId="0" borderId="4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28" xfId="0" applyFont="1" applyBorder="1" applyAlignment="1">
      <alignment horizontal="center" vertical="center" wrapText="1"/>
    </xf>
    <xf numFmtId="0" fontId="35" fillId="12" borderId="52" xfId="2" applyFont="1" applyFill="1" applyBorder="1" applyAlignment="1" applyProtection="1">
      <alignment horizontal="center" vertical="center" wrapText="1"/>
      <protection locked="0"/>
    </xf>
    <xf numFmtId="0" fontId="18" fillId="0" borderId="1" xfId="2" applyFont="1" applyBorder="1" applyAlignment="1" applyProtection="1">
      <alignment horizontal="center" vertical="center" wrapText="1"/>
      <protection locked="0"/>
    </xf>
    <xf numFmtId="0" fontId="21" fillId="0" borderId="1" xfId="2" applyFont="1" applyBorder="1" applyAlignment="1" applyProtection="1">
      <alignment horizontal="center" vertical="center" wrapText="1"/>
      <protection locked="0"/>
    </xf>
    <xf numFmtId="0" fontId="22" fillId="4" borderId="1" xfId="2" applyFont="1" applyFill="1" applyBorder="1" applyAlignment="1" applyProtection="1">
      <alignment horizontal="center" vertical="center" wrapText="1"/>
      <protection locked="0"/>
    </xf>
    <xf numFmtId="2" fontId="18" fillId="0" borderId="17" xfId="1" applyNumberFormat="1" applyFont="1" applyFill="1" applyBorder="1" applyAlignment="1" applyProtection="1">
      <alignment horizontal="center" vertical="center" wrapText="1"/>
    </xf>
    <xf numFmtId="2" fontId="18" fillId="0" borderId="17" xfId="1" applyNumberFormat="1" applyFont="1" applyFill="1" applyBorder="1" applyAlignment="1" applyProtection="1">
      <alignment horizontal="center" vertical="center" wrapText="1"/>
      <protection locked="0"/>
    </xf>
    <xf numFmtId="0" fontId="18" fillId="0" borderId="39" xfId="0" applyFont="1" applyBorder="1" applyAlignment="1">
      <alignment horizontal="center" vertical="center" wrapText="1"/>
    </xf>
    <xf numFmtId="0" fontId="18" fillId="0" borderId="9" xfId="0" applyFont="1" applyBorder="1" applyAlignment="1">
      <alignment horizontal="center" vertical="center" wrapText="1"/>
    </xf>
    <xf numFmtId="2" fontId="18" fillId="0" borderId="1" xfId="1" applyNumberFormat="1" applyFont="1" applyFill="1" applyBorder="1" applyAlignment="1" applyProtection="1">
      <alignment horizontal="center" vertical="center" wrapText="1"/>
      <protection locked="0"/>
    </xf>
    <xf numFmtId="2" fontId="18" fillId="0" borderId="12" xfId="1" applyNumberFormat="1" applyFont="1" applyFill="1" applyBorder="1" applyAlignment="1" applyProtection="1">
      <alignment horizontal="center" vertical="center" wrapText="1"/>
      <protection locked="0"/>
    </xf>
    <xf numFmtId="2" fontId="18" fillId="0" borderId="3" xfId="1" applyNumberFormat="1" applyFont="1" applyFill="1" applyBorder="1" applyAlignment="1" applyProtection="1">
      <alignment horizontal="center" vertical="center" wrapText="1"/>
    </xf>
    <xf numFmtId="2" fontId="18" fillId="0" borderId="12" xfId="1" applyNumberFormat="1" applyFont="1" applyFill="1" applyBorder="1" applyAlignment="1" applyProtection="1">
      <alignment horizontal="center" vertical="center" wrapText="1"/>
    </xf>
    <xf numFmtId="2" fontId="18" fillId="0" borderId="3" xfId="1" applyNumberFormat="1" applyFont="1" applyFill="1" applyBorder="1" applyAlignment="1" applyProtection="1">
      <alignment horizontal="center" vertical="center" wrapText="1"/>
      <protection locked="0"/>
    </xf>
    <xf numFmtId="0" fontId="23" fillId="11" borderId="3"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wrapText="1"/>
      <protection locked="0"/>
    </xf>
    <xf numFmtId="0" fontId="23" fillId="11" borderId="12" xfId="0" applyFont="1" applyFill="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34" fillId="0" borderId="39" xfId="0" applyFont="1" applyBorder="1" applyAlignment="1">
      <alignment horizontal="center" vertical="center" wrapText="1"/>
    </xf>
    <xf numFmtId="0" fontId="34" fillId="0" borderId="18" xfId="0" applyFont="1" applyBorder="1" applyAlignment="1">
      <alignment horizontal="center" vertical="center" wrapText="1"/>
    </xf>
    <xf numFmtId="0" fontId="21" fillId="0" borderId="37" xfId="2"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14" fontId="23" fillId="11" borderId="35" xfId="0" applyNumberFormat="1" applyFont="1" applyFill="1" applyBorder="1" applyAlignment="1" applyProtection="1">
      <alignment horizontal="center" vertical="center" wrapText="1"/>
      <protection locked="0"/>
    </xf>
    <xf numFmtId="14" fontId="23" fillId="11" borderId="36" xfId="0" applyNumberFormat="1" applyFont="1" applyFill="1" applyBorder="1" applyAlignment="1" applyProtection="1">
      <alignment horizontal="center" vertical="center" wrapText="1"/>
      <protection locked="0"/>
    </xf>
    <xf numFmtId="14" fontId="23" fillId="11" borderId="38" xfId="0" applyNumberFormat="1" applyFont="1" applyFill="1" applyBorder="1" applyAlignment="1" applyProtection="1">
      <alignment horizontal="center" vertical="center" wrapText="1"/>
      <protection locked="0"/>
    </xf>
    <xf numFmtId="0" fontId="18" fillId="0" borderId="37" xfId="2" applyFont="1" applyBorder="1" applyAlignment="1" applyProtection="1">
      <alignment horizontal="center" vertical="center" wrapText="1"/>
      <protection locked="0"/>
    </xf>
    <xf numFmtId="2" fontId="18" fillId="0" borderId="37" xfId="1" applyNumberFormat="1" applyFont="1" applyFill="1" applyBorder="1" applyAlignment="1" applyProtection="1">
      <alignment horizontal="center" vertical="center" wrapText="1"/>
    </xf>
    <xf numFmtId="14" fontId="23" fillId="0" borderId="39" xfId="0" applyNumberFormat="1" applyFont="1" applyBorder="1" applyAlignment="1" applyProtection="1">
      <alignment horizontal="center" vertical="center" wrapText="1"/>
      <protection locked="0"/>
    </xf>
    <xf numFmtId="14" fontId="23" fillId="0" borderId="18" xfId="0" applyNumberFormat="1" applyFont="1" applyBorder="1" applyAlignment="1" applyProtection="1">
      <alignment horizontal="center" vertical="center" wrapText="1"/>
      <protection locked="0"/>
    </xf>
    <xf numFmtId="14" fontId="23" fillId="0" borderId="17" xfId="0" applyNumberFormat="1" applyFont="1" applyBorder="1" applyAlignment="1" applyProtection="1">
      <alignment horizontal="center" vertical="center" wrapText="1"/>
      <protection locked="0"/>
    </xf>
    <xf numFmtId="14" fontId="23" fillId="0" borderId="37" xfId="0" applyNumberFormat="1" applyFont="1" applyBorder="1" applyAlignment="1" applyProtection="1">
      <alignment horizontal="center" vertical="center" wrapText="1"/>
      <protection locked="0"/>
    </xf>
    <xf numFmtId="0" fontId="34" fillId="0" borderId="37" xfId="0" applyFont="1" applyBorder="1" applyAlignment="1">
      <alignment horizontal="center" vertical="center" wrapText="1"/>
    </xf>
    <xf numFmtId="0" fontId="23" fillId="0" borderId="3"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18" fillId="0" borderId="17" xfId="2" applyFont="1" applyBorder="1" applyAlignment="1" applyProtection="1">
      <alignment horizontal="center" vertical="center" wrapText="1"/>
      <protection locked="0"/>
    </xf>
    <xf numFmtId="0" fontId="18" fillId="0" borderId="18" xfId="2" applyFont="1" applyBorder="1" applyAlignment="1" applyProtection="1">
      <alignment horizontal="center" vertical="center" wrapText="1"/>
      <protection locked="0"/>
    </xf>
    <xf numFmtId="0" fontId="21" fillId="0" borderId="17" xfId="2" applyFont="1" applyBorder="1" applyAlignment="1" applyProtection="1">
      <alignment horizontal="center" vertical="center" wrapText="1"/>
      <protection locked="0"/>
    </xf>
    <xf numFmtId="0" fontId="21" fillId="0" borderId="9" xfId="2" applyFont="1" applyBorder="1" applyAlignment="1" applyProtection="1">
      <alignment horizontal="center" vertical="center" wrapText="1"/>
      <protection locked="0"/>
    </xf>
    <xf numFmtId="0" fontId="18" fillId="11" borderId="9" xfId="2" applyFont="1" applyFill="1" applyBorder="1" applyAlignment="1" applyProtection="1">
      <alignment horizontal="center" vertical="center" wrapText="1"/>
      <protection locked="0"/>
    </xf>
    <xf numFmtId="0" fontId="18" fillId="0" borderId="17" xfId="0" applyFont="1" applyBorder="1" applyAlignment="1">
      <alignment horizontal="center" vertical="center" wrapText="1"/>
    </xf>
    <xf numFmtId="0" fontId="18" fillId="0" borderId="17"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2" fontId="18" fillId="11" borderId="17" xfId="1" applyNumberFormat="1" applyFont="1" applyFill="1" applyBorder="1" applyAlignment="1" applyProtection="1">
      <alignment horizontal="center" vertical="center" wrapText="1"/>
    </xf>
    <xf numFmtId="2" fontId="18" fillId="11" borderId="9" xfId="1" applyNumberFormat="1" applyFont="1" applyFill="1" applyBorder="1" applyAlignment="1" applyProtection="1">
      <alignment horizontal="center" vertical="center" wrapText="1"/>
    </xf>
    <xf numFmtId="0" fontId="18" fillId="0" borderId="3" xfId="2" applyFont="1" applyBorder="1" applyAlignment="1" applyProtection="1">
      <alignment horizontal="center" vertical="center" wrapText="1"/>
      <protection locked="0"/>
    </xf>
    <xf numFmtId="0" fontId="18" fillId="0" borderId="3" xfId="2" applyFont="1" applyBorder="1" applyAlignment="1">
      <alignment horizontal="center" vertical="center" wrapText="1"/>
    </xf>
    <xf numFmtId="0" fontId="18" fillId="0" borderId="3" xfId="0" applyFont="1" applyBorder="1" applyAlignment="1" applyProtection="1">
      <alignment horizontal="center" vertical="center" wrapText="1"/>
      <protection locked="0"/>
    </xf>
    <xf numFmtId="0" fontId="21" fillId="0" borderId="3" xfId="2" applyFont="1" applyBorder="1" applyAlignment="1" applyProtection="1">
      <alignment horizontal="center" vertical="center" wrapText="1"/>
      <protection locked="0"/>
    </xf>
    <xf numFmtId="0" fontId="22" fillId="4" borderId="3" xfId="2" applyFont="1" applyFill="1" applyBorder="1" applyAlignment="1" applyProtection="1">
      <alignment horizontal="center" vertical="center" wrapText="1"/>
      <protection locked="0"/>
    </xf>
    <xf numFmtId="2" fontId="18" fillId="11" borderId="1" xfId="4" applyNumberFormat="1" applyFont="1" applyFill="1" applyBorder="1" applyAlignment="1" applyProtection="1">
      <alignment horizontal="center" vertical="center" wrapText="1" readingOrder="1"/>
    </xf>
    <xf numFmtId="2" fontId="18" fillId="11" borderId="17" xfId="4" applyNumberFormat="1" applyFont="1" applyFill="1" applyBorder="1" applyAlignment="1" applyProtection="1">
      <alignment horizontal="center" vertical="center" wrapText="1" readingOrder="1"/>
    </xf>
    <xf numFmtId="2" fontId="18" fillId="11" borderId="37" xfId="4" applyNumberFormat="1" applyFont="1" applyFill="1" applyBorder="1" applyAlignment="1" applyProtection="1">
      <alignment horizontal="center" vertical="center" wrapText="1" readingOrder="1"/>
    </xf>
    <xf numFmtId="0" fontId="18" fillId="11" borderId="17" xfId="2" applyFont="1" applyFill="1" applyBorder="1" applyAlignment="1" applyProtection="1">
      <alignment horizontal="center" vertical="center" wrapText="1" readingOrder="1"/>
      <protection locked="0"/>
    </xf>
    <xf numFmtId="0" fontId="18" fillId="11" borderId="37" xfId="2" applyFont="1" applyFill="1" applyBorder="1" applyAlignment="1" applyProtection="1">
      <alignment horizontal="center" vertical="center" wrapText="1" readingOrder="1"/>
      <protection locked="0"/>
    </xf>
    <xf numFmtId="0" fontId="18" fillId="11" borderId="17" xfId="5" applyFont="1" applyFill="1" applyBorder="1" applyAlignment="1">
      <alignment horizontal="center" vertical="center" wrapText="1" readingOrder="1"/>
    </xf>
    <xf numFmtId="0" fontId="18" fillId="11" borderId="37" xfId="5" applyFont="1" applyFill="1" applyBorder="1" applyAlignment="1">
      <alignment horizontal="center" vertical="center" wrapText="1" readingOrder="1"/>
    </xf>
    <xf numFmtId="2" fontId="18" fillId="11" borderId="17" xfId="4" applyNumberFormat="1" applyFont="1" applyFill="1" applyBorder="1" applyAlignment="1" applyProtection="1">
      <alignment horizontal="center" vertical="center" wrapText="1" readingOrder="1"/>
      <protection locked="0"/>
    </xf>
    <xf numFmtId="2" fontId="18" fillId="11" borderId="37" xfId="4" applyNumberFormat="1" applyFont="1" applyFill="1" applyBorder="1" applyAlignment="1" applyProtection="1">
      <alignment horizontal="center" vertical="center" wrapText="1" readingOrder="1"/>
      <protection locked="0"/>
    </xf>
    <xf numFmtId="0" fontId="18" fillId="0" borderId="12" xfId="2" applyFont="1" applyBorder="1" applyAlignment="1">
      <alignment horizontal="center" vertical="center" wrapText="1"/>
    </xf>
    <xf numFmtId="0" fontId="18" fillId="0" borderId="3" xfId="0" applyFont="1" applyBorder="1" applyAlignment="1">
      <alignment horizontal="center" vertical="center" wrapText="1"/>
    </xf>
    <xf numFmtId="0" fontId="18" fillId="0" borderId="12" xfId="0" applyFont="1" applyBorder="1" applyAlignment="1">
      <alignment horizontal="center" vertical="center" wrapText="1"/>
    </xf>
    <xf numFmtId="0" fontId="35" fillId="12" borderId="44" xfId="2" applyFont="1" applyFill="1" applyBorder="1" applyAlignment="1" applyProtection="1">
      <alignment horizontal="center" vertical="center" wrapText="1"/>
      <protection locked="0"/>
    </xf>
    <xf numFmtId="0" fontId="35" fillId="12" borderId="61" xfId="2" applyFont="1" applyFill="1" applyBorder="1" applyAlignment="1" applyProtection="1">
      <alignment horizontal="center" vertical="center" wrapText="1"/>
      <protection locked="0"/>
    </xf>
    <xf numFmtId="0" fontId="35" fillId="0" borderId="1" xfId="2" applyFont="1" applyBorder="1" applyAlignment="1" applyProtection="1">
      <alignment horizontal="center" vertical="center" wrapText="1"/>
      <protection locked="0"/>
    </xf>
    <xf numFmtId="0" fontId="30" fillId="0" borderId="1" xfId="2" applyFont="1" applyBorder="1" applyAlignment="1" applyProtection="1">
      <alignment horizontal="center" vertical="center" wrapText="1"/>
      <protection locked="0"/>
    </xf>
    <xf numFmtId="0" fontId="11" fillId="11" borderId="1" xfId="2" applyFont="1" applyFill="1" applyBorder="1" applyAlignment="1" applyProtection="1">
      <alignment horizontal="center" vertical="center" wrapText="1" readingOrder="1"/>
      <protection locked="0"/>
    </xf>
    <xf numFmtId="0" fontId="10" fillId="11" borderId="1" xfId="2" applyFont="1" applyFill="1" applyBorder="1" applyAlignment="1">
      <alignment horizontal="center" vertical="center" wrapText="1" readingOrder="1"/>
    </xf>
    <xf numFmtId="0" fontId="10" fillId="11" borderId="1" xfId="2" applyFont="1" applyFill="1" applyBorder="1" applyAlignment="1" applyProtection="1">
      <alignment horizontal="center" vertical="center" wrapText="1" readingOrder="1"/>
      <protection locked="0"/>
    </xf>
    <xf numFmtId="0" fontId="10" fillId="11" borderId="1" xfId="5" applyFont="1" applyFill="1" applyBorder="1" applyAlignment="1" applyProtection="1">
      <alignment horizontal="center" vertical="center" wrapText="1" readingOrder="1"/>
      <protection locked="0"/>
    </xf>
    <xf numFmtId="0" fontId="21" fillId="0" borderId="12" xfId="2" applyFont="1" applyBorder="1" applyAlignment="1" applyProtection="1">
      <alignment horizontal="center" vertical="center" wrapText="1"/>
      <protection locked="0"/>
    </xf>
    <xf numFmtId="0" fontId="22" fillId="4" borderId="12" xfId="2" applyFont="1" applyFill="1" applyBorder="1" applyAlignment="1" applyProtection="1">
      <alignment horizontal="center" vertical="center" wrapText="1"/>
      <protection locked="0"/>
    </xf>
    <xf numFmtId="0" fontId="18" fillId="0" borderId="12" xfId="2"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21" fillId="11" borderId="42" xfId="2" applyFont="1" applyFill="1" applyBorder="1" applyAlignment="1" applyProtection="1">
      <alignment horizontal="justify" vertical="center" wrapText="1"/>
      <protection locked="0"/>
    </xf>
    <xf numFmtId="0" fontId="21" fillId="11" borderId="43" xfId="2" applyFont="1" applyFill="1" applyBorder="1" applyAlignment="1" applyProtection="1">
      <alignment horizontal="justify" vertical="center" wrapText="1"/>
      <protection locked="0"/>
    </xf>
    <xf numFmtId="0" fontId="21" fillId="11" borderId="49" xfId="2" applyFont="1" applyFill="1" applyBorder="1" applyAlignment="1" applyProtection="1">
      <alignment horizontal="justify" vertical="center" wrapText="1"/>
      <protection locked="0"/>
    </xf>
    <xf numFmtId="0" fontId="21" fillId="11" borderId="50" xfId="2" applyFont="1" applyFill="1" applyBorder="1" applyAlignment="1" applyProtection="1">
      <alignment horizontal="justify" vertical="center" wrapText="1"/>
      <protection locked="0"/>
    </xf>
    <xf numFmtId="0" fontId="21" fillId="0" borderId="1" xfId="2" applyFont="1" applyBorder="1" applyAlignment="1" applyProtection="1">
      <alignment horizontal="justify" vertical="center" wrapText="1"/>
      <protection locked="0"/>
    </xf>
    <xf numFmtId="0" fontId="21" fillId="0" borderId="42" xfId="2" applyFont="1" applyBorder="1" applyAlignment="1" applyProtection="1">
      <alignment horizontal="justify" vertical="center" wrapText="1"/>
      <protection locked="0"/>
    </xf>
    <xf numFmtId="0" fontId="21" fillId="0" borderId="43" xfId="2" applyFont="1" applyBorder="1" applyAlignment="1" applyProtection="1">
      <alignment horizontal="justify" vertical="center" wrapText="1"/>
      <protection locked="0"/>
    </xf>
    <xf numFmtId="0" fontId="21" fillId="11" borderId="3" xfId="2" applyFont="1" applyFill="1" applyBorder="1" applyAlignment="1" applyProtection="1">
      <alignment horizontal="justify" vertical="center" wrapText="1"/>
      <protection locked="0"/>
    </xf>
    <xf numFmtId="0" fontId="21" fillId="11" borderId="12" xfId="2" applyFont="1" applyFill="1" applyBorder="1" applyAlignment="1" applyProtection="1">
      <alignment horizontal="justify" vertical="center" wrapText="1"/>
      <protection locked="0"/>
    </xf>
    <xf numFmtId="0" fontId="21" fillId="0" borderId="12" xfId="2" applyFont="1" applyBorder="1" applyAlignment="1" applyProtection="1">
      <alignment horizontal="justify" vertical="center" wrapText="1"/>
      <protection locked="0"/>
    </xf>
    <xf numFmtId="0" fontId="21" fillId="0" borderId="3" xfId="2" applyFont="1" applyBorder="1" applyAlignment="1" applyProtection="1">
      <alignment horizontal="justify" vertical="center" wrapText="1"/>
      <protection locked="0"/>
    </xf>
    <xf numFmtId="0" fontId="35" fillId="0" borderId="17" xfId="2" applyFont="1" applyBorder="1" applyAlignment="1" applyProtection="1">
      <alignment horizontal="center" vertical="center" wrapText="1"/>
      <protection locked="0"/>
    </xf>
    <xf numFmtId="0" fontId="30" fillId="0" borderId="18" xfId="2" applyFont="1" applyBorder="1" applyAlignment="1" applyProtection="1">
      <alignment horizontal="center" vertical="center" wrapText="1"/>
      <protection locked="0"/>
    </xf>
    <xf numFmtId="0" fontId="23" fillId="0" borderId="3" xfId="2" applyFont="1" applyBorder="1" applyAlignment="1" applyProtection="1">
      <alignment horizontal="center" vertical="center" wrapText="1"/>
      <protection locked="0"/>
    </xf>
    <xf numFmtId="0" fontId="23" fillId="0" borderId="12" xfId="2" applyFont="1" applyBorder="1" applyAlignment="1" applyProtection="1">
      <alignment horizontal="center" vertical="center" wrapText="1"/>
      <protection locked="0"/>
    </xf>
    <xf numFmtId="0" fontId="18" fillId="0" borderId="9" xfId="2" applyFont="1" applyBorder="1" applyAlignment="1">
      <alignment horizontal="center" vertical="center" wrapText="1"/>
    </xf>
    <xf numFmtId="0" fontId="35" fillId="0" borderId="9" xfId="2" applyFont="1" applyBorder="1" applyAlignment="1" applyProtection="1">
      <alignment horizontal="center" vertical="center" wrapText="1"/>
      <protection locked="0"/>
    </xf>
    <xf numFmtId="0" fontId="30" fillId="0" borderId="9" xfId="2" applyFont="1" applyBorder="1" applyAlignment="1" applyProtection="1">
      <alignment horizontal="center" vertical="center" wrapText="1"/>
      <protection locked="0"/>
    </xf>
    <xf numFmtId="0" fontId="18" fillId="0" borderId="17" xfId="2" applyFont="1" applyBorder="1" applyAlignment="1">
      <alignment horizontal="center" vertical="center" wrapText="1"/>
    </xf>
    <xf numFmtId="0" fontId="30" fillId="0" borderId="17" xfId="2" applyFont="1" applyBorder="1" applyAlignment="1" applyProtection="1">
      <alignment horizontal="center" vertical="center" wrapText="1"/>
      <protection locked="0"/>
    </xf>
    <xf numFmtId="0" fontId="22" fillId="4" borderId="17" xfId="2" applyFont="1" applyFill="1" applyBorder="1" applyAlignment="1" applyProtection="1">
      <alignment horizontal="center" vertical="center" wrapText="1"/>
      <protection locked="0"/>
    </xf>
    <xf numFmtId="0" fontId="21" fillId="0" borderId="3" xfId="2" applyFont="1" applyBorder="1" applyAlignment="1" applyProtection="1">
      <alignment horizontal="justify" vertical="top" wrapText="1"/>
      <protection locked="0"/>
    </xf>
    <xf numFmtId="0" fontId="37" fillId="0" borderId="12" xfId="2" applyFont="1" applyBorder="1" applyAlignment="1" applyProtection="1">
      <alignment horizontal="justify" vertical="center" wrapText="1"/>
      <protection locked="0"/>
    </xf>
    <xf numFmtId="0" fontId="21" fillId="0" borderId="9" xfId="2" applyFont="1" applyBorder="1" applyAlignment="1" applyProtection="1">
      <alignment horizontal="justify" vertical="center" wrapText="1"/>
      <protection locked="0"/>
    </xf>
    <xf numFmtId="0" fontId="21" fillId="0" borderId="33" xfId="2" applyFont="1" applyBorder="1" applyAlignment="1" applyProtection="1">
      <alignment horizontal="justify" vertical="center" wrapText="1"/>
      <protection locked="0"/>
    </xf>
    <xf numFmtId="0" fontId="21" fillId="0" borderId="34" xfId="2" applyFont="1" applyBorder="1" applyAlignment="1" applyProtection="1">
      <alignment horizontal="justify" vertical="center" wrapText="1"/>
      <protection locked="0"/>
    </xf>
    <xf numFmtId="0" fontId="23" fillId="0" borderId="3" xfId="2" applyFont="1" applyBorder="1" applyAlignment="1" applyProtection="1">
      <alignment horizontal="justify" vertical="center" wrapText="1"/>
      <protection locked="0"/>
    </xf>
    <xf numFmtId="0" fontId="23" fillId="0" borderId="18" xfId="2" applyFont="1" applyBorder="1" applyAlignment="1" applyProtection="1">
      <alignment horizontal="center" vertical="center" wrapText="1"/>
      <protection locked="0"/>
    </xf>
    <xf numFmtId="0" fontId="23" fillId="0" borderId="17" xfId="2" applyFont="1" applyBorder="1" applyAlignment="1" applyProtection="1">
      <alignment horizontal="justify" vertical="center" wrapText="1"/>
      <protection locked="0"/>
    </xf>
    <xf numFmtId="14" fontId="16" fillId="0" borderId="35" xfId="0" applyNumberFormat="1" applyFont="1" applyBorder="1" applyAlignment="1" applyProtection="1">
      <alignment horizontal="center" vertical="center" wrapText="1"/>
      <protection locked="0"/>
    </xf>
    <xf numFmtId="14" fontId="16" fillId="0" borderId="38" xfId="0" applyNumberFormat="1" applyFont="1" applyBorder="1" applyAlignment="1" applyProtection="1">
      <alignment horizontal="center" vertical="center" wrapText="1"/>
      <protection locked="0"/>
    </xf>
    <xf numFmtId="0" fontId="21" fillId="4" borderId="3" xfId="2" applyFont="1" applyFill="1" applyBorder="1" applyAlignment="1" applyProtection="1">
      <alignment horizontal="center" vertical="center" wrapText="1"/>
      <protection locked="0"/>
    </xf>
    <xf numFmtId="0" fontId="21" fillId="4" borderId="12" xfId="2" applyFont="1" applyFill="1" applyBorder="1" applyAlignment="1" applyProtection="1">
      <alignment horizontal="center" vertical="center" wrapText="1"/>
      <protection locked="0"/>
    </xf>
    <xf numFmtId="0" fontId="4" fillId="10" borderId="1" xfId="0" applyFont="1" applyFill="1" applyBorder="1" applyAlignment="1">
      <alignment horizontal="center" vertical="center" wrapText="1"/>
    </xf>
    <xf numFmtId="0" fontId="4" fillId="10" borderId="12" xfId="0" applyFont="1" applyFill="1" applyBorder="1" applyAlignment="1">
      <alignment horizontal="center" vertical="center" wrapText="1"/>
    </xf>
    <xf numFmtId="0" fontId="30" fillId="4" borderId="3" xfId="2" applyFont="1" applyFill="1" applyBorder="1" applyAlignment="1" applyProtection="1">
      <alignment horizontal="center" vertical="center" wrapText="1"/>
      <protection locked="0"/>
    </xf>
    <xf numFmtId="0" fontId="30" fillId="4" borderId="12" xfId="2" applyFont="1" applyFill="1" applyBorder="1" applyAlignment="1" applyProtection="1">
      <alignment horizontal="center" vertical="center" wrapText="1"/>
      <protection locked="0"/>
    </xf>
    <xf numFmtId="0" fontId="4" fillId="2" borderId="8"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4" fillId="10" borderId="37" xfId="0" applyFont="1" applyFill="1" applyBorder="1" applyAlignment="1">
      <alignment horizontal="center" vertical="center" wrapText="1"/>
    </xf>
    <xf numFmtId="0" fontId="23" fillId="0" borderId="16"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0" fontId="23" fillId="0" borderId="19" xfId="0" applyFont="1" applyBorder="1" applyAlignment="1" applyProtection="1">
      <alignment horizontal="center" vertical="center" wrapText="1"/>
      <protection locked="0"/>
    </xf>
    <xf numFmtId="0" fontId="23" fillId="11" borderId="1" xfId="0"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3" fillId="0" borderId="9" xfId="0" applyFont="1" applyBorder="1" applyAlignment="1" applyProtection="1">
      <alignment horizontal="center" vertical="center" wrapText="1"/>
      <protection locked="0"/>
    </xf>
    <xf numFmtId="14" fontId="23" fillId="0" borderId="47" xfId="0" applyNumberFormat="1" applyFont="1" applyBorder="1" applyAlignment="1" applyProtection="1">
      <alignment horizontal="center" vertical="center" wrapText="1"/>
      <protection locked="0"/>
    </xf>
    <xf numFmtId="14" fontId="23" fillId="0" borderId="19" xfId="0" applyNumberFormat="1" applyFont="1" applyBorder="1" applyAlignment="1" applyProtection="1">
      <alignment horizontal="center" vertical="center" wrapText="1"/>
      <protection locked="0"/>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23" fillId="11" borderId="16" xfId="0" applyFont="1" applyFill="1" applyBorder="1" applyAlignment="1" applyProtection="1">
      <alignment horizontal="center" vertical="center" wrapText="1"/>
      <protection locked="0"/>
    </xf>
    <xf numFmtId="0" fontId="23" fillId="11" borderId="10" xfId="0" applyFont="1" applyFill="1" applyBorder="1" applyAlignment="1" applyProtection="1">
      <alignment horizontal="center" vertical="center" wrapText="1"/>
      <protection locked="0"/>
    </xf>
    <xf numFmtId="0" fontId="23" fillId="11" borderId="19" xfId="0" applyFont="1" applyFill="1" applyBorder="1" applyAlignment="1" applyProtection="1">
      <alignment horizontal="center" vertical="center" wrapText="1"/>
      <protection locked="0"/>
    </xf>
    <xf numFmtId="14" fontId="23" fillId="11" borderId="3" xfId="0" applyNumberFormat="1" applyFont="1" applyFill="1" applyBorder="1" applyAlignment="1" applyProtection="1">
      <alignment horizontal="center" vertical="center" wrapText="1"/>
      <protection locked="0"/>
    </xf>
    <xf numFmtId="14" fontId="23" fillId="11" borderId="12" xfId="0" applyNumberFormat="1" applyFont="1" applyFill="1" applyBorder="1" applyAlignment="1" applyProtection="1">
      <alignment horizontal="center" vertical="center" wrapText="1"/>
      <protection locked="0"/>
    </xf>
    <xf numFmtId="0" fontId="4" fillId="2"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23" fillId="0" borderId="17" xfId="0" applyFont="1" applyBorder="1" applyAlignment="1" applyProtection="1">
      <alignment horizontal="center" vertical="center" wrapText="1"/>
      <protection locked="0"/>
    </xf>
    <xf numFmtId="0" fontId="23" fillId="0" borderId="51" xfId="0" applyFont="1" applyBorder="1" applyAlignment="1" applyProtection="1">
      <alignment horizontal="center" vertical="center" wrapText="1"/>
      <protection locked="0"/>
    </xf>
    <xf numFmtId="0" fontId="21" fillId="0" borderId="60" xfId="2" applyFont="1" applyBorder="1" applyAlignment="1" applyProtection="1">
      <alignment horizontal="justify" vertical="center" wrapText="1"/>
      <protection locked="0"/>
    </xf>
    <xf numFmtId="0" fontId="21" fillId="0" borderId="46" xfId="2" applyFont="1" applyBorder="1" applyAlignment="1" applyProtection="1">
      <alignment horizontal="justify" vertical="center" wrapText="1"/>
      <protection locked="0"/>
    </xf>
    <xf numFmtId="0" fontId="18" fillId="11" borderId="1" xfId="2" applyFont="1" applyFill="1" applyBorder="1" applyAlignment="1" applyProtection="1">
      <alignment horizontal="center" vertical="center" wrapText="1" readingOrder="1"/>
      <protection locked="0"/>
    </xf>
    <xf numFmtId="0" fontId="0" fillId="11" borderId="1" xfId="2" applyFont="1" applyFill="1" applyBorder="1" applyAlignment="1" applyProtection="1">
      <alignment horizontal="justify" vertical="center" wrapText="1" readingOrder="1"/>
      <protection locked="0"/>
    </xf>
    <xf numFmtId="0" fontId="2" fillId="11" borderId="1" xfId="2" applyFill="1" applyBorder="1" applyAlignment="1" applyProtection="1">
      <alignment horizontal="justify" vertical="center" wrapText="1" readingOrder="1"/>
      <protection locked="0"/>
    </xf>
    <xf numFmtId="0" fontId="21" fillId="0" borderId="1" xfId="2" applyFont="1" applyBorder="1" applyAlignment="1" applyProtection="1">
      <alignment horizontal="justify" vertical="justify" wrapText="1"/>
      <protection locked="0"/>
    </xf>
    <xf numFmtId="0" fontId="23" fillId="0" borderId="1" xfId="2" applyFont="1" applyBorder="1" applyAlignment="1" applyProtection="1">
      <alignment horizontal="center" vertical="center" wrapText="1"/>
      <protection locked="0"/>
    </xf>
    <xf numFmtId="0" fontId="23" fillId="11" borderId="17" xfId="2" applyFont="1" applyFill="1" applyBorder="1" applyAlignment="1" applyProtection="1">
      <alignment horizontal="center" vertical="center" wrapText="1"/>
      <protection locked="0"/>
    </xf>
    <xf numFmtId="0" fontId="21" fillId="11" borderId="9" xfId="2" applyFont="1" applyFill="1" applyBorder="1" applyAlignment="1" applyProtection="1">
      <alignment horizontal="center" vertical="center" wrapText="1"/>
      <protection locked="0"/>
    </xf>
    <xf numFmtId="0" fontId="31" fillId="11" borderId="17" xfId="2" applyFont="1" applyFill="1" applyBorder="1" applyAlignment="1" applyProtection="1">
      <alignment horizontal="center" vertical="center" wrapText="1"/>
      <protection locked="0"/>
    </xf>
    <xf numFmtId="0" fontId="23" fillId="11" borderId="3" xfId="2" applyFont="1" applyFill="1" applyBorder="1" applyAlignment="1" applyProtection="1">
      <alignment horizontal="center" vertical="center" wrapText="1"/>
      <protection locked="0"/>
    </xf>
    <xf numFmtId="0" fontId="23" fillId="11" borderId="1" xfId="2" applyFont="1" applyFill="1" applyBorder="1" applyAlignment="1" applyProtection="1">
      <alignment horizontal="center" vertical="center" wrapText="1"/>
      <protection locked="0"/>
    </xf>
    <xf numFmtId="0" fontId="23" fillId="11" borderId="12" xfId="2" applyFont="1" applyFill="1" applyBorder="1" applyAlignment="1" applyProtection="1">
      <alignment horizontal="center" vertical="center" wrapText="1"/>
      <protection locked="0"/>
    </xf>
    <xf numFmtId="2" fontId="18" fillId="0" borderId="37" xfId="1" applyNumberFormat="1" applyFont="1" applyFill="1" applyBorder="1" applyAlignment="1" applyProtection="1">
      <alignment horizontal="center" vertical="center" wrapText="1"/>
      <protection locked="0"/>
    </xf>
    <xf numFmtId="0" fontId="16" fillId="11" borderId="1" xfId="2" applyFont="1" applyFill="1" applyBorder="1" applyAlignment="1" applyProtection="1">
      <alignment horizontal="center" vertical="center" wrapText="1"/>
      <protection locked="0"/>
    </xf>
    <xf numFmtId="0" fontId="18" fillId="0" borderId="37" xfId="0" applyFont="1" applyBorder="1" applyAlignment="1">
      <alignment horizontal="center" vertical="center" wrapText="1"/>
    </xf>
    <xf numFmtId="0" fontId="23" fillId="0" borderId="1" xfId="2" applyFont="1" applyBorder="1" applyAlignment="1" applyProtection="1">
      <alignment horizontal="justify" vertical="center" wrapText="1"/>
      <protection locked="0"/>
    </xf>
    <xf numFmtId="0" fontId="35" fillId="12" borderId="2" xfId="2" applyFont="1" applyFill="1" applyBorder="1" applyAlignment="1" applyProtection="1">
      <alignment horizontal="center" vertical="center" wrapText="1"/>
      <protection locked="0"/>
    </xf>
    <xf numFmtId="0" fontId="35" fillId="12" borderId="11" xfId="2" applyFont="1" applyFill="1" applyBorder="1" applyAlignment="1" applyProtection="1">
      <alignment horizontal="center" vertical="center" wrapText="1"/>
      <protection locked="0"/>
    </xf>
    <xf numFmtId="0" fontId="18" fillId="0" borderId="2" xfId="2" applyFont="1" applyBorder="1" applyAlignment="1" applyProtection="1">
      <alignment horizontal="center" vertical="center" wrapText="1"/>
      <protection locked="0"/>
    </xf>
    <xf numFmtId="0" fontId="18" fillId="0" borderId="8" xfId="2"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1" fillId="11" borderId="28" xfId="5" applyFont="1" applyFill="1" applyBorder="1" applyAlignment="1">
      <alignment horizontal="center" vertical="center" wrapText="1" readingOrder="1"/>
    </xf>
    <xf numFmtId="0" fontId="21" fillId="11" borderId="64" xfId="5" applyFont="1" applyFill="1" applyBorder="1" applyAlignment="1">
      <alignment horizontal="center" vertical="center" wrapText="1" readingOrder="1"/>
    </xf>
    <xf numFmtId="0" fontId="23" fillId="0" borderId="42" xfId="2" applyFont="1" applyBorder="1" applyAlignment="1" applyProtection="1">
      <alignment horizontal="justify" vertical="top" wrapText="1"/>
      <protection locked="0"/>
    </xf>
    <xf numFmtId="0" fontId="23" fillId="0" borderId="43" xfId="2" applyFont="1" applyBorder="1" applyAlignment="1" applyProtection="1">
      <alignment horizontal="justify" vertical="top" wrapText="1"/>
      <protection locked="0"/>
    </xf>
    <xf numFmtId="0" fontId="21" fillId="0" borderId="64" xfId="0" applyFont="1" applyBorder="1" applyAlignment="1">
      <alignment horizontal="center" vertical="center" wrapText="1"/>
    </xf>
    <xf numFmtId="0" fontId="18" fillId="0" borderId="11" xfId="2" applyFont="1" applyBorder="1" applyAlignment="1" applyProtection="1">
      <alignment horizontal="center" vertical="center" wrapText="1"/>
      <protection locked="0"/>
    </xf>
    <xf numFmtId="0" fontId="35" fillId="12" borderId="8" xfId="2" applyFont="1" applyFill="1" applyBorder="1" applyAlignment="1" applyProtection="1">
      <alignment horizontal="center" vertical="center" wrapText="1"/>
      <protection locked="0"/>
    </xf>
    <xf numFmtId="0" fontId="23" fillId="0" borderId="42" xfId="0" applyFont="1" applyBorder="1" applyAlignment="1">
      <alignment horizontal="center" vertical="center" wrapText="1"/>
    </xf>
    <xf numFmtId="0" fontId="21" fillId="0" borderId="17" xfId="0" applyFont="1" applyBorder="1" applyAlignment="1" applyProtection="1">
      <alignment horizontal="center" vertical="center" wrapText="1"/>
      <protection locked="0"/>
    </xf>
    <xf numFmtId="0" fontId="21" fillId="0" borderId="9" xfId="0" applyFont="1" applyBorder="1" applyAlignment="1" applyProtection="1">
      <alignment horizontal="center" vertical="center" wrapText="1"/>
      <protection locked="0"/>
    </xf>
    <xf numFmtId="14" fontId="21" fillId="0" borderId="17" xfId="0" applyNumberFormat="1" applyFont="1" applyBorder="1" applyAlignment="1" applyProtection="1">
      <alignment horizontal="center" vertical="center" wrapText="1"/>
      <protection locked="0"/>
    </xf>
    <xf numFmtId="14" fontId="21" fillId="0" borderId="9" xfId="0" applyNumberFormat="1"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21" fillId="11" borderId="17" xfId="0" applyFont="1" applyFill="1" applyBorder="1" applyAlignment="1" applyProtection="1">
      <alignment horizontal="center" vertical="center" wrapText="1"/>
      <protection locked="0"/>
    </xf>
    <xf numFmtId="0" fontId="21" fillId="11" borderId="9" xfId="0" applyFont="1" applyFill="1" applyBorder="1" applyAlignment="1" applyProtection="1">
      <alignment horizontal="center" vertical="center" wrapText="1"/>
      <protection locked="0"/>
    </xf>
    <xf numFmtId="14" fontId="21" fillId="11" borderId="17" xfId="0" applyNumberFormat="1" applyFont="1" applyFill="1" applyBorder="1" applyAlignment="1" applyProtection="1">
      <alignment horizontal="center" vertical="center" wrapText="1"/>
      <protection locked="0"/>
    </xf>
    <xf numFmtId="14" fontId="21" fillId="11" borderId="9" xfId="0" applyNumberFormat="1" applyFont="1" applyFill="1" applyBorder="1" applyAlignment="1" applyProtection="1">
      <alignment horizontal="center" vertical="center" wrapText="1"/>
      <protection locked="0"/>
    </xf>
    <xf numFmtId="14" fontId="23" fillId="0" borderId="35" xfId="0" applyNumberFormat="1" applyFont="1" applyBorder="1" applyAlignment="1" applyProtection="1">
      <alignment horizontal="center" vertical="center" wrapText="1"/>
      <protection locked="0"/>
    </xf>
    <xf numFmtId="14" fontId="23" fillId="0" borderId="36" xfId="0" applyNumberFormat="1" applyFont="1" applyBorder="1" applyAlignment="1" applyProtection="1">
      <alignment horizontal="center" vertical="center" wrapText="1"/>
      <protection locked="0"/>
    </xf>
    <xf numFmtId="14" fontId="23" fillId="0" borderId="38" xfId="0" applyNumberFormat="1" applyFont="1" applyBorder="1" applyAlignment="1" applyProtection="1">
      <alignment horizontal="center" vertical="center" wrapText="1"/>
      <protection locked="0"/>
    </xf>
    <xf numFmtId="0" fontId="23" fillId="11" borderId="3" xfId="2" applyFont="1" applyFill="1" applyBorder="1" applyAlignment="1" applyProtection="1">
      <alignment horizontal="justify" vertical="center" wrapText="1"/>
      <protection locked="0"/>
    </xf>
    <xf numFmtId="0" fontId="23" fillId="4" borderId="9" xfId="2" applyFont="1" applyFill="1" applyBorder="1" applyAlignment="1" applyProtection="1">
      <alignment horizontal="center" vertical="center" wrapText="1"/>
      <protection locked="0"/>
    </xf>
    <xf numFmtId="0" fontId="23" fillId="4" borderId="12" xfId="2" applyFont="1" applyFill="1" applyBorder="1" applyAlignment="1" applyProtection="1">
      <alignment horizontal="center" vertical="center" wrapText="1"/>
      <protection locked="0"/>
    </xf>
    <xf numFmtId="0" fontId="23" fillId="0" borderId="9" xfId="2" applyFont="1" applyBorder="1" applyAlignment="1" applyProtection="1">
      <alignment horizontal="center" vertical="center" wrapText="1"/>
      <protection locked="0"/>
    </xf>
    <xf numFmtId="14" fontId="23" fillId="0" borderId="16" xfId="0" applyNumberFormat="1" applyFont="1" applyBorder="1" applyAlignment="1" applyProtection="1">
      <alignment horizontal="center" vertical="center" wrapText="1"/>
      <protection locked="0"/>
    </xf>
    <xf numFmtId="2" fontId="18" fillId="0" borderId="18" xfId="1" applyNumberFormat="1" applyFont="1" applyFill="1" applyBorder="1" applyAlignment="1" applyProtection="1">
      <alignment horizontal="center" vertical="center" wrapText="1"/>
    </xf>
    <xf numFmtId="2" fontId="18" fillId="0" borderId="18" xfId="1" applyNumberFormat="1" applyFont="1" applyFill="1" applyBorder="1" applyAlignment="1" applyProtection="1">
      <alignment horizontal="center" vertical="center" wrapText="1"/>
      <protection locked="0"/>
    </xf>
    <xf numFmtId="0" fontId="22" fillId="4" borderId="18" xfId="2" applyFont="1" applyFill="1" applyBorder="1" applyAlignment="1" applyProtection="1">
      <alignment horizontal="center" vertical="center" wrapText="1"/>
      <protection locked="0"/>
    </xf>
    <xf numFmtId="0" fontId="22" fillId="4" borderId="9" xfId="2" applyFont="1" applyFill="1" applyBorder="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21" fillId="0" borderId="56" xfId="2" applyFont="1" applyBorder="1" applyAlignment="1" applyProtection="1">
      <alignment horizontal="center" vertical="center" wrapText="1"/>
      <protection locked="0"/>
    </xf>
    <xf numFmtId="0" fontId="21" fillId="0" borderId="55" xfId="2" applyFont="1" applyBorder="1" applyAlignment="1" applyProtection="1">
      <alignment horizontal="center" vertical="center" wrapText="1"/>
      <protection locked="0"/>
    </xf>
    <xf numFmtId="0" fontId="21" fillId="0" borderId="54" xfId="2" applyFont="1" applyBorder="1" applyAlignment="1" applyProtection="1">
      <alignment horizontal="center" vertical="center" wrapText="1"/>
      <protection locked="0"/>
    </xf>
    <xf numFmtId="0" fontId="21" fillId="0" borderId="45" xfId="2" applyFont="1" applyBorder="1" applyAlignment="1" applyProtection="1">
      <alignment horizontal="center" vertical="center" wrapText="1"/>
      <protection locked="0"/>
    </xf>
    <xf numFmtId="0" fontId="21" fillId="0" borderId="57" xfId="2" applyFont="1" applyBorder="1" applyAlignment="1" applyProtection="1">
      <alignment horizontal="center" vertical="center" wrapText="1"/>
      <protection locked="0"/>
    </xf>
    <xf numFmtId="0" fontId="21" fillId="0" borderId="62" xfId="2" applyFont="1" applyBorder="1" applyAlignment="1" applyProtection="1">
      <alignment horizontal="center" vertical="center" wrapText="1"/>
      <protection locked="0"/>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39"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7" xfId="2" applyFont="1" applyBorder="1" applyAlignment="1">
      <alignment horizontal="center" vertical="center" wrapText="1"/>
    </xf>
    <xf numFmtId="0" fontId="18" fillId="11" borderId="17" xfId="5" applyFont="1" applyFill="1" applyBorder="1" applyAlignment="1" applyProtection="1">
      <alignment horizontal="center" vertical="center" wrapText="1" readingOrder="1"/>
      <protection locked="0"/>
    </xf>
    <xf numFmtId="0" fontId="18" fillId="11" borderId="37" xfId="5" applyFont="1" applyFill="1" applyBorder="1" applyAlignment="1" applyProtection="1">
      <alignment horizontal="center" vertical="center" wrapText="1" readingOrder="1"/>
      <protection locked="0"/>
    </xf>
    <xf numFmtId="0" fontId="11" fillId="11" borderId="1" xfId="5" applyFont="1" applyFill="1" applyBorder="1" applyAlignment="1">
      <alignment horizontal="center" vertical="center" wrapText="1"/>
    </xf>
    <xf numFmtId="0" fontId="21" fillId="11" borderId="1" xfId="2" applyFont="1" applyFill="1" applyBorder="1" applyAlignment="1" applyProtection="1">
      <alignment horizontal="justify" vertical="justify" wrapText="1"/>
      <protection locked="0"/>
    </xf>
    <xf numFmtId="0" fontId="21" fillId="11" borderId="1" xfId="2" applyFont="1" applyFill="1" applyBorder="1" applyAlignment="1" applyProtection="1">
      <alignment horizontal="justify" vertical="justify"/>
      <protection locked="0"/>
    </xf>
    <xf numFmtId="0" fontId="21" fillId="11" borderId="56" xfId="2" applyFont="1" applyFill="1" applyBorder="1" applyAlignment="1" applyProtection="1">
      <alignment horizontal="justify" vertical="center" wrapText="1"/>
      <protection locked="0"/>
    </xf>
    <xf numFmtId="0" fontId="21" fillId="11" borderId="55" xfId="2" applyFont="1" applyFill="1" applyBorder="1" applyAlignment="1" applyProtection="1">
      <alignment horizontal="justify" vertical="center" wrapText="1"/>
      <protection locked="0"/>
    </xf>
    <xf numFmtId="0" fontId="34" fillId="0" borderId="1" xfId="0" applyFont="1" applyBorder="1" applyAlignment="1">
      <alignment horizontal="center" vertical="center" wrapText="1"/>
    </xf>
    <xf numFmtId="0" fontId="21" fillId="11" borderId="1" xfId="2" applyFont="1" applyFill="1" applyBorder="1" applyAlignment="1" applyProtection="1">
      <alignment horizontal="justify" vertical="top" wrapText="1"/>
      <protection locked="0"/>
    </xf>
    <xf numFmtId="0" fontId="34" fillId="0" borderId="17"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7"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28" xfId="0" applyFont="1" applyBorder="1" applyAlignment="1">
      <alignment horizontal="center" vertical="center" wrapText="1"/>
    </xf>
    <xf numFmtId="0" fontId="4" fillId="10" borderId="1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21" fillId="0" borderId="3" xfId="2" applyFont="1" applyBorder="1" applyAlignment="1" applyProtection="1">
      <alignment horizontal="left" vertical="center" wrapText="1"/>
      <protection locked="0"/>
    </xf>
    <xf numFmtId="14" fontId="23" fillId="0" borderId="3" xfId="0" applyNumberFormat="1" applyFont="1" applyBorder="1" applyAlignment="1" applyProtection="1">
      <alignment horizontal="center" vertical="center" wrapText="1"/>
      <protection locked="0"/>
    </xf>
    <xf numFmtId="14" fontId="23" fillId="0" borderId="12" xfId="0" applyNumberFormat="1" applyFont="1" applyBorder="1" applyAlignment="1" applyProtection="1">
      <alignment horizontal="center" vertical="center" wrapText="1"/>
      <protection locked="0"/>
    </xf>
    <xf numFmtId="0" fontId="21" fillId="0" borderId="12" xfId="2" applyFont="1" applyBorder="1" applyAlignment="1" applyProtection="1">
      <alignment horizontal="left" vertical="center" wrapText="1"/>
      <protection locked="0"/>
    </xf>
    <xf numFmtId="0" fontId="21" fillId="0" borderId="12" xfId="0" applyFont="1" applyBorder="1" applyAlignment="1">
      <alignment horizontal="left" vertical="center" wrapText="1"/>
    </xf>
    <xf numFmtId="0" fontId="21" fillId="0" borderId="3" xfId="0" applyFont="1" applyBorder="1" applyAlignment="1">
      <alignment horizontal="left" vertical="center" wrapText="1"/>
    </xf>
    <xf numFmtId="0" fontId="21" fillId="11" borderId="12" xfId="2" applyFont="1" applyFill="1" applyBorder="1" applyAlignment="1" applyProtection="1">
      <alignment horizontal="left" vertical="center" wrapText="1"/>
      <protection locked="0"/>
    </xf>
    <xf numFmtId="0" fontId="21" fillId="11" borderId="3" xfId="2" applyFont="1" applyFill="1" applyBorder="1" applyAlignment="1" applyProtection="1">
      <alignment horizontal="left" vertical="center" wrapText="1"/>
      <protection locked="0"/>
    </xf>
    <xf numFmtId="0" fontId="21" fillId="0" borderId="42" xfId="2" applyFont="1" applyBorder="1" applyAlignment="1" applyProtection="1">
      <alignment horizontal="justify" vertical="top" wrapText="1"/>
      <protection locked="0"/>
    </xf>
    <xf numFmtId="0" fontId="21" fillId="0" borderId="43" xfId="2" applyFont="1" applyBorder="1" applyAlignment="1" applyProtection="1">
      <alignment horizontal="justify" vertical="top" wrapText="1"/>
      <protection locked="0"/>
    </xf>
    <xf numFmtId="0" fontId="21" fillId="0" borderId="18" xfId="0" applyFont="1" applyBorder="1" applyAlignment="1" applyProtection="1">
      <alignment horizontal="center" vertical="center" wrapText="1"/>
      <protection locked="0"/>
    </xf>
    <xf numFmtId="14" fontId="21" fillId="0" borderId="18" xfId="0" applyNumberFormat="1" applyFont="1" applyBorder="1" applyAlignment="1" applyProtection="1">
      <alignment horizontal="center" vertical="center" wrapText="1"/>
      <protection locked="0"/>
    </xf>
    <xf numFmtId="0" fontId="11" fillId="0" borderId="1" xfId="2" applyFont="1" applyBorder="1" applyAlignment="1" applyProtection="1">
      <alignment horizontal="justify" vertical="center" wrapText="1"/>
      <protection locked="0"/>
    </xf>
    <xf numFmtId="0" fontId="29" fillId="0" borderId="1" xfId="2" applyFont="1" applyBorder="1" applyAlignment="1" applyProtection="1">
      <alignment horizontal="justify" vertical="center" wrapText="1"/>
      <protection locked="0"/>
    </xf>
    <xf numFmtId="0" fontId="21" fillId="0" borderId="1" xfId="0" applyFont="1" applyBorder="1" applyAlignment="1" applyProtection="1">
      <alignment horizontal="center" vertical="center" wrapText="1"/>
      <protection locked="0"/>
    </xf>
    <xf numFmtId="0" fontId="38" fillId="0" borderId="40" xfId="2" applyFont="1" applyBorder="1" applyAlignment="1" applyProtection="1">
      <alignment horizontal="center" vertical="center" wrapText="1"/>
      <protection locked="0"/>
    </xf>
    <xf numFmtId="0" fontId="38" fillId="0" borderId="61" xfId="2"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38" fillId="0" borderId="41" xfId="2"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22" fillId="0" borderId="1" xfId="2" applyFont="1" applyBorder="1" applyAlignment="1" applyProtection="1">
      <alignment horizontal="center" vertical="center" wrapText="1"/>
      <protection locked="0"/>
    </xf>
    <xf numFmtId="0" fontId="22" fillId="13" borderId="17" xfId="2" applyFont="1" applyFill="1" applyBorder="1" applyAlignment="1" applyProtection="1">
      <alignment horizontal="center" vertical="center" wrapText="1"/>
      <protection locked="0"/>
    </xf>
    <xf numFmtId="0" fontId="22" fillId="13" borderId="9" xfId="2" applyFont="1" applyFill="1" applyBorder="1" applyAlignment="1" applyProtection="1">
      <alignment horizontal="center" vertical="center" wrapText="1"/>
      <protection locked="0"/>
    </xf>
    <xf numFmtId="0" fontId="22" fillId="11" borderId="17" xfId="2" applyFont="1" applyFill="1" applyBorder="1" applyAlignment="1" applyProtection="1">
      <alignment horizontal="center" vertical="center" wrapText="1"/>
      <protection locked="0"/>
    </xf>
    <xf numFmtId="0" fontId="22" fillId="11" borderId="9" xfId="2" applyFont="1" applyFill="1" applyBorder="1" applyAlignment="1" applyProtection="1">
      <alignment horizontal="center" vertical="center" wrapText="1"/>
      <protection locked="0"/>
    </xf>
    <xf numFmtId="0" fontId="21" fillId="0" borderId="1" xfId="2" applyFont="1" applyBorder="1" applyAlignment="1" applyProtection="1">
      <alignment horizontal="left" vertical="center" wrapText="1"/>
      <protection locked="0"/>
    </xf>
    <xf numFmtId="14" fontId="16" fillId="0" borderId="3" xfId="0" applyNumberFormat="1" applyFont="1" applyBorder="1" applyAlignment="1" applyProtection="1">
      <alignment horizontal="center" vertical="center" wrapText="1"/>
      <protection locked="0"/>
    </xf>
    <xf numFmtId="14" fontId="16" fillId="0" borderId="1" xfId="0" applyNumberFormat="1" applyFont="1" applyBorder="1" applyAlignment="1" applyProtection="1">
      <alignment horizontal="center" vertical="center" wrapText="1"/>
      <protection locked="0"/>
    </xf>
    <xf numFmtId="0" fontId="21" fillId="3" borderId="3" xfId="2" applyFont="1" applyFill="1" applyBorder="1" applyAlignment="1" applyProtection="1">
      <alignment horizontal="center" vertical="center" wrapText="1"/>
      <protection locked="0"/>
    </xf>
    <xf numFmtId="0" fontId="21" fillId="3" borderId="1" xfId="2" applyFont="1" applyFill="1" applyBorder="1" applyAlignment="1" applyProtection="1">
      <alignment horizontal="center" vertical="center" wrapText="1"/>
      <protection locked="0"/>
    </xf>
    <xf numFmtId="0" fontId="35" fillId="0" borderId="2" xfId="2" applyFont="1" applyBorder="1" applyAlignment="1" applyProtection="1">
      <alignment horizontal="center" vertical="center" wrapText="1"/>
      <protection locked="0"/>
    </xf>
    <xf numFmtId="0" fontId="35" fillId="0" borderId="8" xfId="2" applyFont="1" applyBorder="1" applyAlignment="1" applyProtection="1">
      <alignment horizontal="center" vertical="center" wrapText="1"/>
      <protection locked="0"/>
    </xf>
    <xf numFmtId="0" fontId="21" fillId="4" borderId="1" xfId="2" applyFont="1" applyFill="1" applyBorder="1" applyAlignment="1" applyProtection="1">
      <alignment horizontal="center" vertical="center" wrapText="1"/>
      <protection locked="0"/>
    </xf>
    <xf numFmtId="0" fontId="18" fillId="0" borderId="39" xfId="2" applyFont="1" applyBorder="1" applyAlignment="1">
      <alignment horizontal="center" vertical="center" wrapText="1"/>
    </xf>
    <xf numFmtId="0" fontId="18" fillId="0" borderId="40" xfId="2" applyFont="1" applyBorder="1" applyAlignment="1" applyProtection="1">
      <alignment horizontal="center" vertical="center" wrapText="1"/>
      <protection locked="0"/>
    </xf>
    <xf numFmtId="0" fontId="18" fillId="0" borderId="41" xfId="2" applyFont="1" applyBorder="1" applyAlignment="1" applyProtection="1">
      <alignment horizontal="center" vertical="center" wrapText="1"/>
      <protection locked="0"/>
    </xf>
    <xf numFmtId="0" fontId="22" fillId="4" borderId="39" xfId="2" applyFont="1" applyFill="1" applyBorder="1" applyAlignment="1" applyProtection="1">
      <alignment horizontal="center" vertical="center" wrapText="1"/>
      <protection locked="0"/>
    </xf>
    <xf numFmtId="0" fontId="22" fillId="4" borderId="37" xfId="2" applyFont="1" applyFill="1" applyBorder="1" applyAlignment="1" applyProtection="1">
      <alignment horizontal="center" vertical="center" wrapText="1"/>
      <protection locked="0"/>
    </xf>
    <xf numFmtId="0" fontId="18" fillId="0" borderId="18" xfId="2" applyFont="1" applyBorder="1" applyAlignment="1">
      <alignment horizontal="center" vertical="center" wrapText="1"/>
    </xf>
    <xf numFmtId="0" fontId="22" fillId="0" borderId="17" xfId="2" applyFont="1" applyBorder="1" applyAlignment="1" applyProtection="1">
      <alignment horizontal="center" vertical="center" wrapText="1"/>
      <protection locked="0"/>
    </xf>
    <xf numFmtId="0" fontId="22" fillId="0" borderId="37" xfId="2" applyFont="1" applyBorder="1" applyAlignment="1" applyProtection="1">
      <alignment horizontal="center" vertical="center" wrapText="1"/>
      <protection locked="0"/>
    </xf>
    <xf numFmtId="0" fontId="21" fillId="0" borderId="42" xfId="2" applyFont="1" applyBorder="1" applyAlignment="1" applyProtection="1">
      <alignment horizontal="center" vertical="center" wrapText="1"/>
      <protection locked="0"/>
    </xf>
    <xf numFmtId="0" fontId="21" fillId="0" borderId="43" xfId="2" applyFont="1" applyBorder="1" applyAlignment="1" applyProtection="1">
      <alignment horizontal="center" vertical="center" wrapText="1"/>
      <protection locked="0"/>
    </xf>
    <xf numFmtId="0" fontId="11" fillId="0" borderId="17" xfId="0" applyFont="1" applyBorder="1" applyAlignment="1">
      <alignment horizontal="center" vertical="center" wrapText="1"/>
    </xf>
    <xf numFmtId="0" fontId="11" fillId="0" borderId="3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18" xfId="0" applyFont="1" applyBorder="1" applyAlignment="1">
      <alignment horizontal="center" vertical="center" wrapText="1"/>
    </xf>
    <xf numFmtId="0" fontId="30" fillId="0" borderId="28" xfId="0" applyFont="1" applyBorder="1" applyAlignment="1">
      <alignment horizontal="center" vertical="center" wrapText="1"/>
    </xf>
    <xf numFmtId="0" fontId="18" fillId="11" borderId="39" xfId="2" applyFont="1" applyFill="1" applyBorder="1" applyAlignment="1" applyProtection="1">
      <alignment horizontal="center" vertical="center" wrapText="1"/>
      <protection locked="0"/>
    </xf>
    <xf numFmtId="0" fontId="18" fillId="11" borderId="37" xfId="2" applyFont="1" applyFill="1" applyBorder="1" applyAlignment="1" applyProtection="1">
      <alignment horizontal="center" vertical="center" wrapText="1"/>
      <protection locked="0"/>
    </xf>
    <xf numFmtId="0" fontId="11" fillId="0" borderId="28" xfId="0" applyFont="1" applyBorder="1" applyAlignment="1">
      <alignment horizontal="center" vertical="center" wrapText="1"/>
    </xf>
    <xf numFmtId="0" fontId="7"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7" fillId="5" borderId="1"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17" xfId="0" applyFont="1" applyBorder="1" applyAlignment="1">
      <alignment horizontal="left" vertical="center" wrapText="1"/>
    </xf>
    <xf numFmtId="0" fontId="15" fillId="2" borderId="5"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0" borderId="3" xfId="0" applyFont="1" applyBorder="1" applyAlignment="1">
      <alignment horizontal="left" vertical="center" wrapText="1"/>
    </xf>
    <xf numFmtId="0" fontId="16" fillId="0" borderId="23" xfId="0" applyFont="1" applyBorder="1" applyAlignment="1">
      <alignment horizontal="center" vertical="center" wrapText="1"/>
    </xf>
    <xf numFmtId="0" fontId="14"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4" xfId="0" applyFont="1" applyBorder="1" applyAlignment="1">
      <alignment horizontal="center" vertical="center" wrapText="1"/>
    </xf>
    <xf numFmtId="0" fontId="7" fillId="5" borderId="26"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3" fillId="5" borderId="28" xfId="0" applyFont="1" applyFill="1" applyBorder="1" applyAlignment="1">
      <alignment horizontal="center" vertical="center" wrapText="1"/>
    </xf>
    <xf numFmtId="0" fontId="18" fillId="0" borderId="17" xfId="2" applyFont="1" applyFill="1" applyBorder="1" applyAlignment="1" applyProtection="1">
      <alignment horizontal="center" vertical="center" wrapText="1"/>
      <protection locked="0"/>
    </xf>
    <xf numFmtId="0" fontId="21" fillId="0" borderId="17" xfId="2" applyFont="1" applyFill="1" applyBorder="1" applyAlignment="1" applyProtection="1">
      <alignment horizontal="center" vertical="center" wrapText="1"/>
      <protection locked="0"/>
    </xf>
    <xf numFmtId="0" fontId="18" fillId="0" borderId="1" xfId="2" applyFont="1" applyFill="1" applyBorder="1" applyAlignment="1" applyProtection="1">
      <alignment vertical="center" wrapText="1"/>
      <protection locked="0"/>
    </xf>
    <xf numFmtId="0" fontId="18" fillId="0" borderId="1" xfId="2" applyFont="1" applyFill="1" applyBorder="1" applyAlignment="1" applyProtection="1">
      <alignment horizontal="center" vertical="center" wrapText="1"/>
    </xf>
    <xf numFmtId="0" fontId="18" fillId="0" borderId="17" xfId="0" applyFont="1" applyFill="1" applyBorder="1" applyAlignment="1" applyProtection="1">
      <alignment horizontal="center" vertical="center" wrapText="1"/>
      <protection locked="0"/>
    </xf>
    <xf numFmtId="0" fontId="21" fillId="0" borderId="1" xfId="2" applyFont="1" applyFill="1" applyBorder="1" applyAlignment="1" applyProtection="1">
      <alignment horizontal="justify" vertical="justify" wrapText="1"/>
      <protection locked="0"/>
    </xf>
    <xf numFmtId="0" fontId="18" fillId="0" borderId="17"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wrapText="1"/>
      <protection locked="0"/>
    </xf>
    <xf numFmtId="14" fontId="21" fillId="0" borderId="17" xfId="0" applyNumberFormat="1" applyFont="1" applyFill="1" applyBorder="1" applyAlignment="1" applyProtection="1">
      <alignment horizontal="center" vertical="center" wrapText="1"/>
      <protection locked="0"/>
    </xf>
    <xf numFmtId="0" fontId="18" fillId="0" borderId="9" xfId="2" applyFont="1" applyFill="1" applyBorder="1" applyAlignment="1" applyProtection="1">
      <alignment horizontal="center" vertical="center" wrapText="1"/>
      <protection locked="0"/>
    </xf>
    <xf numFmtId="0" fontId="21" fillId="0" borderId="9" xfId="2"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protection locked="0"/>
    </xf>
    <xf numFmtId="14" fontId="21" fillId="0" borderId="9" xfId="0" applyNumberFormat="1" applyFont="1" applyFill="1" applyBorder="1" applyAlignment="1" applyProtection="1">
      <alignment horizontal="center" vertical="center" wrapText="1"/>
      <protection locked="0"/>
    </xf>
    <xf numFmtId="0" fontId="21" fillId="0" borderId="56" xfId="2" applyFont="1" applyFill="1" applyBorder="1" applyAlignment="1" applyProtection="1">
      <alignment horizontal="justify" vertical="center" wrapText="1"/>
      <protection locked="0"/>
    </xf>
    <xf numFmtId="0" fontId="21" fillId="0" borderId="55" xfId="2" applyFont="1" applyFill="1" applyBorder="1" applyAlignment="1" applyProtection="1">
      <alignment horizontal="justify" vertical="center" wrapText="1"/>
      <protection locked="0"/>
    </xf>
    <xf numFmtId="0" fontId="18" fillId="11" borderId="1" xfId="2" applyFont="1" applyFill="1" applyBorder="1" applyAlignment="1" applyProtection="1">
      <alignment horizontal="center" vertical="center" wrapText="1"/>
    </xf>
    <xf numFmtId="0" fontId="18" fillId="13" borderId="1" xfId="2" applyFont="1" applyFill="1" applyBorder="1" applyAlignment="1" applyProtection="1">
      <alignment horizontal="center" vertical="center" wrapText="1"/>
    </xf>
    <xf numFmtId="0" fontId="18" fillId="0" borderId="1" xfId="2" applyFont="1" applyFill="1" applyBorder="1" applyAlignment="1" applyProtection="1">
      <alignment horizontal="center" vertical="center" wrapText="1"/>
      <protection locked="0"/>
    </xf>
    <xf numFmtId="0" fontId="21" fillId="0" borderId="1" xfId="2" applyFont="1" applyFill="1" applyBorder="1" applyAlignment="1" applyProtection="1">
      <alignment horizontal="center" vertical="center" wrapText="1"/>
      <protection locked="0"/>
    </xf>
    <xf numFmtId="0" fontId="41" fillId="0" borderId="17" xfId="2" applyFont="1" applyFill="1" applyBorder="1" applyAlignment="1" applyProtection="1">
      <alignment horizontal="center" vertical="center" wrapText="1"/>
      <protection locked="0"/>
    </xf>
    <xf numFmtId="0" fontId="42" fillId="0" borderId="17"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protection locked="0"/>
    </xf>
    <xf numFmtId="14" fontId="21" fillId="0" borderId="1" xfId="0" applyNumberFormat="1" applyFont="1" applyFill="1" applyBorder="1" applyAlignment="1" applyProtection="1">
      <alignment horizontal="center" vertical="center" wrapText="1"/>
      <protection locked="0"/>
    </xf>
    <xf numFmtId="0" fontId="21" fillId="0" borderId="18" xfId="2" applyFont="1" applyFill="1" applyBorder="1" applyAlignment="1" applyProtection="1">
      <alignment horizontal="center" vertical="center" wrapText="1"/>
      <protection locked="0"/>
    </xf>
    <xf numFmtId="0" fontId="42" fillId="0" borderId="18" xfId="2" applyFont="1" applyFill="1" applyBorder="1" applyAlignment="1" applyProtection="1">
      <alignment horizontal="center" vertical="center" wrapText="1"/>
      <protection locked="0"/>
    </xf>
    <xf numFmtId="0" fontId="43" fillId="0" borderId="1" xfId="2" applyFont="1" applyFill="1" applyBorder="1" applyAlignment="1" applyProtection="1">
      <alignment horizontal="center" vertical="center" wrapText="1"/>
      <protection locked="0"/>
    </xf>
    <xf numFmtId="0" fontId="43" fillId="0" borderId="1" xfId="2" applyFont="1" applyFill="1" applyBorder="1" applyAlignment="1" applyProtection="1">
      <alignment horizontal="center" vertical="center" wrapText="1"/>
      <protection locked="0"/>
    </xf>
    <xf numFmtId="0" fontId="2" fillId="0" borderId="1" xfId="2" applyFont="1" applyFill="1" applyBorder="1" applyAlignment="1" applyProtection="1">
      <alignment horizontal="center" vertical="center" wrapText="1"/>
      <protection locked="0"/>
    </xf>
    <xf numFmtId="0" fontId="2" fillId="11" borderId="1" xfId="2"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cellXfs>
  <cellStyles count="6">
    <cellStyle name="Millares" xfId="1" builtinId="3"/>
    <cellStyle name="Millares 2" xfId="4"/>
    <cellStyle name="Normal" xfId="0" builtinId="0"/>
    <cellStyle name="Normal 2" xfId="2"/>
    <cellStyle name="Normal 2 3" xfId="3"/>
    <cellStyle name="Normal 3" xfId="5"/>
  </cellStyles>
  <dxfs count="2073">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rgb="FF33CC33"/>
        </patternFill>
      </fill>
    </dxf>
    <dxf>
      <fill>
        <patternFill>
          <bgColor rgb="FFFFFF00"/>
        </patternFill>
      </fill>
    </dxf>
    <dxf>
      <fill>
        <patternFill>
          <bgColor rgb="FFFF9900"/>
        </patternFill>
      </fill>
    </dxf>
    <dxf>
      <fill>
        <patternFill>
          <bgColor rgb="FFFF0000"/>
        </patternFill>
      </fill>
    </dxf>
    <dxf>
      <fill>
        <patternFill>
          <bgColor theme="0"/>
        </patternFill>
      </fill>
    </dxf>
    <dxf>
      <fill>
        <patternFill patternType="solid">
          <bgColor theme="0"/>
        </patternFill>
      </fill>
    </dxf>
    <dxf>
      <fill>
        <patternFill>
          <bgColor rgb="FF33CC33"/>
        </patternFill>
      </fill>
    </dxf>
    <dxf>
      <fill>
        <patternFill>
          <bgColor rgb="FFFFFF00"/>
        </patternFill>
      </fill>
    </dxf>
    <dxf>
      <fill>
        <patternFill>
          <bgColor rgb="FFFF9900"/>
        </patternFill>
      </fill>
    </dxf>
    <dxf>
      <fill>
        <patternFill>
          <bgColor rgb="FFFF0000"/>
        </patternFill>
      </fill>
    </dxf>
  </dxfs>
  <tableStyles count="0" defaultTableStyle="TableStyleMedium9" defaultPivotStyle="PivotStyleLight16"/>
  <colors>
    <mruColors>
      <color rgb="FFFF9900"/>
      <color rgb="FFFFFFCC"/>
      <color rgb="FFFF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7143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7143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7</xdr:row>
      <xdr:rowOff>0</xdr:rowOff>
    </xdr:from>
    <xdr:ext cx="585060" cy="5663"/>
    <xdr:pic>
      <xdr:nvPicPr>
        <xdr:cNvPr id="2" name="1 Imagen">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duotone>
            <a:schemeClr val="accent1">
              <a:shade val="45000"/>
              <a:satMod val="135000"/>
            </a:schemeClr>
            <a:prstClr val="white"/>
          </a:duotone>
        </a:blip>
        <a:srcRect/>
        <a:stretch>
          <a:fillRect/>
        </a:stretch>
      </xdr:blipFill>
      <xdr:spPr bwMode="auto">
        <a:xfrm>
          <a:off x="1666875" y="714375"/>
          <a:ext cx="585060" cy="5663"/>
        </a:xfrm>
        <a:prstGeom prst="rect">
          <a:avLst/>
        </a:prstGeom>
        <a:ln>
          <a:noFill/>
        </a:ln>
        <a:effectLst>
          <a:reflection blurRad="12700" stA="30000" endPos="30000" dist="5000" dir="5400000" sy="-100000" algn="bl" rotWithShape="0"/>
        </a:effectLst>
        <a:scene3d>
          <a:camera prst="perspectiveContrastingLeftFacing">
            <a:rot lat="300000" lon="19800000" rev="0"/>
          </a:camera>
          <a:lightRig rig="threePt" dir="t">
            <a:rot lat="0" lon="0" rev="2700000"/>
          </a:lightRig>
        </a:scene3d>
        <a:sp3d>
          <a:bevelT w="63500" h="50800"/>
        </a:sp3d>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a.norato/Downloads/1_DESI-MR-2021%20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angela.cifuentes/Downloads/Mapa_de_Riesgos_GDOC_2021_V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angela.cifuentes/Downloads/Mapa_de_Riesgos_EGTI_2021_V2%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ngela.cifuentes/Downloads/Mapa_de_Riesgos_GSIT_2021_V2%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ngela.cifuentes/Downloads/Mapa_de_Riesgos_GEFI_2021_V3%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ngela.cifuentes/Downloads/Mapa_de_Riesgos_GTHU_2021_V3%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ngela.cifuentes/Downloads/Mapa_de_Riesgos_GEFI_2021_V3%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ngela.cifuentes/Downloads/Mapa_de_Riesgos_GDOC_2021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Downloads/2._APIC-MR-2020%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aermv-my.sharepoint.com/Users/natalia.norato/OneDrive%20-%20uaermv/NATA%20SIG/2018/12.%20DICIEMBRE/SIG-FM-007-V7%20Formato%20Mapa%20de%20Riesgos%20de%20Proceso%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uaermv-my.sharepoint.com/Users/nelson.ovalle/Downloads/SIG-FM-007-V7%20Formato%20Mapa%20de%20Riesgos%20de%20Proceso%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gela.cifuentes/Downloads/Mapa_de_Riesgos_EGTI_2021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ngela.cifuentes/Downloads/Mapa_de_Riesgos_GSIT_2021_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ngela.cifuentes/Downloads/GREF_-MR-2020_-V2_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ngela.cifuentes/Downloads/GEFI-MR-001-V2_Mapa_de_Riesgos_GE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4">
          <cell r="C4" t="str">
            <v>Gestion</v>
          </cell>
        </row>
        <row r="5">
          <cell r="C5" t="str">
            <v>Corrupcion</v>
          </cell>
        </row>
        <row r="6">
          <cell r="C6" t="str">
            <v>Seguridad_de_la_informacion</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x"/>
      <sheetName val="Fm-2x"/>
      <sheetName val="Fm-3x"/>
      <sheetName val="Fm-4x"/>
      <sheetName val="Fm-5x"/>
      <sheetName val="Fm-6x"/>
      <sheetName val="DB"/>
      <sheetName val="Hoja1"/>
      <sheetName val="Hoja2"/>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 val="IMPACTO SOBOR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B4" t="str">
            <v>Direccionamiento estratégico e innovación</v>
          </cell>
          <cell r="G4" t="str">
            <v>Rara vez</v>
          </cell>
        </row>
        <row r="5">
          <cell r="G5" t="str">
            <v>Improbable</v>
          </cell>
        </row>
        <row r="6">
          <cell r="G6" t="str">
            <v>Posible</v>
          </cell>
        </row>
        <row r="7">
          <cell r="G7" t="str">
            <v>Probable</v>
          </cell>
        </row>
        <row r="8">
          <cell r="G8" t="str">
            <v>Casi seguro</v>
          </cell>
        </row>
        <row r="37">
          <cell r="B37" t="str">
            <v>Rara vezInsignificante</v>
          </cell>
          <cell r="C37" t="str">
            <v>Riesgo bajo</v>
          </cell>
        </row>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2019"/>
      <sheetName val="FORMULA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sheetData sheetId="1">
        <row r="4">
          <cell r="B4" t="str">
            <v>Direccionamiento estratégico e innovación</v>
          </cell>
          <cell r="C4" t="str">
            <v>Gestion</v>
          </cell>
          <cell r="E4" t="str">
            <v>Daño_fisico</v>
          </cell>
          <cell r="G4" t="str">
            <v>Rara vez</v>
          </cell>
          <cell r="K4" t="str">
            <v>Aceptar el riesgo</v>
          </cell>
        </row>
        <row r="5">
          <cell r="B5" t="str">
            <v>Atención a partes interesadas y comunicaciones </v>
          </cell>
          <cell r="C5" t="str">
            <v>Corrupcion</v>
          </cell>
          <cell r="E5" t="str">
            <v>Eventos_naturales</v>
          </cell>
          <cell r="G5" t="str">
            <v>Improbable</v>
          </cell>
          <cell r="K5" t="str">
            <v>Reducir el riesgo</v>
          </cell>
        </row>
        <row r="6">
          <cell r="B6" t="str">
            <v>Estrategia y gobierno de TI </v>
          </cell>
          <cell r="C6" t="str">
            <v>Seguridad_de_la_informacion</v>
          </cell>
          <cell r="E6" t="str">
            <v>Perdidas_de_los_servicios_esenciales</v>
          </cell>
          <cell r="G6" t="str">
            <v>Posible</v>
          </cell>
          <cell r="K6" t="str">
            <v>Evitar el riesgo</v>
          </cell>
        </row>
        <row r="7">
          <cell r="B7" t="str">
            <v>Planificación de la intervención vial </v>
          </cell>
          <cell r="E7" t="str">
            <v>Perturbacion_debida_a_la_radiacion</v>
          </cell>
          <cell r="G7" t="str">
            <v>Probable</v>
          </cell>
          <cell r="K7" t="str">
            <v>Compartir el riesgo</v>
          </cell>
        </row>
        <row r="8">
          <cell r="B8" t="str">
            <v>Producción de mezcla y provisión de maquinaria y equipo </v>
          </cell>
          <cell r="E8" t="str">
            <v>Compromiso_de_la_informacion</v>
          </cell>
          <cell r="G8" t="str">
            <v>Casi seguro</v>
          </cell>
        </row>
        <row r="9">
          <cell r="B9" t="str">
            <v>Intervención de la malla vial </v>
          </cell>
          <cell r="E9" t="str">
            <v>Fallas_tecnicas</v>
          </cell>
        </row>
        <row r="10">
          <cell r="B10" t="str">
            <v>Gestión de servicios e infraestructura tecnológica </v>
          </cell>
          <cell r="E10" t="str">
            <v>Acciones_no_autorizadas</v>
          </cell>
        </row>
        <row r="11">
          <cell r="B11" t="str">
            <v>Gestión de recursos físicos </v>
          </cell>
          <cell r="E11" t="str">
            <v>Compromiso_de_las_funciones</v>
          </cell>
        </row>
        <row r="12">
          <cell r="B12" t="str">
            <v>Gestión contractual </v>
          </cell>
        </row>
        <row r="13">
          <cell r="B13" t="str">
            <v>Gestión financiera </v>
          </cell>
        </row>
        <row r="14">
          <cell r="B14" t="str">
            <v>Gestión de laboratorio </v>
          </cell>
        </row>
        <row r="15">
          <cell r="B15" t="str">
            <v>Gestión del talento humano </v>
          </cell>
        </row>
        <row r="16">
          <cell r="B16" t="str">
            <v>Gestión ambiental </v>
          </cell>
        </row>
        <row r="17">
          <cell r="B17" t="str">
            <v>Gestión documental </v>
          </cell>
        </row>
        <row r="18">
          <cell r="B18" t="str">
            <v>Gestión jurídica </v>
          </cell>
        </row>
        <row r="19">
          <cell r="B19" t="str">
            <v>Control Disciplinario Interno </v>
          </cell>
        </row>
        <row r="20">
          <cell r="B20" t="str">
            <v>Control evaluación y mejora de la gestión </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CORRUPCIÓN"/>
      <sheetName val="IMPACTO SEGURIDAD I"/>
      <sheetName val="EJEMPLO CONTROLES"/>
      <sheetName val="OPCIONES DE MANEJO DEL RIESGO"/>
      <sheetName val="MAPA DE CALOR"/>
    </sheetNames>
    <sheetDataSet>
      <sheetData sheetId="0">
        <row r="37">
          <cell r="B37" t="str">
            <v>Rara vezInsignificante</v>
          </cell>
          <cell r="C37" t="str">
            <v>Riesgo bajo</v>
          </cell>
        </row>
        <row r="38">
          <cell r="B38" t="str">
            <v>Rara vezMenor</v>
          </cell>
          <cell r="C38" t="str">
            <v>Riesgo bajo</v>
          </cell>
        </row>
        <row r="39">
          <cell r="B39" t="str">
            <v>Rara vezModerado</v>
          </cell>
          <cell r="C39" t="str">
            <v>Riesgo moderado</v>
          </cell>
        </row>
        <row r="40">
          <cell r="B40" t="str">
            <v>Rara vezMayor</v>
          </cell>
          <cell r="C40" t="str">
            <v>Riesgo alto</v>
          </cell>
        </row>
        <row r="41">
          <cell r="B41" t="str">
            <v>Rara vezCatastrófico</v>
          </cell>
          <cell r="C41" t="str">
            <v>Riesgo extremo</v>
          </cell>
        </row>
        <row r="42">
          <cell r="B42" t="str">
            <v>ImprobableInsignificante</v>
          </cell>
          <cell r="C42" t="str">
            <v>Riesgo bajo</v>
          </cell>
        </row>
        <row r="43">
          <cell r="B43" t="str">
            <v>ImprobableMenor</v>
          </cell>
          <cell r="C43" t="str">
            <v>Riesgo bajo</v>
          </cell>
        </row>
        <row r="44">
          <cell r="B44" t="str">
            <v>ImprobableModerado</v>
          </cell>
          <cell r="C44" t="str">
            <v>Riesgo moderado</v>
          </cell>
        </row>
        <row r="45">
          <cell r="B45" t="str">
            <v>ImprobableMayor</v>
          </cell>
          <cell r="C45" t="str">
            <v>Riesgo alto</v>
          </cell>
        </row>
        <row r="46">
          <cell r="B46" t="str">
            <v>ImprobableCatastrófico</v>
          </cell>
          <cell r="C46" t="str">
            <v>Riesgo extremo</v>
          </cell>
        </row>
        <row r="47">
          <cell r="B47" t="str">
            <v>PosibleInsignificante</v>
          </cell>
          <cell r="C47" t="str">
            <v>Riesgo bajo</v>
          </cell>
        </row>
        <row r="48">
          <cell r="B48" t="str">
            <v>PosibleMenor</v>
          </cell>
          <cell r="C48" t="str">
            <v>Riesgo moderado</v>
          </cell>
        </row>
        <row r="49">
          <cell r="B49" t="str">
            <v>PosibleModerado</v>
          </cell>
          <cell r="C49" t="str">
            <v>Riesgo alto</v>
          </cell>
        </row>
        <row r="50">
          <cell r="B50" t="str">
            <v>PosibleMayor</v>
          </cell>
          <cell r="C50" t="str">
            <v>Riesgo extremo</v>
          </cell>
        </row>
        <row r="51">
          <cell r="B51" t="str">
            <v>PosibleCatastrófico</v>
          </cell>
          <cell r="C51" t="str">
            <v>Riesgo extremo</v>
          </cell>
        </row>
        <row r="52">
          <cell r="B52" t="str">
            <v>ProbableInsignificante</v>
          </cell>
          <cell r="C52" t="str">
            <v>Riesgo moderado</v>
          </cell>
        </row>
        <row r="53">
          <cell r="B53" t="str">
            <v>ProbableMenor</v>
          </cell>
          <cell r="C53" t="str">
            <v>Riesgo alto</v>
          </cell>
        </row>
        <row r="54">
          <cell r="B54" t="str">
            <v>ProbableModerado</v>
          </cell>
          <cell r="C54" t="str">
            <v>Riesgo alto</v>
          </cell>
        </row>
        <row r="55">
          <cell r="B55" t="str">
            <v>ProbableMayor</v>
          </cell>
          <cell r="C55" t="str">
            <v>Riesgo extremo</v>
          </cell>
        </row>
        <row r="56">
          <cell r="B56" t="str">
            <v>ProbableCatastrófico</v>
          </cell>
          <cell r="C56" t="str">
            <v>Riesgo extremo</v>
          </cell>
        </row>
        <row r="57">
          <cell r="B57" t="str">
            <v>Casi seguroInsignificante</v>
          </cell>
          <cell r="C57" t="str">
            <v>Riesgo alto</v>
          </cell>
        </row>
        <row r="58">
          <cell r="B58" t="str">
            <v>Casi seguroMenor</v>
          </cell>
          <cell r="C58" t="str">
            <v>Riesgo alto</v>
          </cell>
        </row>
        <row r="59">
          <cell r="B59" t="str">
            <v>Casi seguroModerado</v>
          </cell>
          <cell r="C59" t="str">
            <v>Riesgo extremo</v>
          </cell>
        </row>
        <row r="60">
          <cell r="B60" t="str">
            <v>Casi seguroMayor</v>
          </cell>
          <cell r="C60" t="str">
            <v>Riesgo extremo</v>
          </cell>
        </row>
        <row r="61">
          <cell r="B61" t="str">
            <v>Casi seguroCatastrófico</v>
          </cell>
          <cell r="C61" t="str">
            <v>Riesgo extremo</v>
          </cell>
        </row>
        <row r="69">
          <cell r="B69" t="str">
            <v>FuerteFuerte</v>
          </cell>
          <cell r="C69" t="str">
            <v>No</v>
          </cell>
          <cell r="D69" t="str">
            <v>Fuerte</v>
          </cell>
        </row>
        <row r="70">
          <cell r="B70" t="str">
            <v>FuerteModerado</v>
          </cell>
          <cell r="C70" t="str">
            <v>Sí</v>
          </cell>
          <cell r="D70" t="str">
            <v>Moderado</v>
          </cell>
        </row>
        <row r="71">
          <cell r="B71" t="str">
            <v>FuerteDébil</v>
          </cell>
          <cell r="C71" t="str">
            <v>Sí</v>
          </cell>
          <cell r="D71" t="str">
            <v>Débil</v>
          </cell>
        </row>
        <row r="72">
          <cell r="B72" t="str">
            <v>ModeradoFuerte</v>
          </cell>
          <cell r="C72" t="str">
            <v>Sí</v>
          </cell>
          <cell r="D72" t="str">
            <v>Moderado</v>
          </cell>
        </row>
        <row r="73">
          <cell r="B73" t="str">
            <v>ModeradoModerado</v>
          </cell>
          <cell r="C73" t="str">
            <v>Sí</v>
          </cell>
          <cell r="D73" t="str">
            <v>Moderado</v>
          </cell>
        </row>
        <row r="74">
          <cell r="B74" t="str">
            <v>ModeradoDébil</v>
          </cell>
          <cell r="C74" t="str">
            <v>Sí</v>
          </cell>
          <cell r="D74" t="str">
            <v>Débil</v>
          </cell>
        </row>
        <row r="75">
          <cell r="B75" t="str">
            <v>DébilFuerte</v>
          </cell>
          <cell r="C75" t="str">
            <v>Sí</v>
          </cell>
          <cell r="D75" t="str">
            <v>Débil</v>
          </cell>
        </row>
        <row r="76">
          <cell r="B76" t="str">
            <v>DébilModerado</v>
          </cell>
          <cell r="C76" t="str">
            <v>Sí</v>
          </cell>
          <cell r="D76" t="str">
            <v>Débil</v>
          </cell>
        </row>
        <row r="77">
          <cell r="B77" t="str">
            <v>DébilDébil</v>
          </cell>
          <cell r="C77" t="str">
            <v>Sí</v>
          </cell>
          <cell r="D77" t="str">
            <v>Débil</v>
          </cell>
        </row>
        <row r="94">
          <cell r="B94" t="str">
            <v>FuerteDirectamenteDirectamente</v>
          </cell>
          <cell r="C94">
            <v>2</v>
          </cell>
          <cell r="D94">
            <v>2</v>
          </cell>
        </row>
        <row r="95">
          <cell r="B95" t="str">
            <v>FuerteDirectamenteIndirectamente</v>
          </cell>
          <cell r="C95">
            <v>2</v>
          </cell>
          <cell r="D95">
            <v>1</v>
          </cell>
        </row>
        <row r="96">
          <cell r="B96" t="str">
            <v>FuerteDirectamenteNo disminuye</v>
          </cell>
          <cell r="C96">
            <v>2</v>
          </cell>
          <cell r="D96">
            <v>0</v>
          </cell>
        </row>
        <row r="97">
          <cell r="B97" t="str">
            <v>FuerteNo disminuyeDirectamente</v>
          </cell>
          <cell r="C97">
            <v>0</v>
          </cell>
          <cell r="D97">
            <v>2</v>
          </cell>
        </row>
        <row r="98">
          <cell r="B98" t="str">
            <v>ModeradoDirectamenteDirectamente</v>
          </cell>
          <cell r="C98">
            <v>1</v>
          </cell>
          <cell r="D98">
            <v>1</v>
          </cell>
        </row>
        <row r="99">
          <cell r="B99" t="str">
            <v>ModeradoDirectamenteIndirectamente</v>
          </cell>
          <cell r="C99">
            <v>1</v>
          </cell>
          <cell r="D99">
            <v>0</v>
          </cell>
        </row>
        <row r="100">
          <cell r="B100" t="str">
            <v>ModeradoDirectamenteNo disminuye</v>
          </cell>
          <cell r="C100">
            <v>1</v>
          </cell>
          <cell r="D100">
            <v>0</v>
          </cell>
        </row>
        <row r="101">
          <cell r="B101" t="str">
            <v>ModeradoNo disminuyeDirectamente</v>
          </cell>
          <cell r="C101">
            <v>0</v>
          </cell>
          <cell r="D101">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row r="38">
          <cell r="B38" t="str">
            <v>Rara vezInsignificante</v>
          </cell>
          <cell r="C38" t="str">
            <v>Riesgo bajo</v>
          </cell>
        </row>
        <row r="39">
          <cell r="B39" t="str">
            <v>Rara vezMenor</v>
          </cell>
          <cell r="C39" t="str">
            <v>Riesgo bajo</v>
          </cell>
        </row>
        <row r="40">
          <cell r="B40" t="str">
            <v>Rara vezModerado</v>
          </cell>
          <cell r="C40" t="str">
            <v>Riesgo moderado</v>
          </cell>
        </row>
        <row r="41">
          <cell r="B41" t="str">
            <v>Rara vezMayor</v>
          </cell>
          <cell r="C41" t="str">
            <v>Riesgo alto</v>
          </cell>
        </row>
        <row r="42">
          <cell r="B42" t="str">
            <v>Rara vezCatastrófico</v>
          </cell>
          <cell r="C42" t="str">
            <v>Riesgo extremo</v>
          </cell>
        </row>
        <row r="43">
          <cell r="B43" t="str">
            <v>ImprobableInsignificante</v>
          </cell>
          <cell r="C43" t="str">
            <v>Riesgo bajo</v>
          </cell>
        </row>
        <row r="44">
          <cell r="B44" t="str">
            <v>ImprobableMenor</v>
          </cell>
          <cell r="C44" t="str">
            <v>Riesgo bajo</v>
          </cell>
        </row>
        <row r="45">
          <cell r="B45" t="str">
            <v>ImprobableModerado</v>
          </cell>
          <cell r="C45" t="str">
            <v>Riesgo moderado</v>
          </cell>
        </row>
        <row r="46">
          <cell r="B46" t="str">
            <v>ImprobableMayor</v>
          </cell>
          <cell r="C46" t="str">
            <v>Riesgo alto</v>
          </cell>
        </row>
        <row r="47">
          <cell r="B47" t="str">
            <v>ImprobableCatastrófico</v>
          </cell>
          <cell r="C47" t="str">
            <v>Riesgo extremo</v>
          </cell>
        </row>
        <row r="48">
          <cell r="B48" t="str">
            <v>PosibleInsignificante</v>
          </cell>
          <cell r="C48" t="str">
            <v>Riesgo bajo</v>
          </cell>
        </row>
        <row r="49">
          <cell r="B49" t="str">
            <v>PosibleMenor</v>
          </cell>
          <cell r="C49" t="str">
            <v>Riesgo moderado</v>
          </cell>
        </row>
        <row r="50">
          <cell r="B50" t="str">
            <v>PosibleModerado</v>
          </cell>
          <cell r="C50" t="str">
            <v>Riesgo alto</v>
          </cell>
        </row>
        <row r="51">
          <cell r="B51" t="str">
            <v>PosibleMayor</v>
          </cell>
          <cell r="C51" t="str">
            <v>Riesgo extremo</v>
          </cell>
        </row>
        <row r="52">
          <cell r="B52" t="str">
            <v>PosibleCatastrófico</v>
          </cell>
          <cell r="C52" t="str">
            <v>Riesgo extremo</v>
          </cell>
        </row>
        <row r="53">
          <cell r="B53" t="str">
            <v>ProbableInsignificante</v>
          </cell>
          <cell r="C53" t="str">
            <v>Riesgo moderado</v>
          </cell>
        </row>
        <row r="54">
          <cell r="B54" t="str">
            <v>ProbableMenor</v>
          </cell>
          <cell r="C54" t="str">
            <v>Riesgo alto</v>
          </cell>
        </row>
        <row r="55">
          <cell r="B55" t="str">
            <v>ProbableModerado</v>
          </cell>
          <cell r="C55" t="str">
            <v>Riesgo alto</v>
          </cell>
        </row>
        <row r="56">
          <cell r="B56" t="str">
            <v>ProbableMayor</v>
          </cell>
          <cell r="C56" t="str">
            <v>Riesgo extremo</v>
          </cell>
        </row>
        <row r="57">
          <cell r="B57" t="str">
            <v>ProbableCatastrófico</v>
          </cell>
          <cell r="C57" t="str">
            <v>Riesgo extremo</v>
          </cell>
        </row>
        <row r="58">
          <cell r="B58" t="str">
            <v>Casi seguroInsignificante</v>
          </cell>
          <cell r="C58" t="str">
            <v>Riesgo alto</v>
          </cell>
        </row>
        <row r="59">
          <cell r="B59" t="str">
            <v>Casi seguroMenor</v>
          </cell>
          <cell r="C59" t="str">
            <v>Riesgo alto</v>
          </cell>
        </row>
        <row r="60">
          <cell r="B60" t="str">
            <v>Casi seguroModerado</v>
          </cell>
          <cell r="C60" t="str">
            <v>Riesgo extremo</v>
          </cell>
        </row>
        <row r="61">
          <cell r="B61" t="str">
            <v>Casi seguroMayor</v>
          </cell>
          <cell r="C61" t="str">
            <v>Riesgo extremo</v>
          </cell>
        </row>
        <row r="62">
          <cell r="B62" t="str">
            <v>Casi seguroCatastrófico</v>
          </cell>
          <cell r="C62" t="str">
            <v>Riesgo extremo</v>
          </cell>
        </row>
        <row r="70">
          <cell r="B70" t="str">
            <v>FuerteFuerte</v>
          </cell>
          <cell r="C70" t="str">
            <v>No</v>
          </cell>
          <cell r="D70" t="str">
            <v>Fuerte</v>
          </cell>
        </row>
        <row r="71">
          <cell r="B71" t="str">
            <v>FuerteModerado</v>
          </cell>
          <cell r="C71" t="str">
            <v>Sí</v>
          </cell>
          <cell r="D71" t="str">
            <v>Moderado</v>
          </cell>
        </row>
        <row r="72">
          <cell r="B72" t="str">
            <v>FuerteDébil</v>
          </cell>
          <cell r="C72" t="str">
            <v>Sí</v>
          </cell>
          <cell r="D72" t="str">
            <v>Débil</v>
          </cell>
        </row>
        <row r="73">
          <cell r="B73" t="str">
            <v>ModeradoFuerte</v>
          </cell>
          <cell r="C73" t="str">
            <v>Sí</v>
          </cell>
          <cell r="D73" t="str">
            <v>Moderado</v>
          </cell>
        </row>
        <row r="74">
          <cell r="B74" t="str">
            <v>ModeradoModerado</v>
          </cell>
          <cell r="C74" t="str">
            <v>Sí</v>
          </cell>
          <cell r="D74" t="str">
            <v>Moderado</v>
          </cell>
        </row>
        <row r="75">
          <cell r="B75" t="str">
            <v>ModeradoDébil</v>
          </cell>
          <cell r="C75" t="str">
            <v>Sí</v>
          </cell>
          <cell r="D75" t="str">
            <v>Débil</v>
          </cell>
        </row>
        <row r="76">
          <cell r="B76" t="str">
            <v>DébilFuerte</v>
          </cell>
          <cell r="C76" t="str">
            <v>Sí</v>
          </cell>
          <cell r="D76" t="str">
            <v>Débil</v>
          </cell>
        </row>
        <row r="77">
          <cell r="B77" t="str">
            <v>DébilModerado</v>
          </cell>
          <cell r="C77" t="str">
            <v>Sí</v>
          </cell>
          <cell r="D77" t="str">
            <v>Débil</v>
          </cell>
        </row>
        <row r="78">
          <cell r="B78" t="str">
            <v>DébilDébil</v>
          </cell>
          <cell r="C78" t="str">
            <v>Sí</v>
          </cell>
          <cell r="D78" t="str">
            <v>Débil</v>
          </cell>
        </row>
        <row r="95">
          <cell r="B95" t="str">
            <v>FuerteDirectamenteDirectamente</v>
          </cell>
          <cell r="C95">
            <v>2</v>
          </cell>
          <cell r="D95">
            <v>2</v>
          </cell>
        </row>
        <row r="96">
          <cell r="B96" t="str">
            <v>FuerteDirectamenteIndirectamente</v>
          </cell>
          <cell r="C96">
            <v>2</v>
          </cell>
          <cell r="D96">
            <v>1</v>
          </cell>
        </row>
        <row r="97">
          <cell r="B97" t="str">
            <v>FuerteDirectamenteNo disminuye</v>
          </cell>
          <cell r="C97">
            <v>2</v>
          </cell>
          <cell r="D97">
            <v>0</v>
          </cell>
        </row>
        <row r="98">
          <cell r="B98" t="str">
            <v>FuerteNo disminuyeDirectamente</v>
          </cell>
          <cell r="C98">
            <v>0</v>
          </cell>
          <cell r="D98">
            <v>2</v>
          </cell>
        </row>
        <row r="99">
          <cell r="B99" t="str">
            <v>ModeradoDirectamenteDirectamente</v>
          </cell>
          <cell r="C99">
            <v>1</v>
          </cell>
          <cell r="D99">
            <v>1</v>
          </cell>
        </row>
        <row r="100">
          <cell r="B100" t="str">
            <v>ModeradoDirectamenteIndirectamente</v>
          </cell>
          <cell r="C100">
            <v>1</v>
          </cell>
          <cell r="D100">
            <v>0</v>
          </cell>
        </row>
        <row r="101">
          <cell r="B101" t="str">
            <v>ModeradoDirectamenteNo disminuye</v>
          </cell>
          <cell r="C101">
            <v>1</v>
          </cell>
          <cell r="D101">
            <v>0</v>
          </cell>
        </row>
        <row r="102">
          <cell r="B102" t="str">
            <v>ModeradoNo disminuyeDirectamente</v>
          </cell>
          <cell r="C102">
            <v>0</v>
          </cell>
          <cell r="D10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01"/>
  <sheetViews>
    <sheetView topLeftCell="A62" workbookViewId="0">
      <selection activeCell="D75" sqref="D75"/>
    </sheetView>
  </sheetViews>
  <sheetFormatPr baseColWidth="10" defaultColWidth="11.42578125" defaultRowHeight="15" x14ac:dyDescent="0.25"/>
  <cols>
    <col min="1" max="1" width="11.42578125" style="1"/>
    <col min="2" max="3" width="37.42578125" style="1" customWidth="1"/>
    <col min="4" max="4" width="17.7109375" style="1" customWidth="1"/>
    <col min="5" max="7" width="26.85546875" style="1" customWidth="1"/>
    <col min="8" max="8" width="20.7109375" style="1" customWidth="1"/>
    <col min="9" max="9" width="22.42578125" style="1" customWidth="1"/>
    <col min="10" max="10" width="16.7109375" style="1" customWidth="1"/>
    <col min="11" max="11" width="26.5703125" style="1" customWidth="1"/>
    <col min="12" max="12" width="23.85546875" style="1" customWidth="1"/>
    <col min="13" max="16384" width="11.42578125" style="1"/>
  </cols>
  <sheetData>
    <row r="2" spans="2:12" ht="30" x14ac:dyDescent="0.25">
      <c r="B2" s="1" t="s">
        <v>0</v>
      </c>
      <c r="C2" s="1" t="s">
        <v>1</v>
      </c>
      <c r="D2" s="1" t="s">
        <v>2</v>
      </c>
      <c r="E2" s="1" t="s">
        <v>3</v>
      </c>
      <c r="F2" s="1" t="s">
        <v>4</v>
      </c>
      <c r="G2" s="1" t="s">
        <v>5</v>
      </c>
      <c r="H2" s="1" t="s">
        <v>6</v>
      </c>
      <c r="I2" s="1" t="s">
        <v>7</v>
      </c>
      <c r="J2" s="1" t="s">
        <v>8</v>
      </c>
      <c r="K2" s="1" t="s">
        <v>9</v>
      </c>
    </row>
    <row r="4" spans="2:12" ht="31.5" x14ac:dyDescent="0.25">
      <c r="B4" s="5" t="s">
        <v>10</v>
      </c>
      <c r="C4" s="5" t="s">
        <v>11</v>
      </c>
      <c r="D4" s="3" t="s">
        <v>12</v>
      </c>
      <c r="E4" s="1" t="s">
        <v>13</v>
      </c>
      <c r="F4" s="1" t="s">
        <v>14</v>
      </c>
      <c r="G4" s="1" t="s">
        <v>15</v>
      </c>
      <c r="H4" s="1" t="s">
        <v>16</v>
      </c>
      <c r="I4" s="3" t="s">
        <v>17</v>
      </c>
      <c r="J4" s="3" t="s">
        <v>18</v>
      </c>
      <c r="K4" s="1" t="s">
        <v>19</v>
      </c>
      <c r="L4" s="3"/>
    </row>
    <row r="5" spans="2:12" ht="31.5" x14ac:dyDescent="0.25">
      <c r="B5" s="5" t="s">
        <v>20</v>
      </c>
      <c r="C5" s="5" t="s">
        <v>21</v>
      </c>
      <c r="D5" s="4" t="s">
        <v>22</v>
      </c>
      <c r="E5" s="1" t="s">
        <v>23</v>
      </c>
      <c r="F5" s="1" t="s">
        <v>24</v>
      </c>
      <c r="G5" s="1" t="s">
        <v>25</v>
      </c>
      <c r="H5" s="1" t="s">
        <v>26</v>
      </c>
      <c r="I5" s="3" t="s">
        <v>27</v>
      </c>
      <c r="J5" s="3" t="s">
        <v>28</v>
      </c>
      <c r="K5" s="1" t="s">
        <v>29</v>
      </c>
      <c r="L5" s="3"/>
    </row>
    <row r="6" spans="2:12" ht="30" x14ac:dyDescent="0.25">
      <c r="B6" s="5" t="s">
        <v>30</v>
      </c>
      <c r="C6" s="5" t="s">
        <v>31</v>
      </c>
      <c r="D6" s="3" t="s">
        <v>32</v>
      </c>
      <c r="E6" s="1" t="s">
        <v>33</v>
      </c>
      <c r="F6" s="1" t="s">
        <v>34</v>
      </c>
      <c r="G6" s="1" t="s">
        <v>35</v>
      </c>
      <c r="H6" s="1" t="s">
        <v>16</v>
      </c>
      <c r="I6" s="3" t="s">
        <v>36</v>
      </c>
      <c r="J6" s="3" t="s">
        <v>17</v>
      </c>
      <c r="K6" s="1" t="s">
        <v>37</v>
      </c>
      <c r="L6" s="3"/>
    </row>
    <row r="7" spans="2:12" ht="30" x14ac:dyDescent="0.25">
      <c r="B7" s="5" t="s">
        <v>38</v>
      </c>
      <c r="C7" s="5"/>
      <c r="D7" s="3" t="s">
        <v>39</v>
      </c>
      <c r="E7" s="1" t="s">
        <v>40</v>
      </c>
      <c r="F7" s="1" t="s">
        <v>41</v>
      </c>
      <c r="G7" s="1" t="s">
        <v>42</v>
      </c>
      <c r="J7" s="3" t="s">
        <v>27</v>
      </c>
      <c r="K7" s="1" t="s">
        <v>43</v>
      </c>
      <c r="L7" s="3"/>
    </row>
    <row r="8" spans="2:12" ht="31.5" x14ac:dyDescent="0.25">
      <c r="B8" s="5" t="s">
        <v>44</v>
      </c>
      <c r="C8" s="5"/>
      <c r="D8" s="3" t="s">
        <v>45</v>
      </c>
      <c r="E8" s="1" t="s">
        <v>46</v>
      </c>
      <c r="F8" s="1" t="s">
        <v>47</v>
      </c>
      <c r="G8" s="1" t="s">
        <v>48</v>
      </c>
      <c r="J8" s="3" t="s">
        <v>36</v>
      </c>
      <c r="L8" s="3"/>
    </row>
    <row r="9" spans="2:12" ht="30" x14ac:dyDescent="0.25">
      <c r="B9" s="5" t="s">
        <v>49</v>
      </c>
      <c r="C9" s="5"/>
      <c r="D9" s="3" t="s">
        <v>50</v>
      </c>
      <c r="E9" s="1" t="s">
        <v>51</v>
      </c>
      <c r="F9" s="1" t="s">
        <v>52</v>
      </c>
      <c r="L9" s="3"/>
    </row>
    <row r="10" spans="2:12" ht="31.5" x14ac:dyDescent="0.25">
      <c r="B10" s="5" t="s">
        <v>53</v>
      </c>
      <c r="C10" s="5"/>
      <c r="D10" s="3"/>
      <c r="E10" s="1" t="s">
        <v>54</v>
      </c>
      <c r="F10" s="1" t="s">
        <v>55</v>
      </c>
    </row>
    <row r="11" spans="2:12" ht="30" x14ac:dyDescent="0.25">
      <c r="B11" s="5" t="s">
        <v>56</v>
      </c>
      <c r="C11" s="5"/>
      <c r="D11" s="1" t="s">
        <v>57</v>
      </c>
      <c r="E11" s="1" t="s">
        <v>58</v>
      </c>
      <c r="F11" s="1" t="s">
        <v>59</v>
      </c>
    </row>
    <row r="12" spans="2:12" ht="45" x14ac:dyDescent="0.25">
      <c r="B12" s="5" t="s">
        <v>60</v>
      </c>
      <c r="C12" s="5"/>
      <c r="F12" s="1" t="s">
        <v>61</v>
      </c>
    </row>
    <row r="13" spans="2:12" ht="45" x14ac:dyDescent="0.25">
      <c r="B13" s="5" t="s">
        <v>62</v>
      </c>
      <c r="C13" s="5"/>
      <c r="D13" s="1" t="s">
        <v>63</v>
      </c>
      <c r="F13" s="1" t="s">
        <v>64</v>
      </c>
    </row>
    <row r="14" spans="2:12" ht="45" x14ac:dyDescent="0.25">
      <c r="B14" s="5" t="s">
        <v>65</v>
      </c>
      <c r="D14" s="1" t="s">
        <v>66</v>
      </c>
      <c r="F14" s="1" t="s">
        <v>67</v>
      </c>
    </row>
    <row r="15" spans="2:12" ht="45" x14ac:dyDescent="0.25">
      <c r="B15" s="5" t="s">
        <v>68</v>
      </c>
      <c r="C15" s="5"/>
      <c r="D15" s="1" t="s">
        <v>69</v>
      </c>
      <c r="F15" s="1" t="s">
        <v>70</v>
      </c>
    </row>
    <row r="16" spans="2:12" ht="30" x14ac:dyDescent="0.25">
      <c r="B16" s="5" t="s">
        <v>71</v>
      </c>
      <c r="C16" s="5"/>
      <c r="F16" s="1" t="s">
        <v>72</v>
      </c>
    </row>
    <row r="17" spans="2:6" ht="30" x14ac:dyDescent="0.25">
      <c r="B17" s="5" t="s">
        <v>73</v>
      </c>
      <c r="C17" s="5"/>
      <c r="F17" s="1" t="s">
        <v>74</v>
      </c>
    </row>
    <row r="18" spans="2:6" ht="45" x14ac:dyDescent="0.25">
      <c r="B18" s="5" t="s">
        <v>75</v>
      </c>
      <c r="C18" s="5"/>
      <c r="F18" s="1" t="s">
        <v>76</v>
      </c>
    </row>
    <row r="19" spans="2:6" ht="30" x14ac:dyDescent="0.25">
      <c r="B19" s="5" t="s">
        <v>77</v>
      </c>
      <c r="C19" s="5"/>
      <c r="F19" s="1" t="s">
        <v>78</v>
      </c>
    </row>
    <row r="20" spans="2:6" ht="31.5" x14ac:dyDescent="0.25">
      <c r="B20" s="5" t="s">
        <v>79</v>
      </c>
      <c r="C20" s="5"/>
      <c r="F20" s="1" t="s">
        <v>80</v>
      </c>
    </row>
    <row r="21" spans="2:6" ht="30" x14ac:dyDescent="0.25">
      <c r="F21" s="1" t="s">
        <v>81</v>
      </c>
    </row>
    <row r="22" spans="2:6" x14ac:dyDescent="0.25">
      <c r="F22" s="1" t="s">
        <v>82</v>
      </c>
    </row>
    <row r="29" spans="2:6" x14ac:dyDescent="0.25">
      <c r="B29" s="1" t="s">
        <v>83</v>
      </c>
      <c r="C29" s="1" t="s">
        <v>16</v>
      </c>
    </row>
    <row r="30" spans="2:6" x14ac:dyDescent="0.25">
      <c r="B30" s="1" t="s">
        <v>15</v>
      </c>
      <c r="C30" s="3" t="s">
        <v>18</v>
      </c>
    </row>
    <row r="31" spans="2:6" x14ac:dyDescent="0.25">
      <c r="B31" s="1" t="s">
        <v>25</v>
      </c>
      <c r="C31" s="3" t="s">
        <v>28</v>
      </c>
    </row>
    <row r="32" spans="2:6" x14ac:dyDescent="0.25">
      <c r="B32" s="1" t="s">
        <v>35</v>
      </c>
      <c r="C32" s="3" t="s">
        <v>17</v>
      </c>
    </row>
    <row r="33" spans="2:3" x14ac:dyDescent="0.25">
      <c r="B33" s="1" t="s">
        <v>42</v>
      </c>
      <c r="C33" s="3" t="s">
        <v>27</v>
      </c>
    </row>
    <row r="34" spans="2:3" x14ac:dyDescent="0.25">
      <c r="B34" s="1" t="s">
        <v>48</v>
      </c>
      <c r="C34" s="3" t="s">
        <v>36</v>
      </c>
    </row>
    <row r="37" spans="2:3" x14ac:dyDescent="0.25">
      <c r="B37" s="1" t="str">
        <f>$B$30&amp;C30</f>
        <v>Rara vezInsignificante</v>
      </c>
      <c r="C37" s="1" t="s">
        <v>84</v>
      </c>
    </row>
    <row r="38" spans="2:3" x14ac:dyDescent="0.25">
      <c r="B38" s="1" t="str">
        <f>$B$30&amp;C31</f>
        <v>Rara vezMenor</v>
      </c>
      <c r="C38" s="1" t="s">
        <v>84</v>
      </c>
    </row>
    <row r="39" spans="2:3" x14ac:dyDescent="0.25">
      <c r="B39" s="1" t="str">
        <f>$B$30&amp;C32</f>
        <v>Rara vezModerado</v>
      </c>
      <c r="C39" s="1" t="s">
        <v>85</v>
      </c>
    </row>
    <row r="40" spans="2:3" x14ac:dyDescent="0.25">
      <c r="B40" s="1" t="str">
        <f>$B$30&amp;C33</f>
        <v>Rara vezMayor</v>
      </c>
      <c r="C40" s="1" t="s">
        <v>86</v>
      </c>
    </row>
    <row r="41" spans="2:3" x14ac:dyDescent="0.25">
      <c r="B41" s="1" t="str">
        <f>$B$30&amp;C34</f>
        <v>Rara vezCatastrófico</v>
      </c>
      <c r="C41" s="1" t="s">
        <v>87</v>
      </c>
    </row>
    <row r="42" spans="2:3" x14ac:dyDescent="0.25">
      <c r="B42" s="1" t="str">
        <f>$B$31&amp;C30</f>
        <v>ImprobableInsignificante</v>
      </c>
      <c r="C42" s="1" t="s">
        <v>84</v>
      </c>
    </row>
    <row r="43" spans="2:3" x14ac:dyDescent="0.25">
      <c r="B43" s="1" t="str">
        <f>$B$31&amp;C31</f>
        <v>ImprobableMenor</v>
      </c>
      <c r="C43" s="1" t="s">
        <v>84</v>
      </c>
    </row>
    <row r="44" spans="2:3" x14ac:dyDescent="0.25">
      <c r="B44" s="1" t="str">
        <f>$B$31&amp;C32</f>
        <v>ImprobableModerado</v>
      </c>
      <c r="C44" s="1" t="s">
        <v>85</v>
      </c>
    </row>
    <row r="45" spans="2:3" x14ac:dyDescent="0.25">
      <c r="B45" s="1" t="str">
        <f>$B$31&amp;C33</f>
        <v>ImprobableMayor</v>
      </c>
      <c r="C45" s="1" t="s">
        <v>86</v>
      </c>
    </row>
    <row r="46" spans="2:3" x14ac:dyDescent="0.25">
      <c r="B46" s="1" t="str">
        <f>$B$31&amp;C34</f>
        <v>ImprobableCatastrófico</v>
      </c>
      <c r="C46" s="1" t="s">
        <v>87</v>
      </c>
    </row>
    <row r="47" spans="2:3" x14ac:dyDescent="0.25">
      <c r="B47" s="1" t="str">
        <f>$B$32&amp;C30</f>
        <v>PosibleInsignificante</v>
      </c>
      <c r="C47" s="1" t="s">
        <v>84</v>
      </c>
    </row>
    <row r="48" spans="2:3" x14ac:dyDescent="0.25">
      <c r="B48" s="1" t="str">
        <f>$B$32&amp;C31</f>
        <v>PosibleMenor</v>
      </c>
      <c r="C48" s="1" t="s">
        <v>85</v>
      </c>
    </row>
    <row r="49" spans="2:3" x14ac:dyDescent="0.25">
      <c r="B49" s="1" t="str">
        <f>$B$32&amp;C32</f>
        <v>PosibleModerado</v>
      </c>
      <c r="C49" s="1" t="s">
        <v>86</v>
      </c>
    </row>
    <row r="50" spans="2:3" x14ac:dyDescent="0.25">
      <c r="B50" s="1" t="str">
        <f>$B$32&amp;C33</f>
        <v>PosibleMayor</v>
      </c>
      <c r="C50" s="1" t="s">
        <v>87</v>
      </c>
    </row>
    <row r="51" spans="2:3" x14ac:dyDescent="0.25">
      <c r="B51" s="1" t="str">
        <f>$B$32&amp;C34</f>
        <v>PosibleCatastrófico</v>
      </c>
      <c r="C51" s="1" t="s">
        <v>87</v>
      </c>
    </row>
    <row r="52" spans="2:3" x14ac:dyDescent="0.25">
      <c r="B52" s="1" t="str">
        <f>$B$33&amp;C30</f>
        <v>ProbableInsignificante</v>
      </c>
      <c r="C52" s="1" t="s">
        <v>85</v>
      </c>
    </row>
    <row r="53" spans="2:3" x14ac:dyDescent="0.25">
      <c r="B53" s="1" t="str">
        <f>$B$33&amp;C31</f>
        <v>ProbableMenor</v>
      </c>
      <c r="C53" s="1" t="s">
        <v>86</v>
      </c>
    </row>
    <row r="54" spans="2:3" x14ac:dyDescent="0.25">
      <c r="B54" s="1" t="str">
        <f>$B$33&amp;C32</f>
        <v>ProbableModerado</v>
      </c>
      <c r="C54" s="1" t="s">
        <v>86</v>
      </c>
    </row>
    <row r="55" spans="2:3" x14ac:dyDescent="0.25">
      <c r="B55" s="1" t="str">
        <f>$B$33&amp;C33</f>
        <v>ProbableMayor</v>
      </c>
      <c r="C55" s="1" t="s">
        <v>87</v>
      </c>
    </row>
    <row r="56" spans="2:3" x14ac:dyDescent="0.25">
      <c r="B56" s="1" t="str">
        <f>$B$33&amp;C34</f>
        <v>ProbableCatastrófico</v>
      </c>
      <c r="C56" s="1" t="s">
        <v>87</v>
      </c>
    </row>
    <row r="57" spans="2:3" x14ac:dyDescent="0.25">
      <c r="B57" s="1" t="str">
        <f>$B$34&amp;C30</f>
        <v>Casi seguroInsignificante</v>
      </c>
      <c r="C57" s="1" t="s">
        <v>86</v>
      </c>
    </row>
    <row r="58" spans="2:3" x14ac:dyDescent="0.25">
      <c r="B58" s="1" t="str">
        <f>$B$34&amp;C31</f>
        <v>Casi seguroMenor</v>
      </c>
      <c r="C58" s="1" t="s">
        <v>86</v>
      </c>
    </row>
    <row r="59" spans="2:3" x14ac:dyDescent="0.25">
      <c r="B59" s="1" t="str">
        <f>$B$34&amp;C32</f>
        <v>Casi seguroModerado</v>
      </c>
      <c r="C59" s="1" t="s">
        <v>87</v>
      </c>
    </row>
    <row r="60" spans="2:3" x14ac:dyDescent="0.25">
      <c r="B60" s="1" t="str">
        <f>$B$34&amp;C33</f>
        <v>Casi seguroMayor</v>
      </c>
      <c r="C60" s="1" t="s">
        <v>87</v>
      </c>
    </row>
    <row r="61" spans="2:3" x14ac:dyDescent="0.25">
      <c r="B61" s="1" t="str">
        <f>$B$34&amp;C34</f>
        <v>Casi seguroCatastrófico</v>
      </c>
      <c r="C61" s="1" t="s">
        <v>87</v>
      </c>
    </row>
    <row r="64" spans="2:3" x14ac:dyDescent="0.25">
      <c r="B64" s="1" t="s">
        <v>88</v>
      </c>
      <c r="C64" s="1" t="s">
        <v>88</v>
      </c>
    </row>
    <row r="65" spans="2:4" x14ac:dyDescent="0.25">
      <c r="B65" s="1" t="s">
        <v>17</v>
      </c>
      <c r="C65" s="1" t="s">
        <v>17</v>
      </c>
    </row>
    <row r="66" spans="2:4" x14ac:dyDescent="0.25">
      <c r="B66" s="1" t="s">
        <v>89</v>
      </c>
      <c r="C66" s="1" t="s">
        <v>89</v>
      </c>
    </row>
    <row r="69" spans="2:4" x14ac:dyDescent="0.25">
      <c r="B69" s="1" t="str">
        <f>$B$64&amp;C64</f>
        <v>FuerteFuerte</v>
      </c>
      <c r="C69" s="1" t="s">
        <v>90</v>
      </c>
      <c r="D69" s="1" t="s">
        <v>88</v>
      </c>
    </row>
    <row r="70" spans="2:4" x14ac:dyDescent="0.25">
      <c r="B70" s="1" t="str">
        <f>$B$64&amp;C65</f>
        <v>FuerteModerado</v>
      </c>
      <c r="C70" s="1" t="s">
        <v>91</v>
      </c>
      <c r="D70" s="1" t="s">
        <v>17</v>
      </c>
    </row>
    <row r="71" spans="2:4" x14ac:dyDescent="0.25">
      <c r="B71" s="1" t="str">
        <f>$B$64&amp;C66</f>
        <v>FuerteDébil</v>
      </c>
      <c r="C71" s="1" t="s">
        <v>91</v>
      </c>
      <c r="D71" s="1" t="s">
        <v>89</v>
      </c>
    </row>
    <row r="72" spans="2:4" x14ac:dyDescent="0.25">
      <c r="B72" s="1" t="str">
        <f>$B$65&amp;C64</f>
        <v>ModeradoFuerte</v>
      </c>
      <c r="C72" s="1" t="s">
        <v>91</v>
      </c>
      <c r="D72" s="1" t="s">
        <v>17</v>
      </c>
    </row>
    <row r="73" spans="2:4" x14ac:dyDescent="0.25">
      <c r="B73" s="1" t="str">
        <f>$B$65&amp;C65</f>
        <v>ModeradoModerado</v>
      </c>
      <c r="C73" s="1" t="s">
        <v>91</v>
      </c>
      <c r="D73" s="1" t="s">
        <v>17</v>
      </c>
    </row>
    <row r="74" spans="2:4" x14ac:dyDescent="0.25">
      <c r="B74" s="1" t="str">
        <f>$B$65&amp;C66</f>
        <v>ModeradoDébil</v>
      </c>
      <c r="C74" s="1" t="s">
        <v>91</v>
      </c>
      <c r="D74" s="1" t="s">
        <v>89</v>
      </c>
    </row>
    <row r="75" spans="2:4" x14ac:dyDescent="0.25">
      <c r="B75" s="1" t="str">
        <f>$B$66&amp;C64</f>
        <v>DébilFuerte</v>
      </c>
      <c r="C75" s="1" t="s">
        <v>91</v>
      </c>
      <c r="D75" s="1" t="s">
        <v>89</v>
      </c>
    </row>
    <row r="76" spans="2:4" x14ac:dyDescent="0.25">
      <c r="B76" s="1" t="str">
        <f>$B$66&amp;C65</f>
        <v>DébilModerado</v>
      </c>
      <c r="C76" s="1" t="s">
        <v>91</v>
      </c>
      <c r="D76" s="1" t="s">
        <v>89</v>
      </c>
    </row>
    <row r="77" spans="2:4" x14ac:dyDescent="0.25">
      <c r="B77" s="1" t="str">
        <f>$B$66&amp;C66</f>
        <v>DébilDébil</v>
      </c>
      <c r="C77" s="1" t="s">
        <v>91</v>
      </c>
      <c r="D77" s="1" t="s">
        <v>89</v>
      </c>
    </row>
    <row r="80" spans="2:4" x14ac:dyDescent="0.25">
      <c r="B80" s="1" t="s">
        <v>88</v>
      </c>
      <c r="C80" s="1" t="s">
        <v>92</v>
      </c>
      <c r="D80" s="1" t="s">
        <v>92</v>
      </c>
    </row>
    <row r="81" spans="2:4" x14ac:dyDescent="0.25">
      <c r="B81" s="1" t="s">
        <v>17</v>
      </c>
      <c r="C81" s="1" t="s">
        <v>93</v>
      </c>
      <c r="D81" s="1" t="s">
        <v>94</v>
      </c>
    </row>
    <row r="82" spans="2:4" x14ac:dyDescent="0.25">
      <c r="D82" s="1" t="s">
        <v>93</v>
      </c>
    </row>
    <row r="85" spans="2:4" x14ac:dyDescent="0.25">
      <c r="B85" s="1" t="s">
        <v>88</v>
      </c>
      <c r="C85" s="1" t="s">
        <v>92</v>
      </c>
      <c r="D85" s="1" t="s">
        <v>92</v>
      </c>
    </row>
    <row r="86" spans="2:4" x14ac:dyDescent="0.25">
      <c r="B86" s="1" t="s">
        <v>88</v>
      </c>
      <c r="C86" s="1" t="s">
        <v>92</v>
      </c>
      <c r="D86" s="1" t="s">
        <v>94</v>
      </c>
    </row>
    <row r="87" spans="2:4" x14ac:dyDescent="0.25">
      <c r="B87" s="1" t="s">
        <v>88</v>
      </c>
      <c r="C87" s="1" t="s">
        <v>92</v>
      </c>
      <c r="D87" s="1" t="s">
        <v>93</v>
      </c>
    </row>
    <row r="88" spans="2:4" x14ac:dyDescent="0.25">
      <c r="B88" s="1" t="s">
        <v>88</v>
      </c>
      <c r="C88" s="1" t="s">
        <v>93</v>
      </c>
      <c r="D88" s="1" t="s">
        <v>92</v>
      </c>
    </row>
    <row r="89" spans="2:4" x14ac:dyDescent="0.25">
      <c r="B89" s="1" t="s">
        <v>17</v>
      </c>
      <c r="C89" s="1" t="s">
        <v>92</v>
      </c>
      <c r="D89" s="1" t="s">
        <v>92</v>
      </c>
    </row>
    <row r="90" spans="2:4" x14ac:dyDescent="0.25">
      <c r="B90" s="1" t="s">
        <v>17</v>
      </c>
      <c r="C90" s="1" t="s">
        <v>92</v>
      </c>
      <c r="D90" s="1" t="s">
        <v>94</v>
      </c>
    </row>
    <row r="91" spans="2:4" x14ac:dyDescent="0.25">
      <c r="B91" s="1" t="s">
        <v>17</v>
      </c>
      <c r="C91" s="1" t="s">
        <v>92</v>
      </c>
      <c r="D91" s="1" t="s">
        <v>93</v>
      </c>
    </row>
    <row r="92" spans="2:4" x14ac:dyDescent="0.25">
      <c r="B92" s="1" t="s">
        <v>17</v>
      </c>
      <c r="C92" s="1" t="s">
        <v>93</v>
      </c>
      <c r="D92" s="1" t="s">
        <v>92</v>
      </c>
    </row>
    <row r="94" spans="2:4" x14ac:dyDescent="0.25">
      <c r="B94" s="1" t="str">
        <f>+B85&amp;C85&amp;D85</f>
        <v>FuerteDirectamenteDirectamente</v>
      </c>
      <c r="C94" s="1">
        <v>2</v>
      </c>
      <c r="D94" s="1">
        <v>2</v>
      </c>
    </row>
    <row r="95" spans="2:4" x14ac:dyDescent="0.25">
      <c r="B95" s="1" t="str">
        <f t="shared" ref="B95:B101" si="0">+B86&amp;C86&amp;D86</f>
        <v>FuerteDirectamenteIndirectamente</v>
      </c>
      <c r="C95" s="1">
        <v>2</v>
      </c>
      <c r="D95" s="1">
        <v>1</v>
      </c>
    </row>
    <row r="96" spans="2:4" x14ac:dyDescent="0.25">
      <c r="B96" s="1" t="str">
        <f t="shared" si="0"/>
        <v>FuerteDirectamenteNo disminuye</v>
      </c>
      <c r="C96" s="1">
        <v>2</v>
      </c>
      <c r="D96" s="1">
        <v>0</v>
      </c>
    </row>
    <row r="97" spans="2:4" x14ac:dyDescent="0.25">
      <c r="B97" s="1" t="str">
        <f t="shared" si="0"/>
        <v>FuerteNo disminuyeDirectamente</v>
      </c>
      <c r="C97" s="1">
        <v>0</v>
      </c>
      <c r="D97" s="1">
        <v>2</v>
      </c>
    </row>
    <row r="98" spans="2:4" x14ac:dyDescent="0.25">
      <c r="B98" s="1" t="str">
        <f t="shared" si="0"/>
        <v>ModeradoDirectamenteDirectamente</v>
      </c>
      <c r="C98" s="1">
        <v>1</v>
      </c>
      <c r="D98" s="1">
        <v>1</v>
      </c>
    </row>
    <row r="99" spans="2:4" x14ac:dyDescent="0.25">
      <c r="B99" s="1" t="str">
        <f t="shared" si="0"/>
        <v>ModeradoDirectamenteIndirectamente</v>
      </c>
      <c r="C99" s="1">
        <v>1</v>
      </c>
      <c r="D99" s="1">
        <v>0</v>
      </c>
    </row>
    <row r="100" spans="2:4" x14ac:dyDescent="0.25">
      <c r="B100" s="1" t="str">
        <f t="shared" si="0"/>
        <v>ModeradoDirectamenteNo disminuye</v>
      </c>
      <c r="C100" s="1">
        <v>1</v>
      </c>
      <c r="D100" s="1">
        <v>0</v>
      </c>
    </row>
    <row r="101" spans="2:4" x14ac:dyDescent="0.25">
      <c r="B101" s="1" t="str">
        <f t="shared" si="0"/>
        <v>ModeradoNo disminuyeDirectamente</v>
      </c>
      <c r="C101" s="1">
        <v>0</v>
      </c>
      <c r="D101" s="1">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08"/>
  <sheetViews>
    <sheetView showGridLines="0" tabSelected="1" zoomScale="50" zoomScaleNormal="50" zoomScaleSheetLayoutView="40" zoomScalePageLayoutView="68" workbookViewId="0">
      <pane xSplit="10" ySplit="10" topLeftCell="K102" activePane="bottomRight" state="frozen"/>
      <selection pane="topRight" activeCell="K1" sqref="K1"/>
      <selection pane="bottomLeft" activeCell="A11" sqref="A11"/>
      <selection pane="bottomRight" activeCell="L101" sqref="L101:L102"/>
    </sheetView>
  </sheetViews>
  <sheetFormatPr baseColWidth="10" defaultColWidth="11.42578125" defaultRowHeight="11.25" x14ac:dyDescent="0.25"/>
  <cols>
    <col min="1" max="1" width="4.28515625" style="11" customWidth="1"/>
    <col min="2" max="2" width="20.7109375" style="11" customWidth="1"/>
    <col min="3" max="3" width="7.5703125" style="11" customWidth="1"/>
    <col min="4" max="4" width="32.42578125" style="11" customWidth="1"/>
    <col min="5" max="5" width="37.42578125" style="11" customWidth="1"/>
    <col min="6" max="6" width="14" style="11" customWidth="1"/>
    <col min="7" max="7" width="9" style="11" customWidth="1"/>
    <col min="8" max="8" width="12.28515625" style="11" customWidth="1"/>
    <col min="9" max="10" width="11.7109375" style="11" customWidth="1"/>
    <col min="11" max="11" width="35.28515625" style="11" customWidth="1"/>
    <col min="12" max="12" width="26.7109375" style="11" customWidth="1"/>
    <col min="13" max="13" width="26.7109375" style="11" hidden="1" customWidth="1"/>
    <col min="14" max="14" width="13.85546875" style="11" customWidth="1" collapsed="1"/>
    <col min="15" max="15" width="13.85546875" style="11" customWidth="1"/>
    <col min="16" max="16" width="22.5703125" style="11" hidden="1" customWidth="1"/>
    <col min="17" max="17" width="22.5703125" style="11" customWidth="1"/>
    <col min="18" max="18" width="31.42578125" style="11" customWidth="1" collapsed="1"/>
    <col min="19" max="19" width="31.42578125" style="11" customWidth="1"/>
    <col min="20" max="20" width="34.42578125" style="11" customWidth="1"/>
    <col min="21" max="21" width="23.28515625" style="11" hidden="1" customWidth="1"/>
    <col min="22" max="22" width="34.5703125" style="11" customWidth="1"/>
    <col min="23" max="23" width="23.28515625" style="11" hidden="1" customWidth="1"/>
    <col min="24" max="24" width="39.7109375" style="11" customWidth="1"/>
    <col min="25" max="25" width="23.28515625" style="11" hidden="1" customWidth="1"/>
    <col min="26" max="26" width="39.7109375" style="11" customWidth="1"/>
    <col min="27" max="27" width="23.28515625" style="11" hidden="1" customWidth="1"/>
    <col min="28" max="28" width="36.28515625" style="11" customWidth="1"/>
    <col min="29" max="29" width="23.28515625" style="11" hidden="1" customWidth="1"/>
    <col min="30" max="30" width="39.7109375" style="11" customWidth="1"/>
    <col min="31" max="31" width="20" style="11" hidden="1" customWidth="1"/>
    <col min="32" max="32" width="34.5703125" style="11" customWidth="1"/>
    <col min="33" max="33" width="20" style="11" hidden="1" customWidth="1"/>
    <col min="34" max="34" width="14.5703125" style="11" customWidth="1"/>
    <col min="35" max="35" width="20" style="11" customWidth="1"/>
    <col min="36" max="36" width="23" style="11" customWidth="1"/>
    <col min="37" max="37" width="22.42578125" style="11" customWidth="1"/>
    <col min="38" max="38" width="17.28515625" style="11" hidden="1" customWidth="1"/>
    <col min="39" max="40" width="17.28515625" style="11" customWidth="1"/>
    <col min="41" max="41" width="27" style="11" customWidth="1"/>
    <col min="42" max="42" width="12.28515625" style="11" customWidth="1"/>
    <col min="43" max="43" width="14.5703125" style="11" customWidth="1"/>
    <col min="44" max="45" width="23.28515625" style="11" customWidth="1"/>
    <col min="46" max="46" width="17.28515625" style="11" hidden="1" customWidth="1"/>
    <col min="47" max="48" width="20" style="11" customWidth="1"/>
    <col min="49" max="50" width="20.42578125" style="11" customWidth="1"/>
    <col min="51" max="51" width="19.7109375" style="11" hidden="1" customWidth="1"/>
    <col min="52" max="53" width="19.7109375" style="11" customWidth="1"/>
    <col min="54" max="54" width="27.28515625" style="92" customWidth="1"/>
    <col min="55" max="56" width="20.42578125" style="92" customWidth="1"/>
    <col min="57" max="59" width="27.28515625" style="92" customWidth="1"/>
    <col min="60" max="60" width="22.7109375" style="92" customWidth="1"/>
    <col min="61" max="61" width="21.5703125" style="92" customWidth="1"/>
    <col min="62" max="62" width="15.28515625" style="92" customWidth="1"/>
    <col min="63" max="16384" width="11.42578125" style="11"/>
  </cols>
  <sheetData>
    <row r="1" spans="1:62" x14ac:dyDescent="0.25">
      <c r="BB1" s="11"/>
      <c r="BC1" s="11"/>
      <c r="BD1" s="11"/>
      <c r="BE1" s="11"/>
      <c r="BF1" s="11"/>
      <c r="BG1" s="11"/>
      <c r="BH1" s="11"/>
      <c r="BI1" s="11"/>
      <c r="BJ1" s="11"/>
    </row>
    <row r="2" spans="1:62" ht="7.5" hidden="1" customHeight="1" x14ac:dyDescent="0.25">
      <c r="B2" s="238" t="s">
        <v>95</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40"/>
    </row>
    <row r="3" spans="1:62" ht="7.5" hidden="1" customHeight="1" x14ac:dyDescent="0.25">
      <c r="B3" s="241"/>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3"/>
    </row>
    <row r="4" spans="1:62" ht="7.5" hidden="1" customHeight="1" x14ac:dyDescent="0.25">
      <c r="B4" s="241"/>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3"/>
    </row>
    <row r="5" spans="1:62" ht="7.5" hidden="1" customHeight="1" thickBot="1" x14ac:dyDescent="0.3">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6"/>
    </row>
    <row r="6" spans="1:62" ht="73.5" hidden="1" customHeight="1" x14ac:dyDescent="0.25">
      <c r="BB6" s="11"/>
      <c r="BC6" s="11"/>
      <c r="BD6" s="11"/>
      <c r="BE6" s="11"/>
      <c r="BF6" s="11"/>
      <c r="BG6" s="11"/>
      <c r="BH6" s="11"/>
      <c r="BI6" s="11"/>
      <c r="BJ6" s="11"/>
    </row>
    <row r="7" spans="1:62" s="6" customFormat="1" ht="7.5" customHeight="1" thickBot="1" x14ac:dyDescent="0.3">
      <c r="M7" s="9"/>
      <c r="P7" s="10"/>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62" s="6" customFormat="1" ht="9.75" customHeight="1" x14ac:dyDescent="0.25">
      <c r="B8" s="431" t="s">
        <v>96</v>
      </c>
      <c r="C8" s="428" t="s">
        <v>97</v>
      </c>
      <c r="D8" s="428" t="s">
        <v>98</v>
      </c>
      <c r="E8" s="429" t="s">
        <v>99</v>
      </c>
      <c r="F8" s="428" t="s">
        <v>100</v>
      </c>
      <c r="G8" s="429" t="s">
        <v>101</v>
      </c>
      <c r="H8" s="428" t="s">
        <v>102</v>
      </c>
      <c r="I8" s="429" t="s">
        <v>103</v>
      </c>
      <c r="J8" s="428" t="s">
        <v>104</v>
      </c>
      <c r="K8" s="428" t="s">
        <v>105</v>
      </c>
      <c r="L8" s="429" t="s">
        <v>106</v>
      </c>
      <c r="M8" s="430"/>
      <c r="N8" s="429" t="s">
        <v>107</v>
      </c>
      <c r="O8" s="429"/>
      <c r="P8" s="429"/>
      <c r="Q8" s="171" t="s">
        <v>108</v>
      </c>
      <c r="R8" s="429" t="s">
        <v>109</v>
      </c>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32" t="s">
        <v>110</v>
      </c>
      <c r="AX8" s="433"/>
      <c r="AY8" s="433"/>
      <c r="AZ8" s="434"/>
      <c r="BA8" s="435" t="s">
        <v>111</v>
      </c>
      <c r="BB8" s="431" t="s">
        <v>112</v>
      </c>
      <c r="BC8" s="428"/>
      <c r="BD8" s="428"/>
      <c r="BE8" s="428"/>
      <c r="BF8" s="428"/>
      <c r="BG8" s="428" t="s">
        <v>113</v>
      </c>
      <c r="BH8" s="428"/>
      <c r="BI8" s="428"/>
      <c r="BJ8" s="428"/>
    </row>
    <row r="9" spans="1:62" s="6" customFormat="1" ht="9.75" customHeight="1" x14ac:dyDescent="0.25">
      <c r="B9" s="407"/>
      <c r="C9" s="409"/>
      <c r="D9" s="409"/>
      <c r="E9" s="403"/>
      <c r="F9" s="409"/>
      <c r="G9" s="403"/>
      <c r="H9" s="409"/>
      <c r="I9" s="403"/>
      <c r="J9" s="409"/>
      <c r="K9" s="409"/>
      <c r="L9" s="403"/>
      <c r="M9" s="421"/>
      <c r="N9" s="403" t="s">
        <v>5</v>
      </c>
      <c r="O9" s="403" t="s">
        <v>114</v>
      </c>
      <c r="P9" s="403"/>
      <c r="Q9" s="411" t="s">
        <v>115</v>
      </c>
      <c r="R9" s="403" t="s">
        <v>116</v>
      </c>
      <c r="S9" s="403"/>
      <c r="T9" s="403" t="s">
        <v>117</v>
      </c>
      <c r="U9" s="60"/>
      <c r="V9" s="403" t="s">
        <v>118</v>
      </c>
      <c r="W9" s="60"/>
      <c r="X9" s="403" t="s">
        <v>119</v>
      </c>
      <c r="Y9" s="60"/>
      <c r="Z9" s="403" t="s">
        <v>120</v>
      </c>
      <c r="AA9" s="60"/>
      <c r="AB9" s="403" t="s">
        <v>121</v>
      </c>
      <c r="AC9" s="60"/>
      <c r="AD9" s="403" t="s">
        <v>122</v>
      </c>
      <c r="AE9" s="60"/>
      <c r="AF9" s="403" t="s">
        <v>123</v>
      </c>
      <c r="AG9" s="60"/>
      <c r="AH9" s="403" t="s">
        <v>124</v>
      </c>
      <c r="AI9" s="403" t="s">
        <v>125</v>
      </c>
      <c r="AJ9" s="403" t="s">
        <v>126</v>
      </c>
      <c r="AK9" s="403"/>
      <c r="AL9" s="164"/>
      <c r="AM9" s="403" t="s">
        <v>127</v>
      </c>
      <c r="AN9" s="403"/>
      <c r="AO9" s="403" t="s">
        <v>128</v>
      </c>
      <c r="AP9" s="403" t="s">
        <v>129</v>
      </c>
      <c r="AQ9" s="403"/>
      <c r="AR9" s="403" t="s">
        <v>130</v>
      </c>
      <c r="AS9" s="403" t="s">
        <v>131</v>
      </c>
      <c r="AT9" s="60"/>
      <c r="AU9" s="403" t="s">
        <v>132</v>
      </c>
      <c r="AV9" s="403"/>
      <c r="AW9" s="409" t="s">
        <v>5</v>
      </c>
      <c r="AX9" s="409" t="s">
        <v>114</v>
      </c>
      <c r="AY9" s="421"/>
      <c r="AZ9" s="409" t="s">
        <v>115</v>
      </c>
      <c r="BA9" s="436"/>
      <c r="BB9" s="407" t="s">
        <v>133</v>
      </c>
      <c r="BC9" s="409" t="s">
        <v>134</v>
      </c>
      <c r="BD9" s="409" t="s">
        <v>135</v>
      </c>
      <c r="BE9" s="409" t="s">
        <v>136</v>
      </c>
      <c r="BF9" s="409" t="s">
        <v>137</v>
      </c>
      <c r="BG9" s="409" t="s">
        <v>138</v>
      </c>
      <c r="BH9" s="409" t="s">
        <v>134</v>
      </c>
      <c r="BI9" s="409" t="s">
        <v>135</v>
      </c>
      <c r="BJ9" s="409" t="s">
        <v>136</v>
      </c>
    </row>
    <row r="10" spans="1:62" s="6" customFormat="1" ht="63.75" x14ac:dyDescent="0.25">
      <c r="B10" s="408"/>
      <c r="C10" s="410"/>
      <c r="D10" s="410"/>
      <c r="E10" s="404"/>
      <c r="F10" s="410"/>
      <c r="G10" s="404"/>
      <c r="H10" s="410"/>
      <c r="I10" s="404"/>
      <c r="J10" s="410"/>
      <c r="K10" s="410"/>
      <c r="L10" s="404"/>
      <c r="M10" s="422"/>
      <c r="N10" s="404"/>
      <c r="O10" s="404"/>
      <c r="P10" s="404"/>
      <c r="Q10" s="412"/>
      <c r="R10" s="404"/>
      <c r="S10" s="404"/>
      <c r="T10" s="404"/>
      <c r="U10" s="165"/>
      <c r="V10" s="404"/>
      <c r="W10" s="165"/>
      <c r="X10" s="404"/>
      <c r="Y10" s="165"/>
      <c r="Z10" s="404"/>
      <c r="AA10" s="165"/>
      <c r="AB10" s="404"/>
      <c r="AC10" s="165"/>
      <c r="AD10" s="404"/>
      <c r="AE10" s="165"/>
      <c r="AF10" s="404"/>
      <c r="AG10" s="165"/>
      <c r="AH10" s="404"/>
      <c r="AI10" s="404"/>
      <c r="AJ10" s="404"/>
      <c r="AK10" s="404"/>
      <c r="AL10" s="61"/>
      <c r="AM10" s="404"/>
      <c r="AN10" s="404"/>
      <c r="AO10" s="404"/>
      <c r="AP10" s="404"/>
      <c r="AQ10" s="404"/>
      <c r="AR10" s="404"/>
      <c r="AS10" s="404"/>
      <c r="AT10" s="61"/>
      <c r="AU10" s="61" t="s">
        <v>139</v>
      </c>
      <c r="AV10" s="61" t="s">
        <v>140</v>
      </c>
      <c r="AW10" s="410"/>
      <c r="AX10" s="410"/>
      <c r="AY10" s="422"/>
      <c r="AZ10" s="410"/>
      <c r="BA10" s="437"/>
      <c r="BB10" s="408"/>
      <c r="BC10" s="410"/>
      <c r="BD10" s="410"/>
      <c r="BE10" s="410"/>
      <c r="BF10" s="410"/>
      <c r="BG10" s="410"/>
      <c r="BH10" s="410"/>
      <c r="BI10" s="410"/>
      <c r="BJ10" s="410"/>
    </row>
    <row r="11" spans="1:62" s="59" customFormat="1" ht="76.5" customHeight="1" x14ac:dyDescent="0.25">
      <c r="A11" s="469"/>
      <c r="B11" s="247" t="s">
        <v>10</v>
      </c>
      <c r="C11" s="276">
        <v>1</v>
      </c>
      <c r="D11" s="278" t="s">
        <v>141</v>
      </c>
      <c r="E11" s="280" t="s">
        <v>142</v>
      </c>
      <c r="F11" s="276" t="s">
        <v>11</v>
      </c>
      <c r="G11" s="276" t="s">
        <v>12</v>
      </c>
      <c r="H11" s="278" t="s">
        <v>143</v>
      </c>
      <c r="I11" s="401"/>
      <c r="J11" s="405"/>
      <c r="K11" s="138" t="s">
        <v>144</v>
      </c>
      <c r="L11" s="344" t="s">
        <v>145</v>
      </c>
      <c r="M11" s="342" t="str">
        <f>IF(F11="gestion","impacto",IF(F11="corrupcion","impactocorrupcion",IF(F11="seguridad_de_la_informacion","impacto","")))</f>
        <v>impacto</v>
      </c>
      <c r="N11" s="341" t="s">
        <v>35</v>
      </c>
      <c r="O11" s="341" t="s">
        <v>17</v>
      </c>
      <c r="P11" s="342" t="str">
        <f>N11&amp;O11</f>
        <v>PosibleModerado</v>
      </c>
      <c r="Q11" s="343" t="str">
        <f>IFERROR(VLOOKUP(P11,FORMULAS!$B$37:$C$61,2,FALSE),"")</f>
        <v>Riesgo alto</v>
      </c>
      <c r="R11" s="380" t="s">
        <v>146</v>
      </c>
      <c r="S11" s="380"/>
      <c r="T11" s="121" t="s">
        <v>147</v>
      </c>
      <c r="U11" s="67">
        <f t="shared" ref="U11:U24" si="0">IF(T11="Asignado",15,0)</f>
        <v>15</v>
      </c>
      <c r="V11" s="121" t="s">
        <v>148</v>
      </c>
      <c r="W11" s="67">
        <f t="shared" ref="W11:W24" si="1">IF(V11="Adecuado",15,0)</f>
        <v>15</v>
      </c>
      <c r="X11" s="121" t="s">
        <v>149</v>
      </c>
      <c r="Y11" s="67">
        <f t="shared" ref="Y11:Y24" si="2">IF(X11="Oportuna",15,0)</f>
        <v>15</v>
      </c>
      <c r="Z11" s="121" t="s">
        <v>150</v>
      </c>
      <c r="AA11" s="67">
        <f t="shared" ref="AA11:AA24" si="3">IF(Z11="Prevenir",15,IF(Z11="Detectar",10,0))</f>
        <v>15</v>
      </c>
      <c r="AB11" s="121" t="s">
        <v>151</v>
      </c>
      <c r="AC11" s="67">
        <f t="shared" ref="AC11:AC24" si="4">IF(AB11="Confiable",15,0)</f>
        <v>15</v>
      </c>
      <c r="AD11" s="121" t="s">
        <v>152</v>
      </c>
      <c r="AE11" s="67">
        <f t="shared" ref="AE11:AE24" si="5">IF(AD11="Se investigan y resuelven oportunamente",15,0)</f>
        <v>15</v>
      </c>
      <c r="AF11" s="121" t="s">
        <v>153</v>
      </c>
      <c r="AG11" s="123">
        <f t="shared" ref="AG11:AG24" si="6">IF(AF11="Completa",10,IF(AF11="incompleta",5,0))</f>
        <v>10</v>
      </c>
      <c r="AH11" s="127">
        <f t="shared" ref="AH11:AH42" si="7">U11+W11+Y11+AA11+AC11+AE11+AG11</f>
        <v>100</v>
      </c>
      <c r="AI11" s="127" t="str">
        <f t="shared" ref="AI11:AI24" si="8">IF(AH11&gt;=96,"Fuerte",IF(AH11&gt;=86,"Moderado",IF(AH11&gt;=1,"Débil","")))</f>
        <v>Fuerte</v>
      </c>
      <c r="AJ11" s="119" t="s">
        <v>154</v>
      </c>
      <c r="AK11" s="127" t="str">
        <f t="shared" ref="AK11:AK24" si="9">IF(AJ11="Siempre se ejecuta","Fuerte",IF(AJ11="Algunas veces","Moderado",IF(AJ11="no se ejecuta","Débil","")))</f>
        <v>Fuerte</v>
      </c>
      <c r="AL11" s="127" t="str">
        <f t="shared" ref="AL11:AL24" si="10">AI11&amp;AK11</f>
        <v>FuerteFuerte</v>
      </c>
      <c r="AM11" s="127" t="str">
        <f>IFERROR(VLOOKUP(AL11,FORMULAS!$B$69:$D$77,3,FALSE),"")</f>
        <v>Fuerte</v>
      </c>
      <c r="AN11" s="127">
        <f t="shared" ref="AN11:AN24" si="11">IF(AM11="fuerte",100,IF(AM11="Moderado",50,IF(AM11="débil",0,"")))</f>
        <v>100</v>
      </c>
      <c r="AO11" s="127" t="str">
        <f>IFERROR(VLOOKUP(AL11,FORMULAS!$B$69:$D$77,2,FALSE),"")</f>
        <v>No</v>
      </c>
      <c r="AP11" s="306">
        <f>IFERROR(AVERAGE(AN11:AN12),0)</f>
        <v>100</v>
      </c>
      <c r="AQ11" s="306" t="str">
        <f>IF(AP11&gt;=100,"Fuerte",IF(AP11&gt;=50,"Moderado",IF(AP11&gt;=1,"Débil","")))</f>
        <v>Fuerte</v>
      </c>
      <c r="AR11" s="308" t="s">
        <v>92</v>
      </c>
      <c r="AS11" s="308" t="s">
        <v>94</v>
      </c>
      <c r="AT11" s="306" t="str">
        <f>+AQ11&amp;AR11&amp;AS11</f>
        <v>FuerteDirectamenteIndirectamente</v>
      </c>
      <c r="AU11" s="306">
        <f>IFERROR(VLOOKUP(AT11,FORMULAS!$B$94:$D$101,2,FALSE),0)</f>
        <v>2</v>
      </c>
      <c r="AV11" s="306">
        <f>IFERROR(VLOOKUP(AT11,FORMULAS!$B$94:$D$101,3,FALSE),0)</f>
        <v>1</v>
      </c>
      <c r="AW11" s="341" t="s">
        <v>25</v>
      </c>
      <c r="AX11" s="341" t="s">
        <v>17</v>
      </c>
      <c r="AY11" s="342" t="str">
        <f>AW11&amp;AX11</f>
        <v>ImprobableModerado</v>
      </c>
      <c r="AZ11" s="356" t="str">
        <f>IFERROR(VLOOKUP(AY11,FORMULAS!$B$37:$C$61,2,FALSE),"")</f>
        <v>Riesgo moderado</v>
      </c>
      <c r="BA11" s="343" t="s">
        <v>29</v>
      </c>
      <c r="BB11" s="93" t="s">
        <v>155</v>
      </c>
      <c r="BC11" s="187" t="s">
        <v>156</v>
      </c>
      <c r="BD11" s="187" t="s">
        <v>157</v>
      </c>
      <c r="BE11" s="189" t="s">
        <v>158</v>
      </c>
      <c r="BF11" s="145"/>
      <c r="BG11" s="259" t="s">
        <v>159</v>
      </c>
      <c r="BH11" s="261" t="s">
        <v>160</v>
      </c>
      <c r="BI11" s="261" t="s">
        <v>161</v>
      </c>
      <c r="BJ11" s="399" t="s">
        <v>162</v>
      </c>
    </row>
    <row r="12" spans="1:62" s="59" customFormat="1" ht="60.75" customHeight="1" x14ac:dyDescent="0.25">
      <c r="A12" s="469"/>
      <c r="B12" s="248"/>
      <c r="C12" s="277"/>
      <c r="D12" s="279"/>
      <c r="E12" s="281"/>
      <c r="F12" s="277"/>
      <c r="G12" s="277"/>
      <c r="H12" s="279"/>
      <c r="I12" s="402"/>
      <c r="J12" s="406"/>
      <c r="K12" s="137" t="s">
        <v>163</v>
      </c>
      <c r="L12" s="366"/>
      <c r="M12" s="355"/>
      <c r="N12" s="368"/>
      <c r="O12" s="368"/>
      <c r="P12" s="355"/>
      <c r="Q12" s="369"/>
      <c r="R12" s="379" t="s">
        <v>164</v>
      </c>
      <c r="S12" s="379"/>
      <c r="T12" s="122" t="s">
        <v>147</v>
      </c>
      <c r="U12" s="69">
        <f t="shared" si="0"/>
        <v>15</v>
      </c>
      <c r="V12" s="122" t="s">
        <v>148</v>
      </c>
      <c r="W12" s="69">
        <f t="shared" si="1"/>
        <v>15</v>
      </c>
      <c r="X12" s="122" t="s">
        <v>149</v>
      </c>
      <c r="Y12" s="69">
        <f t="shared" si="2"/>
        <v>15</v>
      </c>
      <c r="Z12" s="122" t="s">
        <v>150</v>
      </c>
      <c r="AA12" s="69">
        <f t="shared" si="3"/>
        <v>15</v>
      </c>
      <c r="AB12" s="122" t="s">
        <v>151</v>
      </c>
      <c r="AC12" s="69">
        <f t="shared" si="4"/>
        <v>15</v>
      </c>
      <c r="AD12" s="122" t="s">
        <v>152</v>
      </c>
      <c r="AE12" s="69">
        <f t="shared" si="5"/>
        <v>15</v>
      </c>
      <c r="AF12" s="122" t="s">
        <v>153</v>
      </c>
      <c r="AG12" s="124">
        <f t="shared" si="6"/>
        <v>10</v>
      </c>
      <c r="AH12" s="129">
        <f t="shared" si="7"/>
        <v>100</v>
      </c>
      <c r="AI12" s="129" t="str">
        <f t="shared" si="8"/>
        <v>Fuerte</v>
      </c>
      <c r="AJ12" s="120" t="s">
        <v>154</v>
      </c>
      <c r="AK12" s="129" t="str">
        <f t="shared" si="9"/>
        <v>Fuerte</v>
      </c>
      <c r="AL12" s="129" t="str">
        <f t="shared" si="10"/>
        <v>FuerteFuerte</v>
      </c>
      <c r="AM12" s="129" t="str">
        <f>IFERROR(VLOOKUP(AL12,FORMULAS!$B$69:$D$77,3,FALSE),"")</f>
        <v>Fuerte</v>
      </c>
      <c r="AN12" s="129">
        <f t="shared" si="11"/>
        <v>100</v>
      </c>
      <c r="AO12" s="129" t="str">
        <f>IFERROR(VLOOKUP(AL12,FORMULAS!$B$69:$C$77,2,FALSE),"")</f>
        <v>No</v>
      </c>
      <c r="AP12" s="307"/>
      <c r="AQ12" s="307"/>
      <c r="AR12" s="305"/>
      <c r="AS12" s="305"/>
      <c r="AT12" s="307"/>
      <c r="AU12" s="307"/>
      <c r="AV12" s="307"/>
      <c r="AW12" s="368"/>
      <c r="AX12" s="368"/>
      <c r="AY12" s="355"/>
      <c r="AZ12" s="357"/>
      <c r="BA12" s="369"/>
      <c r="BB12" s="94" t="s">
        <v>165</v>
      </c>
      <c r="BC12" s="74" t="s">
        <v>166</v>
      </c>
      <c r="BD12" s="74" t="s">
        <v>157</v>
      </c>
      <c r="BE12" s="88" t="s">
        <v>167</v>
      </c>
      <c r="BF12" s="148"/>
      <c r="BG12" s="260"/>
      <c r="BH12" s="262"/>
      <c r="BI12" s="262"/>
      <c r="BJ12" s="400"/>
    </row>
    <row r="13" spans="1:62" s="64" customFormat="1" ht="84" customHeight="1" x14ac:dyDescent="0.25">
      <c r="A13" s="469"/>
      <c r="B13" s="247" t="s">
        <v>10</v>
      </c>
      <c r="C13" s="276">
        <v>2</v>
      </c>
      <c r="D13" s="278" t="s">
        <v>168</v>
      </c>
      <c r="E13" s="280" t="s">
        <v>169</v>
      </c>
      <c r="F13" s="276" t="s">
        <v>11</v>
      </c>
      <c r="G13" s="276" t="s">
        <v>22</v>
      </c>
      <c r="H13" s="278" t="s">
        <v>143</v>
      </c>
      <c r="I13" s="401"/>
      <c r="J13" s="401"/>
      <c r="K13" s="138" t="s">
        <v>170</v>
      </c>
      <c r="L13" s="344" t="s">
        <v>171</v>
      </c>
      <c r="M13" s="342" t="str">
        <f>IF(F13="gestion","impacto",IF(F13="corrupcion","impactocorrupcion",IF(F13="seguridad_de_la_informacion","impacto","")))</f>
        <v>impacto</v>
      </c>
      <c r="N13" s="341" t="s">
        <v>15</v>
      </c>
      <c r="O13" s="341" t="s">
        <v>27</v>
      </c>
      <c r="P13" s="342" t="str">
        <f>N13&amp;O13</f>
        <v>Rara vezMayor</v>
      </c>
      <c r="Q13" s="343" t="str">
        <f>IFERROR(VLOOKUP(P13,FORMULAS!$B$37:$C$61,2,FALSE),"")</f>
        <v>Riesgo alto</v>
      </c>
      <c r="R13" s="380" t="s">
        <v>172</v>
      </c>
      <c r="S13" s="380"/>
      <c r="T13" s="121" t="s">
        <v>147</v>
      </c>
      <c r="U13" s="67">
        <f t="shared" si="0"/>
        <v>15</v>
      </c>
      <c r="V13" s="121" t="s">
        <v>148</v>
      </c>
      <c r="W13" s="67">
        <f t="shared" si="1"/>
        <v>15</v>
      </c>
      <c r="X13" s="121" t="s">
        <v>149</v>
      </c>
      <c r="Y13" s="67">
        <f t="shared" si="2"/>
        <v>15</v>
      </c>
      <c r="Z13" s="121" t="s">
        <v>150</v>
      </c>
      <c r="AA13" s="67">
        <f t="shared" si="3"/>
        <v>15</v>
      </c>
      <c r="AB13" s="121" t="s">
        <v>151</v>
      </c>
      <c r="AC13" s="67">
        <f t="shared" si="4"/>
        <v>15</v>
      </c>
      <c r="AD13" s="121" t="s">
        <v>152</v>
      </c>
      <c r="AE13" s="67">
        <f t="shared" si="5"/>
        <v>15</v>
      </c>
      <c r="AF13" s="121" t="s">
        <v>153</v>
      </c>
      <c r="AG13" s="123">
        <f t="shared" si="6"/>
        <v>10</v>
      </c>
      <c r="AH13" s="127">
        <f t="shared" si="7"/>
        <v>100</v>
      </c>
      <c r="AI13" s="127" t="str">
        <f t="shared" si="8"/>
        <v>Fuerte</v>
      </c>
      <c r="AJ13" s="119" t="s">
        <v>154</v>
      </c>
      <c r="AK13" s="127" t="str">
        <f t="shared" si="9"/>
        <v>Fuerte</v>
      </c>
      <c r="AL13" s="127" t="str">
        <f t="shared" si="10"/>
        <v>FuerteFuerte</v>
      </c>
      <c r="AM13" s="127" t="str">
        <f>IFERROR(VLOOKUP(AL13,FORMULAS!$B$69:$D$77,3,FALSE),"")</f>
        <v>Fuerte</v>
      </c>
      <c r="AN13" s="127">
        <f t="shared" si="11"/>
        <v>100</v>
      </c>
      <c r="AO13" s="127" t="str">
        <f>IFERROR(VLOOKUP(AL13,FORMULAS!$B$69:$D$77,2,FALSE),"")</f>
        <v>No</v>
      </c>
      <c r="AP13" s="306">
        <f>IFERROR(AVERAGE(AN13:AN14),0)</f>
        <v>75</v>
      </c>
      <c r="AQ13" s="306" t="str">
        <f>IF(AP13&gt;=100,"Fuerte",IF(AP13&gt;=50,"Moderado",IF(AP13&gt;=1,"Débil","")))</f>
        <v>Moderado</v>
      </c>
      <c r="AR13" s="308" t="s">
        <v>92</v>
      </c>
      <c r="AS13" s="308" t="s">
        <v>94</v>
      </c>
      <c r="AT13" s="306" t="str">
        <f>+AQ13&amp;AR13&amp;AS13</f>
        <v>ModeradoDirectamenteIndirectamente</v>
      </c>
      <c r="AU13" s="306">
        <f>IFERROR(VLOOKUP(AT13,FORMULAS!$B$94:$D$101,2,FALSE),0)</f>
        <v>1</v>
      </c>
      <c r="AV13" s="306">
        <f>IFERROR(VLOOKUP(AT13,FORMULAS!$B$94:$D$101,3,FALSE),0)</f>
        <v>0</v>
      </c>
      <c r="AW13" s="341" t="s">
        <v>15</v>
      </c>
      <c r="AX13" s="341" t="s">
        <v>27</v>
      </c>
      <c r="AY13" s="342" t="str">
        <f>AW13&amp;AX13</f>
        <v>Rara vezMayor</v>
      </c>
      <c r="AZ13" s="356" t="str">
        <f>IFERROR(VLOOKUP(AY13,FORMULAS!$B$37:$C$61,2,FALSE),"")</f>
        <v>Riesgo alto</v>
      </c>
      <c r="BA13" s="343" t="s">
        <v>29</v>
      </c>
      <c r="BB13" s="93" t="s">
        <v>173</v>
      </c>
      <c r="BC13" s="187" t="s">
        <v>174</v>
      </c>
      <c r="BD13" s="187" t="s">
        <v>157</v>
      </c>
      <c r="BE13" s="189" t="s">
        <v>175</v>
      </c>
      <c r="BF13" s="145"/>
      <c r="BG13" s="259" t="s">
        <v>176</v>
      </c>
      <c r="BH13" s="261" t="s">
        <v>177</v>
      </c>
      <c r="BI13" s="261" t="s">
        <v>178</v>
      </c>
      <c r="BJ13" s="263" t="s">
        <v>179</v>
      </c>
    </row>
    <row r="14" spans="1:62" s="64" customFormat="1" ht="38.25" x14ac:dyDescent="0.25">
      <c r="A14" s="469"/>
      <c r="B14" s="248"/>
      <c r="C14" s="277"/>
      <c r="D14" s="279"/>
      <c r="E14" s="281"/>
      <c r="F14" s="277"/>
      <c r="G14" s="277"/>
      <c r="H14" s="279"/>
      <c r="I14" s="402"/>
      <c r="J14" s="402"/>
      <c r="K14" s="137" t="s">
        <v>180</v>
      </c>
      <c r="L14" s="366"/>
      <c r="M14" s="355"/>
      <c r="N14" s="368"/>
      <c r="O14" s="368"/>
      <c r="P14" s="355"/>
      <c r="Q14" s="369"/>
      <c r="R14" s="379" t="s">
        <v>181</v>
      </c>
      <c r="S14" s="379"/>
      <c r="T14" s="122" t="s">
        <v>147</v>
      </c>
      <c r="U14" s="69">
        <f t="shared" si="0"/>
        <v>15</v>
      </c>
      <c r="V14" s="122" t="s">
        <v>148</v>
      </c>
      <c r="W14" s="69">
        <f t="shared" si="1"/>
        <v>15</v>
      </c>
      <c r="X14" s="122" t="s">
        <v>149</v>
      </c>
      <c r="Y14" s="69">
        <f t="shared" si="2"/>
        <v>15</v>
      </c>
      <c r="Z14" s="122" t="s">
        <v>182</v>
      </c>
      <c r="AA14" s="69">
        <f t="shared" si="3"/>
        <v>10</v>
      </c>
      <c r="AB14" s="122" t="s">
        <v>151</v>
      </c>
      <c r="AC14" s="69">
        <f t="shared" si="4"/>
        <v>15</v>
      </c>
      <c r="AD14" s="122" t="s">
        <v>152</v>
      </c>
      <c r="AE14" s="69">
        <f t="shared" si="5"/>
        <v>15</v>
      </c>
      <c r="AF14" s="122" t="s">
        <v>153</v>
      </c>
      <c r="AG14" s="124">
        <f t="shared" si="6"/>
        <v>10</v>
      </c>
      <c r="AH14" s="129">
        <f t="shared" si="7"/>
        <v>95</v>
      </c>
      <c r="AI14" s="129" t="str">
        <f t="shared" si="8"/>
        <v>Moderado</v>
      </c>
      <c r="AJ14" s="120" t="s">
        <v>154</v>
      </c>
      <c r="AK14" s="129" t="str">
        <f t="shared" si="9"/>
        <v>Fuerte</v>
      </c>
      <c r="AL14" s="129" t="str">
        <f t="shared" si="10"/>
        <v>ModeradoFuerte</v>
      </c>
      <c r="AM14" s="129" t="str">
        <f>IFERROR(VLOOKUP(AL14,FORMULAS!$B$69:$D$77,3,FALSE),"")</f>
        <v>Moderado</v>
      </c>
      <c r="AN14" s="129">
        <f t="shared" si="11"/>
        <v>50</v>
      </c>
      <c r="AO14" s="129" t="str">
        <f>IFERROR(VLOOKUP(AL14,FORMULAS!$B$69:$C$77,2,FALSE),"")</f>
        <v>Sí</v>
      </c>
      <c r="AP14" s="307"/>
      <c r="AQ14" s="307"/>
      <c r="AR14" s="305"/>
      <c r="AS14" s="305"/>
      <c r="AT14" s="307"/>
      <c r="AU14" s="307"/>
      <c r="AV14" s="307"/>
      <c r="AW14" s="368"/>
      <c r="AX14" s="368"/>
      <c r="AY14" s="355"/>
      <c r="AZ14" s="357"/>
      <c r="BA14" s="369"/>
      <c r="BB14" s="94" t="s">
        <v>183</v>
      </c>
      <c r="BC14" s="74" t="s">
        <v>184</v>
      </c>
      <c r="BD14" s="74" t="s">
        <v>157</v>
      </c>
      <c r="BE14" s="88" t="s">
        <v>175</v>
      </c>
      <c r="BF14" s="148"/>
      <c r="BG14" s="260"/>
      <c r="BH14" s="262"/>
      <c r="BI14" s="262"/>
      <c r="BJ14" s="264"/>
    </row>
    <row r="15" spans="1:62" s="64" customFormat="1" ht="48" customHeight="1" x14ac:dyDescent="0.25">
      <c r="A15" s="469"/>
      <c r="B15" s="247" t="s">
        <v>10</v>
      </c>
      <c r="C15" s="276">
        <v>3</v>
      </c>
      <c r="D15" s="278" t="s">
        <v>185</v>
      </c>
      <c r="E15" s="280" t="s">
        <v>186</v>
      </c>
      <c r="F15" s="276" t="s">
        <v>11</v>
      </c>
      <c r="G15" s="276" t="s">
        <v>12</v>
      </c>
      <c r="H15" s="278" t="s">
        <v>143</v>
      </c>
      <c r="I15" s="401"/>
      <c r="J15" s="401"/>
      <c r="K15" s="138" t="s">
        <v>187</v>
      </c>
      <c r="L15" s="288" t="s">
        <v>188</v>
      </c>
      <c r="M15" s="342" t="str">
        <f>IF(F15="gestion","impacto",IF(F15="corrupcion","impactocorrupcion",IF(F15="seguridad_de_la_informacion","impacto","")))</f>
        <v>impacto</v>
      </c>
      <c r="N15" s="341" t="s">
        <v>25</v>
      </c>
      <c r="O15" s="341" t="s">
        <v>28</v>
      </c>
      <c r="P15" s="342" t="str">
        <f>N15&amp;O15</f>
        <v>ImprobableMenor</v>
      </c>
      <c r="Q15" s="343" t="str">
        <f>IFERROR(VLOOKUP(P15,FORMULAS!$B$37:$C$61,2,FALSE),"")</f>
        <v>Riesgo bajo</v>
      </c>
      <c r="R15" s="380" t="s">
        <v>189</v>
      </c>
      <c r="S15" s="380"/>
      <c r="T15" s="121" t="s">
        <v>147</v>
      </c>
      <c r="U15" s="67">
        <f t="shared" si="0"/>
        <v>15</v>
      </c>
      <c r="V15" s="121" t="s">
        <v>148</v>
      </c>
      <c r="W15" s="67">
        <f t="shared" si="1"/>
        <v>15</v>
      </c>
      <c r="X15" s="121" t="s">
        <v>149</v>
      </c>
      <c r="Y15" s="67">
        <f t="shared" si="2"/>
        <v>15</v>
      </c>
      <c r="Z15" s="121" t="s">
        <v>150</v>
      </c>
      <c r="AA15" s="67">
        <f t="shared" si="3"/>
        <v>15</v>
      </c>
      <c r="AB15" s="121" t="s">
        <v>151</v>
      </c>
      <c r="AC15" s="67">
        <f t="shared" si="4"/>
        <v>15</v>
      </c>
      <c r="AD15" s="121" t="s">
        <v>152</v>
      </c>
      <c r="AE15" s="67">
        <f t="shared" si="5"/>
        <v>15</v>
      </c>
      <c r="AF15" s="121" t="s">
        <v>153</v>
      </c>
      <c r="AG15" s="123">
        <f t="shared" si="6"/>
        <v>10</v>
      </c>
      <c r="AH15" s="127">
        <f t="shared" si="7"/>
        <v>100</v>
      </c>
      <c r="AI15" s="127" t="str">
        <f t="shared" si="8"/>
        <v>Fuerte</v>
      </c>
      <c r="AJ15" s="119" t="s">
        <v>154</v>
      </c>
      <c r="AK15" s="127" t="str">
        <f t="shared" si="9"/>
        <v>Fuerte</v>
      </c>
      <c r="AL15" s="127" t="str">
        <f t="shared" si="10"/>
        <v>FuerteFuerte</v>
      </c>
      <c r="AM15" s="127" t="str">
        <f>IFERROR(VLOOKUP(AL15,FORMULAS!$B$69:$D$77,3,FALSE),"")</f>
        <v>Fuerte</v>
      </c>
      <c r="AN15" s="127">
        <f t="shared" si="11"/>
        <v>100</v>
      </c>
      <c r="AO15" s="127" t="str">
        <f>IFERROR(VLOOKUP(AL15,FORMULAS!$B$69:$D$77,2,FALSE),"")</f>
        <v>No</v>
      </c>
      <c r="AP15" s="306">
        <f>IFERROR(AVERAGE(AN15:AN16),0)</f>
        <v>75</v>
      </c>
      <c r="AQ15" s="306" t="str">
        <f>IF(AP15&gt;=100,"Fuerte",IF(AP15&gt;=50,"Moderado",IF(AP15&gt;=1,"Débil","")))</f>
        <v>Moderado</v>
      </c>
      <c r="AR15" s="308" t="s">
        <v>92</v>
      </c>
      <c r="AS15" s="308" t="s">
        <v>94</v>
      </c>
      <c r="AT15" s="306" t="str">
        <f>+AQ15&amp;AR15&amp;AS15</f>
        <v>ModeradoDirectamenteIndirectamente</v>
      </c>
      <c r="AU15" s="306">
        <f>IFERROR(VLOOKUP(AT15,FORMULAS!$B$94:$D$101,2,FALSE),0)</f>
        <v>1</v>
      </c>
      <c r="AV15" s="306">
        <f>IFERROR(VLOOKUP(AT15,FORMULAS!$B$94:$D$101,3,FALSE),0)</f>
        <v>0</v>
      </c>
      <c r="AW15" s="341" t="s">
        <v>25</v>
      </c>
      <c r="AX15" s="341" t="s">
        <v>28</v>
      </c>
      <c r="AY15" s="342" t="str">
        <f>AW15&amp;AX15</f>
        <v>ImprobableMenor</v>
      </c>
      <c r="AZ15" s="356" t="str">
        <f>IFERROR(VLOOKUP(AY15,FORMULAS!$B$37:$C$61,2,FALSE),"")</f>
        <v>Riesgo bajo</v>
      </c>
      <c r="BA15" s="343" t="s">
        <v>29</v>
      </c>
      <c r="BB15" s="149"/>
      <c r="BC15" s="149"/>
      <c r="BD15" s="149"/>
      <c r="BE15" s="85"/>
      <c r="BF15" s="145"/>
      <c r="BG15" s="265" t="s">
        <v>190</v>
      </c>
      <c r="BH15" s="265" t="s">
        <v>191</v>
      </c>
      <c r="BI15" s="265" t="s">
        <v>178</v>
      </c>
      <c r="BJ15" s="268" t="s">
        <v>192</v>
      </c>
    </row>
    <row r="16" spans="1:62" s="64" customFormat="1" ht="48.75" customHeight="1" x14ac:dyDescent="0.25">
      <c r="A16" s="469"/>
      <c r="B16" s="248"/>
      <c r="C16" s="277"/>
      <c r="D16" s="279"/>
      <c r="E16" s="281"/>
      <c r="F16" s="277"/>
      <c r="G16" s="277"/>
      <c r="H16" s="279"/>
      <c r="I16" s="402"/>
      <c r="J16" s="402"/>
      <c r="K16" s="137" t="s">
        <v>193</v>
      </c>
      <c r="L16" s="315"/>
      <c r="M16" s="355"/>
      <c r="N16" s="368"/>
      <c r="O16" s="368"/>
      <c r="P16" s="355"/>
      <c r="Q16" s="369"/>
      <c r="R16" s="379" t="s">
        <v>194</v>
      </c>
      <c r="S16" s="379"/>
      <c r="T16" s="122" t="s">
        <v>147</v>
      </c>
      <c r="U16" s="69">
        <f t="shared" si="0"/>
        <v>15</v>
      </c>
      <c r="V16" s="122" t="s">
        <v>148</v>
      </c>
      <c r="W16" s="69">
        <f t="shared" si="1"/>
        <v>15</v>
      </c>
      <c r="X16" s="122" t="s">
        <v>149</v>
      </c>
      <c r="Y16" s="69">
        <f t="shared" si="2"/>
        <v>15</v>
      </c>
      <c r="Z16" s="122" t="s">
        <v>182</v>
      </c>
      <c r="AA16" s="69">
        <f t="shared" si="3"/>
        <v>10</v>
      </c>
      <c r="AB16" s="122" t="s">
        <v>151</v>
      </c>
      <c r="AC16" s="69">
        <f t="shared" si="4"/>
        <v>15</v>
      </c>
      <c r="AD16" s="122" t="s">
        <v>152</v>
      </c>
      <c r="AE16" s="69">
        <f t="shared" si="5"/>
        <v>15</v>
      </c>
      <c r="AF16" s="122" t="s">
        <v>153</v>
      </c>
      <c r="AG16" s="124">
        <f t="shared" si="6"/>
        <v>10</v>
      </c>
      <c r="AH16" s="129">
        <f t="shared" si="7"/>
        <v>95</v>
      </c>
      <c r="AI16" s="129" t="str">
        <f t="shared" si="8"/>
        <v>Moderado</v>
      </c>
      <c r="AJ16" s="120" t="s">
        <v>154</v>
      </c>
      <c r="AK16" s="129" t="str">
        <f t="shared" si="9"/>
        <v>Fuerte</v>
      </c>
      <c r="AL16" s="129" t="str">
        <f t="shared" si="10"/>
        <v>ModeradoFuerte</v>
      </c>
      <c r="AM16" s="129" t="str">
        <f>IFERROR(VLOOKUP(AL16,FORMULAS!$B$69:$D$77,3,FALSE),"")</f>
        <v>Moderado</v>
      </c>
      <c r="AN16" s="129">
        <f t="shared" si="11"/>
        <v>50</v>
      </c>
      <c r="AO16" s="129" t="str">
        <f>IFERROR(VLOOKUP(AL16,FORMULAS!$B$69:$C$77,2,FALSE),"")</f>
        <v>Sí</v>
      </c>
      <c r="AP16" s="307"/>
      <c r="AQ16" s="307"/>
      <c r="AR16" s="305"/>
      <c r="AS16" s="305"/>
      <c r="AT16" s="307"/>
      <c r="AU16" s="307"/>
      <c r="AV16" s="307"/>
      <c r="AW16" s="368"/>
      <c r="AX16" s="368"/>
      <c r="AY16" s="355"/>
      <c r="AZ16" s="357"/>
      <c r="BA16" s="369"/>
      <c r="BB16" s="151"/>
      <c r="BC16" s="151"/>
      <c r="BD16" s="151"/>
      <c r="BE16" s="147"/>
      <c r="BF16" s="146"/>
      <c r="BG16" s="266"/>
      <c r="BH16" s="267"/>
      <c r="BI16" s="267"/>
      <c r="BJ16" s="269"/>
    </row>
    <row r="17" spans="1:62" s="59" customFormat="1" ht="72" x14ac:dyDescent="0.25">
      <c r="A17" s="293"/>
      <c r="B17" s="247" t="s">
        <v>20</v>
      </c>
      <c r="C17" s="276">
        <v>4</v>
      </c>
      <c r="D17" s="280" t="s">
        <v>195</v>
      </c>
      <c r="E17" s="280" t="s">
        <v>196</v>
      </c>
      <c r="F17" s="276" t="s">
        <v>11</v>
      </c>
      <c r="G17" s="276" t="s">
        <v>45</v>
      </c>
      <c r="H17" s="278" t="s">
        <v>197</v>
      </c>
      <c r="I17" s="345"/>
      <c r="J17" s="345"/>
      <c r="K17" s="138" t="s">
        <v>198</v>
      </c>
      <c r="L17" s="274" t="s">
        <v>199</v>
      </c>
      <c r="M17" s="342" t="str">
        <f>IF(F17="gestion","impacto",IF(F17="corrupcion","impactocorrupcion",IF(F17="seguridad_de_la_informacion","impacto","")))</f>
        <v>impacto</v>
      </c>
      <c r="N17" s="341" t="s">
        <v>35</v>
      </c>
      <c r="O17" s="341" t="s">
        <v>17</v>
      </c>
      <c r="P17" s="342" t="str">
        <f>N17&amp;O17</f>
        <v>PosibleModerado</v>
      </c>
      <c r="Q17" s="343" t="str">
        <f>IFERROR(VLOOKUP(P17,FORMULAS!$B$37:$C$61,2,FALSE),"")</f>
        <v>Riesgo alto</v>
      </c>
      <c r="R17" s="396" t="s">
        <v>200</v>
      </c>
      <c r="S17" s="396"/>
      <c r="T17" s="121" t="s">
        <v>147</v>
      </c>
      <c r="U17" s="67">
        <f t="shared" si="0"/>
        <v>15</v>
      </c>
      <c r="V17" s="121" t="s">
        <v>148</v>
      </c>
      <c r="W17" s="67">
        <f t="shared" si="1"/>
        <v>15</v>
      </c>
      <c r="X17" s="121" t="s">
        <v>149</v>
      </c>
      <c r="Y17" s="67">
        <f t="shared" si="2"/>
        <v>15</v>
      </c>
      <c r="Z17" s="155" t="s">
        <v>150</v>
      </c>
      <c r="AA17" s="67">
        <f t="shared" si="3"/>
        <v>15</v>
      </c>
      <c r="AB17" s="121" t="s">
        <v>151</v>
      </c>
      <c r="AC17" s="67">
        <f t="shared" si="4"/>
        <v>15</v>
      </c>
      <c r="AD17" s="121" t="s">
        <v>152</v>
      </c>
      <c r="AE17" s="67">
        <f t="shared" si="5"/>
        <v>15</v>
      </c>
      <c r="AF17" s="121" t="s">
        <v>153</v>
      </c>
      <c r="AG17" s="123">
        <f t="shared" si="6"/>
        <v>10</v>
      </c>
      <c r="AH17" s="127">
        <f t="shared" si="7"/>
        <v>100</v>
      </c>
      <c r="AI17" s="127" t="str">
        <f t="shared" si="8"/>
        <v>Fuerte</v>
      </c>
      <c r="AJ17" s="119" t="s">
        <v>154</v>
      </c>
      <c r="AK17" s="127" t="str">
        <f t="shared" si="9"/>
        <v>Fuerte</v>
      </c>
      <c r="AL17" s="127" t="str">
        <f t="shared" si="10"/>
        <v>FuerteFuerte</v>
      </c>
      <c r="AM17" s="127" t="str">
        <f>IFERROR(VLOOKUP(AL17,FORMULAS!$B$69:$D$77,3,FALSE),"")</f>
        <v>Fuerte</v>
      </c>
      <c r="AN17" s="127">
        <f t="shared" si="11"/>
        <v>100</v>
      </c>
      <c r="AO17" s="127" t="str">
        <f>IFERROR(VLOOKUP(AL17,FORMULAS!$B$69:$D$77,2,FALSE),"")</f>
        <v>No</v>
      </c>
      <c r="AP17" s="306">
        <f>IFERROR(AVERAGE(AN17:AN18),0)</f>
        <v>75</v>
      </c>
      <c r="AQ17" s="306" t="str">
        <f>IF(AP17&gt;=100,"Fuerte",IF(AP17&gt;=50,"Moderado",IF(AP17&gt;=1,"Débil","")))</f>
        <v>Moderado</v>
      </c>
      <c r="AR17" s="308" t="s">
        <v>92</v>
      </c>
      <c r="AS17" s="308" t="s">
        <v>94</v>
      </c>
      <c r="AT17" s="306" t="str">
        <f>+AQ17&amp;AR17&amp;AS17</f>
        <v>ModeradoDirectamenteIndirectamente</v>
      </c>
      <c r="AU17" s="306">
        <f>IFERROR(VLOOKUP(AT17,FORMULAS!$B$94:$D$101,2,FALSE),0)</f>
        <v>1</v>
      </c>
      <c r="AV17" s="306">
        <f>IFERROR(VLOOKUP(AT17,FORMULAS!$B$94:$D$101,3,FALSE),0)</f>
        <v>0</v>
      </c>
      <c r="AW17" s="341" t="s">
        <v>25</v>
      </c>
      <c r="AX17" s="341" t="s">
        <v>17</v>
      </c>
      <c r="AY17" s="342" t="str">
        <f>AW17&amp;AX17</f>
        <v>ImprobableModerado</v>
      </c>
      <c r="AZ17" s="356" t="str">
        <f>IFERROR(VLOOKUP(AY17,FORMULAS!$B$37:$C$61,2,FALSE),"")</f>
        <v>Riesgo moderado</v>
      </c>
      <c r="BA17" s="343" t="s">
        <v>29</v>
      </c>
      <c r="BB17" s="100" t="s">
        <v>201</v>
      </c>
      <c r="BC17" s="100" t="s">
        <v>202</v>
      </c>
      <c r="BD17" s="100" t="s">
        <v>203</v>
      </c>
      <c r="BE17" s="101" t="s">
        <v>204</v>
      </c>
      <c r="BF17" s="102" t="s">
        <v>205</v>
      </c>
      <c r="BG17" s="416" t="s">
        <v>206</v>
      </c>
      <c r="BH17" s="416" t="s">
        <v>207</v>
      </c>
      <c r="BI17" s="416" t="s">
        <v>208</v>
      </c>
      <c r="BJ17" s="416" t="s">
        <v>209</v>
      </c>
    </row>
    <row r="18" spans="1:62" s="59" customFormat="1" ht="84" x14ac:dyDescent="0.25">
      <c r="A18" s="293"/>
      <c r="B18" s="248"/>
      <c r="C18" s="381"/>
      <c r="D18" s="382"/>
      <c r="E18" s="382"/>
      <c r="F18" s="381"/>
      <c r="G18" s="381"/>
      <c r="H18" s="389"/>
      <c r="I18" s="390"/>
      <c r="J18" s="390"/>
      <c r="K18" s="104" t="s">
        <v>210</v>
      </c>
      <c r="L18" s="397"/>
      <c r="M18" s="388"/>
      <c r="N18" s="331"/>
      <c r="O18" s="331"/>
      <c r="P18" s="388"/>
      <c r="Q18" s="337"/>
      <c r="R18" s="398" t="s">
        <v>211</v>
      </c>
      <c r="S18" s="398"/>
      <c r="T18" s="154" t="s">
        <v>147</v>
      </c>
      <c r="U18" s="72">
        <f t="shared" si="0"/>
        <v>15</v>
      </c>
      <c r="V18" s="154" t="s">
        <v>148</v>
      </c>
      <c r="W18" s="72">
        <f t="shared" si="1"/>
        <v>15</v>
      </c>
      <c r="X18" s="154" t="s">
        <v>149</v>
      </c>
      <c r="Y18" s="72">
        <f t="shared" si="2"/>
        <v>15</v>
      </c>
      <c r="Z18" s="96" t="s">
        <v>182</v>
      </c>
      <c r="AA18" s="72">
        <f t="shared" si="3"/>
        <v>10</v>
      </c>
      <c r="AB18" s="154" t="s">
        <v>151</v>
      </c>
      <c r="AC18" s="72">
        <f t="shared" si="4"/>
        <v>15</v>
      </c>
      <c r="AD18" s="154" t="s">
        <v>152</v>
      </c>
      <c r="AE18" s="72">
        <f t="shared" si="5"/>
        <v>15</v>
      </c>
      <c r="AF18" s="154" t="s">
        <v>153</v>
      </c>
      <c r="AG18" s="161">
        <f t="shared" si="6"/>
        <v>10</v>
      </c>
      <c r="AH18" s="159">
        <f t="shared" si="7"/>
        <v>95</v>
      </c>
      <c r="AI18" s="159" t="str">
        <f t="shared" si="8"/>
        <v>Moderado</v>
      </c>
      <c r="AJ18" s="160" t="s">
        <v>154</v>
      </c>
      <c r="AK18" s="159" t="str">
        <f t="shared" si="9"/>
        <v>Fuerte</v>
      </c>
      <c r="AL18" s="159" t="str">
        <f t="shared" si="10"/>
        <v>ModeradoFuerte</v>
      </c>
      <c r="AM18" s="159" t="str">
        <f>IFERROR(VLOOKUP(AL18,FORMULAS!$B$69:$D$77,3,FALSE),"")</f>
        <v>Moderado</v>
      </c>
      <c r="AN18" s="159">
        <f t="shared" si="11"/>
        <v>50</v>
      </c>
      <c r="AO18" s="159" t="str">
        <f>IFERROR(VLOOKUP(AL18,FORMULAS!$B$69:$C$77,2,FALSE),"")</f>
        <v>Sí</v>
      </c>
      <c r="AP18" s="300"/>
      <c r="AQ18" s="300"/>
      <c r="AR18" s="301"/>
      <c r="AS18" s="301"/>
      <c r="AT18" s="300"/>
      <c r="AU18" s="300"/>
      <c r="AV18" s="300"/>
      <c r="AW18" s="331"/>
      <c r="AX18" s="331"/>
      <c r="AY18" s="388"/>
      <c r="AZ18" s="336"/>
      <c r="BA18" s="337"/>
      <c r="BB18" s="217" t="s">
        <v>212</v>
      </c>
      <c r="BC18" s="217" t="s">
        <v>213</v>
      </c>
      <c r="BD18" s="217" t="s">
        <v>203</v>
      </c>
      <c r="BE18" s="218" t="s">
        <v>214</v>
      </c>
      <c r="BF18" s="106" t="s">
        <v>215</v>
      </c>
      <c r="BG18" s="417"/>
      <c r="BH18" s="417"/>
      <c r="BI18" s="417"/>
      <c r="BJ18" s="417"/>
    </row>
    <row r="19" spans="1:62" s="59" customFormat="1" ht="48" x14ac:dyDescent="0.25">
      <c r="A19" s="515"/>
      <c r="B19" s="247" t="s">
        <v>20</v>
      </c>
      <c r="C19" s="276">
        <v>5</v>
      </c>
      <c r="D19" s="278" t="s">
        <v>216</v>
      </c>
      <c r="E19" s="278" t="s">
        <v>217</v>
      </c>
      <c r="F19" s="276" t="s">
        <v>11</v>
      </c>
      <c r="G19" s="276" t="s">
        <v>50</v>
      </c>
      <c r="H19" s="278" t="s">
        <v>218</v>
      </c>
      <c r="I19" s="103"/>
      <c r="J19" s="103"/>
      <c r="K19" s="138" t="s">
        <v>219</v>
      </c>
      <c r="L19" s="383" t="s">
        <v>220</v>
      </c>
      <c r="M19" s="342" t="str">
        <f>IF(F19="gestion","impacto",IF(F19="corrupcion","impactocorrupcion",IF(F19="seguridad_de_la_informacion","impacto","")))</f>
        <v>impacto</v>
      </c>
      <c r="N19" s="341" t="s">
        <v>35</v>
      </c>
      <c r="O19" s="341" t="s">
        <v>17</v>
      </c>
      <c r="P19" s="99" t="str">
        <f>N19&amp;O19</f>
        <v>PosibleModerado</v>
      </c>
      <c r="Q19" s="343" t="str">
        <f>IFERROR(VLOOKUP(P19,FORMULAS!$B$37:$C$61,2,FALSE),"")</f>
        <v>Riesgo alto</v>
      </c>
      <c r="R19" s="391" t="s">
        <v>221</v>
      </c>
      <c r="S19" s="391"/>
      <c r="T19" s="121" t="s">
        <v>147</v>
      </c>
      <c r="U19" s="67">
        <f t="shared" si="0"/>
        <v>15</v>
      </c>
      <c r="V19" s="121" t="s">
        <v>148</v>
      </c>
      <c r="W19" s="67">
        <f t="shared" si="1"/>
        <v>15</v>
      </c>
      <c r="X19" s="121" t="s">
        <v>149</v>
      </c>
      <c r="Y19" s="67">
        <f t="shared" si="2"/>
        <v>15</v>
      </c>
      <c r="Z19" s="155" t="s">
        <v>150</v>
      </c>
      <c r="AA19" s="67">
        <f t="shared" si="3"/>
        <v>15</v>
      </c>
      <c r="AB19" s="121" t="s">
        <v>151</v>
      </c>
      <c r="AC19" s="67">
        <f t="shared" si="4"/>
        <v>15</v>
      </c>
      <c r="AD19" s="121" t="s">
        <v>152</v>
      </c>
      <c r="AE19" s="67">
        <f t="shared" si="5"/>
        <v>15</v>
      </c>
      <c r="AF19" s="121" t="s">
        <v>153</v>
      </c>
      <c r="AG19" s="123">
        <f t="shared" si="6"/>
        <v>10</v>
      </c>
      <c r="AH19" s="127">
        <f t="shared" si="7"/>
        <v>100</v>
      </c>
      <c r="AI19" s="127" t="str">
        <f t="shared" si="8"/>
        <v>Fuerte</v>
      </c>
      <c r="AJ19" s="119" t="s">
        <v>154</v>
      </c>
      <c r="AK19" s="127" t="str">
        <f t="shared" si="9"/>
        <v>Fuerte</v>
      </c>
      <c r="AL19" s="127" t="str">
        <f t="shared" si="10"/>
        <v>FuerteFuerte</v>
      </c>
      <c r="AM19" s="127" t="str">
        <f>IFERROR(VLOOKUP(AL19,FORMULAS!$B$69:$D$77,3,FALSE),"")</f>
        <v>Fuerte</v>
      </c>
      <c r="AN19" s="127">
        <f t="shared" si="11"/>
        <v>100</v>
      </c>
      <c r="AO19" s="127" t="str">
        <f>IFERROR(VLOOKUP(AL19,FORMULAS!$B$69:$D$77,2,FALSE),"")</f>
        <v>No</v>
      </c>
      <c r="AP19" s="306">
        <f>IFERROR(AVERAGE(AN19:AN20),0)</f>
        <v>100</v>
      </c>
      <c r="AQ19" s="306" t="str">
        <f>IF(AP19&gt;=100,"Fuerte",IF(AP19&gt;=50,"Moderado",IF(AP19&gt;=1,"Débil","")))</f>
        <v>Fuerte</v>
      </c>
      <c r="AR19" s="308" t="s">
        <v>92</v>
      </c>
      <c r="AS19" s="308" t="s">
        <v>94</v>
      </c>
      <c r="AT19" s="306" t="str">
        <f>+AQ19&amp;AR19&amp;AS19</f>
        <v>FuerteDirectamenteIndirectamente</v>
      </c>
      <c r="AU19" s="306">
        <f>IFERROR(VLOOKUP(AT19,FORMULAS!$B$94:$D$101,2,FALSE),0)</f>
        <v>2</v>
      </c>
      <c r="AV19" s="306">
        <f>IFERROR(VLOOKUP(AT19,FORMULAS!$B$94:$D$101,3,FALSE),0)</f>
        <v>1</v>
      </c>
      <c r="AW19" s="341" t="s">
        <v>15</v>
      </c>
      <c r="AX19" s="341" t="s">
        <v>17</v>
      </c>
      <c r="AY19" s="342" t="str">
        <f>AW19&amp;AX19</f>
        <v>Rara vezModerado</v>
      </c>
      <c r="AZ19" s="356" t="str">
        <f>IFERROR(VLOOKUP(AY19,FORMULAS!$B$37:$C$61,2,FALSE),"")</f>
        <v>Riesgo moderado</v>
      </c>
      <c r="BA19" s="343" t="s">
        <v>29</v>
      </c>
      <c r="BB19" s="107" t="s">
        <v>222</v>
      </c>
      <c r="BC19" s="107" t="s">
        <v>223</v>
      </c>
      <c r="BD19" s="107" t="s">
        <v>203</v>
      </c>
      <c r="BE19" s="108" t="s">
        <v>224</v>
      </c>
      <c r="BF19" s="109" t="s">
        <v>225</v>
      </c>
      <c r="BG19" s="328" t="s">
        <v>226</v>
      </c>
      <c r="BH19" s="328" t="s">
        <v>174</v>
      </c>
      <c r="BI19" s="328" t="s">
        <v>203</v>
      </c>
      <c r="BJ19" s="486" t="s">
        <v>227</v>
      </c>
    </row>
    <row r="20" spans="1:62" s="59" customFormat="1" ht="72" x14ac:dyDescent="0.25">
      <c r="A20" s="516"/>
      <c r="B20" s="248"/>
      <c r="C20" s="277"/>
      <c r="D20" s="279"/>
      <c r="E20" s="279"/>
      <c r="F20" s="277"/>
      <c r="G20" s="277"/>
      <c r="H20" s="279"/>
      <c r="I20" s="105"/>
      <c r="J20" s="105"/>
      <c r="K20" s="137" t="s">
        <v>228</v>
      </c>
      <c r="L20" s="384"/>
      <c r="M20" s="355"/>
      <c r="N20" s="368"/>
      <c r="O20" s="368"/>
      <c r="P20" s="110"/>
      <c r="Q20" s="369"/>
      <c r="R20" s="379" t="s">
        <v>229</v>
      </c>
      <c r="S20" s="379"/>
      <c r="T20" s="122" t="s">
        <v>147</v>
      </c>
      <c r="U20" s="69">
        <f t="shared" si="0"/>
        <v>15</v>
      </c>
      <c r="V20" s="122" t="s">
        <v>148</v>
      </c>
      <c r="W20" s="69">
        <f t="shared" si="1"/>
        <v>15</v>
      </c>
      <c r="X20" s="122" t="s">
        <v>149</v>
      </c>
      <c r="Y20" s="69">
        <f t="shared" si="2"/>
        <v>15</v>
      </c>
      <c r="Z20" s="157" t="s">
        <v>150</v>
      </c>
      <c r="AA20" s="69">
        <f t="shared" si="3"/>
        <v>15</v>
      </c>
      <c r="AB20" s="122" t="s">
        <v>151</v>
      </c>
      <c r="AC20" s="69">
        <f t="shared" si="4"/>
        <v>15</v>
      </c>
      <c r="AD20" s="122" t="s">
        <v>152</v>
      </c>
      <c r="AE20" s="69">
        <f t="shared" si="5"/>
        <v>15</v>
      </c>
      <c r="AF20" s="122" t="s">
        <v>153</v>
      </c>
      <c r="AG20" s="124">
        <f t="shared" si="6"/>
        <v>10</v>
      </c>
      <c r="AH20" s="129">
        <f t="shared" si="7"/>
        <v>100</v>
      </c>
      <c r="AI20" s="129" t="str">
        <f t="shared" si="8"/>
        <v>Fuerte</v>
      </c>
      <c r="AJ20" s="120" t="s">
        <v>154</v>
      </c>
      <c r="AK20" s="129" t="str">
        <f t="shared" si="9"/>
        <v>Fuerte</v>
      </c>
      <c r="AL20" s="129" t="str">
        <f t="shared" si="10"/>
        <v>FuerteFuerte</v>
      </c>
      <c r="AM20" s="129" t="str">
        <f>IFERROR(VLOOKUP(AL20,FORMULAS!$B$69:$D$77,3,FALSE),"")</f>
        <v>Fuerte</v>
      </c>
      <c r="AN20" s="129">
        <f t="shared" si="11"/>
        <v>100</v>
      </c>
      <c r="AO20" s="129" t="str">
        <f>IFERROR(VLOOKUP(AL20,FORMULAS!$B$69:$C$77,2,FALSE),"")</f>
        <v>No</v>
      </c>
      <c r="AP20" s="307"/>
      <c r="AQ20" s="307"/>
      <c r="AR20" s="305"/>
      <c r="AS20" s="305"/>
      <c r="AT20" s="307"/>
      <c r="AU20" s="307"/>
      <c r="AV20" s="307"/>
      <c r="AW20" s="368"/>
      <c r="AX20" s="368"/>
      <c r="AY20" s="355"/>
      <c r="AZ20" s="357"/>
      <c r="BA20" s="369"/>
      <c r="BB20" s="111" t="s">
        <v>230</v>
      </c>
      <c r="BC20" s="111" t="s">
        <v>231</v>
      </c>
      <c r="BD20" s="111" t="s">
        <v>203</v>
      </c>
      <c r="BE20" s="112" t="s">
        <v>232</v>
      </c>
      <c r="BF20" s="112" t="s">
        <v>233</v>
      </c>
      <c r="BG20" s="330"/>
      <c r="BH20" s="330"/>
      <c r="BI20" s="330"/>
      <c r="BJ20" s="420"/>
    </row>
    <row r="21" spans="1:62" s="59" customFormat="1" ht="36" x14ac:dyDescent="0.25">
      <c r="A21" s="515"/>
      <c r="B21" s="247" t="s">
        <v>20</v>
      </c>
      <c r="C21" s="386">
        <v>6</v>
      </c>
      <c r="D21" s="387" t="s">
        <v>234</v>
      </c>
      <c r="E21" s="387" t="s">
        <v>235</v>
      </c>
      <c r="F21" s="386" t="s">
        <v>11</v>
      </c>
      <c r="G21" s="386" t="s">
        <v>45</v>
      </c>
      <c r="H21" s="387" t="s">
        <v>218</v>
      </c>
      <c r="I21" s="483"/>
      <c r="J21" s="483"/>
      <c r="K21" s="97" t="s">
        <v>236</v>
      </c>
      <c r="L21" s="485" t="s">
        <v>237</v>
      </c>
      <c r="M21" s="385" t="str">
        <f>IF(F21="gestion","impacto",IF(F21="corrupcion","impactocorrupcion",IF(F21="seguridad_de_la_informacion","impacto","")))</f>
        <v>impacto</v>
      </c>
      <c r="N21" s="258" t="s">
        <v>35</v>
      </c>
      <c r="O21" s="258" t="s">
        <v>28</v>
      </c>
      <c r="P21" s="385" t="str">
        <f>N21&amp;O21</f>
        <v>PosibleMenor</v>
      </c>
      <c r="Q21" s="338" t="str">
        <f>IFERROR(VLOOKUP(P21,FORMULAS!$B$37:$C$61,2,FALSE),"")</f>
        <v>Riesgo moderado</v>
      </c>
      <c r="R21" s="393" t="s">
        <v>238</v>
      </c>
      <c r="S21" s="393"/>
      <c r="T21" s="176" t="s">
        <v>147</v>
      </c>
      <c r="U21" s="68">
        <f t="shared" si="0"/>
        <v>15</v>
      </c>
      <c r="V21" s="176" t="s">
        <v>148</v>
      </c>
      <c r="W21" s="68">
        <f t="shared" si="1"/>
        <v>15</v>
      </c>
      <c r="X21" s="176" t="s">
        <v>149</v>
      </c>
      <c r="Y21" s="68">
        <f t="shared" si="2"/>
        <v>15</v>
      </c>
      <c r="Z21" s="178" t="s">
        <v>150</v>
      </c>
      <c r="AA21" s="68">
        <f t="shared" si="3"/>
        <v>15</v>
      </c>
      <c r="AB21" s="176" t="s">
        <v>151</v>
      </c>
      <c r="AC21" s="68">
        <f t="shared" si="4"/>
        <v>15</v>
      </c>
      <c r="AD21" s="176" t="s">
        <v>152</v>
      </c>
      <c r="AE21" s="68">
        <f t="shared" si="5"/>
        <v>15</v>
      </c>
      <c r="AF21" s="176" t="s">
        <v>153</v>
      </c>
      <c r="AG21" s="177">
        <f t="shared" si="6"/>
        <v>10</v>
      </c>
      <c r="AH21" s="173">
        <f t="shared" si="7"/>
        <v>100</v>
      </c>
      <c r="AI21" s="173" t="str">
        <f t="shared" si="8"/>
        <v>Fuerte</v>
      </c>
      <c r="AJ21" s="174" t="s">
        <v>154</v>
      </c>
      <c r="AK21" s="173" t="str">
        <f t="shared" si="9"/>
        <v>Fuerte</v>
      </c>
      <c r="AL21" s="173" t="str">
        <f t="shared" si="10"/>
        <v>FuerteFuerte</v>
      </c>
      <c r="AM21" s="256" t="str">
        <f>IFERROR(VLOOKUP(AL21,FORMULAS!$B$69:$D$77,3,FALSE),"")</f>
        <v>Fuerte</v>
      </c>
      <c r="AN21" s="256">
        <f t="shared" si="11"/>
        <v>100</v>
      </c>
      <c r="AO21" s="173" t="str">
        <f>IFERROR(VLOOKUP(AL21,FORMULAS!$B$69:$C$77,2,FALSE),"")</f>
        <v>No</v>
      </c>
      <c r="AP21" s="256">
        <f>IFERROR(AVERAGE(AN21:AN22),0)</f>
        <v>100</v>
      </c>
      <c r="AQ21" s="256" t="str">
        <f>IF(AP21&gt;=100,"Fuerte",IF(AP21&gt;=50,"Moderado",IF(AP21&gt;=1,"Débil","")))</f>
        <v>Fuerte</v>
      </c>
      <c r="AR21" s="273" t="s">
        <v>92</v>
      </c>
      <c r="AS21" s="273" t="s">
        <v>94</v>
      </c>
      <c r="AT21" s="256" t="str">
        <f>+AQ21&amp;AR21&amp;AS21</f>
        <v>FuerteDirectamenteIndirectamente</v>
      </c>
      <c r="AU21" s="256">
        <f>IFERROR(VLOOKUP(AT21,FORMULAS!$B$94:$D$101,2,FALSE),0)</f>
        <v>2</v>
      </c>
      <c r="AV21" s="256">
        <f>IFERROR(VLOOKUP(AT21,FORMULAS!$B$94:$D$101,3,FALSE),0)</f>
        <v>1</v>
      </c>
      <c r="AW21" s="258" t="s">
        <v>15</v>
      </c>
      <c r="AX21" s="258" t="s">
        <v>18</v>
      </c>
      <c r="AY21" s="385" t="str">
        <f>AW21&amp;AX21</f>
        <v>Rara vezInsignificante</v>
      </c>
      <c r="AZ21" s="303" t="str">
        <f>IFERROR(VLOOKUP(AY21,FORMULAS!$B$37:$C$61,2,FALSE),"")</f>
        <v>Riesgo bajo</v>
      </c>
      <c r="BA21" s="338" t="s">
        <v>19</v>
      </c>
      <c r="BB21" s="168"/>
      <c r="BC21" s="168"/>
      <c r="BD21" s="168"/>
      <c r="BE21" s="91"/>
      <c r="BF21" s="91"/>
      <c r="BG21" s="418" t="s">
        <v>239</v>
      </c>
      <c r="BH21" s="418" t="s">
        <v>240</v>
      </c>
      <c r="BI21" s="418" t="s">
        <v>241</v>
      </c>
      <c r="BJ21" s="419" t="s">
        <v>242</v>
      </c>
    </row>
    <row r="22" spans="1:62" s="59" customFormat="1" ht="36" x14ac:dyDescent="0.25">
      <c r="A22" s="516"/>
      <c r="B22" s="248"/>
      <c r="C22" s="277"/>
      <c r="D22" s="279"/>
      <c r="E22" s="279"/>
      <c r="F22" s="277"/>
      <c r="G22" s="277"/>
      <c r="H22" s="279"/>
      <c r="I22" s="484"/>
      <c r="J22" s="484"/>
      <c r="K22" s="181" t="s">
        <v>243</v>
      </c>
      <c r="L22" s="384"/>
      <c r="M22" s="355"/>
      <c r="N22" s="368"/>
      <c r="O22" s="368"/>
      <c r="P22" s="355"/>
      <c r="Q22" s="369"/>
      <c r="R22" s="379" t="s">
        <v>244</v>
      </c>
      <c r="S22" s="379"/>
      <c r="T22" s="122" t="s">
        <v>147</v>
      </c>
      <c r="U22" s="69">
        <f t="shared" si="0"/>
        <v>15</v>
      </c>
      <c r="V22" s="122" t="s">
        <v>148</v>
      </c>
      <c r="W22" s="69">
        <f t="shared" si="1"/>
        <v>15</v>
      </c>
      <c r="X22" s="122" t="s">
        <v>149</v>
      </c>
      <c r="Y22" s="69">
        <f t="shared" si="2"/>
        <v>15</v>
      </c>
      <c r="Z22" s="157" t="s">
        <v>150</v>
      </c>
      <c r="AA22" s="69">
        <f t="shared" si="3"/>
        <v>15</v>
      </c>
      <c r="AB22" s="122" t="s">
        <v>151</v>
      </c>
      <c r="AC22" s="69">
        <f t="shared" si="4"/>
        <v>15</v>
      </c>
      <c r="AD22" s="122" t="s">
        <v>152</v>
      </c>
      <c r="AE22" s="69">
        <f t="shared" si="5"/>
        <v>15</v>
      </c>
      <c r="AF22" s="122" t="s">
        <v>153</v>
      </c>
      <c r="AG22" s="124">
        <f t="shared" si="6"/>
        <v>10</v>
      </c>
      <c r="AH22" s="129">
        <f t="shared" si="7"/>
        <v>100</v>
      </c>
      <c r="AI22" s="129" t="str">
        <f t="shared" si="8"/>
        <v>Fuerte</v>
      </c>
      <c r="AJ22" s="120" t="s">
        <v>154</v>
      </c>
      <c r="AK22" s="129" t="str">
        <f t="shared" si="9"/>
        <v>Fuerte</v>
      </c>
      <c r="AL22" s="129" t="str">
        <f t="shared" si="10"/>
        <v>FuerteFuerte</v>
      </c>
      <c r="AM22" s="307"/>
      <c r="AN22" s="307"/>
      <c r="AO22" s="129" t="str">
        <f>IFERROR(VLOOKUP(AL22,FORMULAS!$B$69:$C$77,2,FALSE),"")</f>
        <v>No</v>
      </c>
      <c r="AP22" s="307"/>
      <c r="AQ22" s="307"/>
      <c r="AR22" s="305"/>
      <c r="AS22" s="305"/>
      <c r="AT22" s="307"/>
      <c r="AU22" s="307"/>
      <c r="AV22" s="307"/>
      <c r="AW22" s="368"/>
      <c r="AX22" s="368"/>
      <c r="AY22" s="355"/>
      <c r="AZ22" s="357"/>
      <c r="BA22" s="369"/>
      <c r="BB22" s="151"/>
      <c r="BC22" s="151"/>
      <c r="BD22" s="151"/>
      <c r="BE22" s="86"/>
      <c r="BF22" s="86"/>
      <c r="BG22" s="330"/>
      <c r="BH22" s="330"/>
      <c r="BI22" s="330"/>
      <c r="BJ22" s="420"/>
    </row>
    <row r="23" spans="1:62" s="59" customFormat="1" ht="72" x14ac:dyDescent="0.25">
      <c r="A23" s="293"/>
      <c r="B23" s="247" t="s">
        <v>20</v>
      </c>
      <c r="C23" s="276">
        <v>7</v>
      </c>
      <c r="D23" s="278" t="s">
        <v>245</v>
      </c>
      <c r="E23" s="280" t="s">
        <v>246</v>
      </c>
      <c r="F23" s="276" t="s">
        <v>11</v>
      </c>
      <c r="G23" s="276" t="s">
        <v>50</v>
      </c>
      <c r="H23" s="278" t="s">
        <v>218</v>
      </c>
      <c r="I23" s="345"/>
      <c r="J23" s="345"/>
      <c r="K23" s="138" t="s">
        <v>247</v>
      </c>
      <c r="L23" s="274" t="s">
        <v>248</v>
      </c>
      <c r="M23" s="342" t="str">
        <f>IF(F23="gestion","impacto",IF(F23="corrupcion","impactocorrupcion",IF(F23="seguridad_de_la_informacion","impacto","")))</f>
        <v>impacto</v>
      </c>
      <c r="N23" s="341" t="s">
        <v>25</v>
      </c>
      <c r="O23" s="341" t="s">
        <v>18</v>
      </c>
      <c r="P23" s="342" t="str">
        <f>N23&amp;O23</f>
        <v>ImprobableInsignificante</v>
      </c>
      <c r="Q23" s="343" t="str">
        <f>IFERROR(VLOOKUP(P23,FORMULAS!$B$37:$C$61,2,FALSE),"")</f>
        <v>Riesgo bajo</v>
      </c>
      <c r="R23" s="394" t="s">
        <v>249</v>
      </c>
      <c r="S23" s="395"/>
      <c r="T23" s="121" t="s">
        <v>147</v>
      </c>
      <c r="U23" s="67">
        <f t="shared" si="0"/>
        <v>15</v>
      </c>
      <c r="V23" s="121" t="s">
        <v>148</v>
      </c>
      <c r="W23" s="67">
        <f t="shared" si="1"/>
        <v>15</v>
      </c>
      <c r="X23" s="121" t="s">
        <v>149</v>
      </c>
      <c r="Y23" s="67">
        <f t="shared" si="2"/>
        <v>15</v>
      </c>
      <c r="Z23" s="155" t="s">
        <v>182</v>
      </c>
      <c r="AA23" s="67">
        <f t="shared" si="3"/>
        <v>10</v>
      </c>
      <c r="AB23" s="121" t="s">
        <v>151</v>
      </c>
      <c r="AC23" s="67">
        <f t="shared" si="4"/>
        <v>15</v>
      </c>
      <c r="AD23" s="121" t="s">
        <v>152</v>
      </c>
      <c r="AE23" s="67">
        <f t="shared" si="5"/>
        <v>15</v>
      </c>
      <c r="AF23" s="121" t="s">
        <v>153</v>
      </c>
      <c r="AG23" s="123">
        <f t="shared" si="6"/>
        <v>10</v>
      </c>
      <c r="AH23" s="127">
        <f t="shared" si="7"/>
        <v>95</v>
      </c>
      <c r="AI23" s="127" t="str">
        <f t="shared" si="8"/>
        <v>Moderado</v>
      </c>
      <c r="AJ23" s="119" t="s">
        <v>250</v>
      </c>
      <c r="AK23" s="127" t="str">
        <f t="shared" si="9"/>
        <v>Moderado</v>
      </c>
      <c r="AL23" s="127" t="str">
        <f t="shared" si="10"/>
        <v>ModeradoModerado</v>
      </c>
      <c r="AM23" s="127" t="str">
        <f>IFERROR(VLOOKUP(AL23,FORMULAS!$B$69:$D$77,3,FALSE),"")</f>
        <v>Moderado</v>
      </c>
      <c r="AN23" s="127">
        <f t="shared" si="11"/>
        <v>50</v>
      </c>
      <c r="AO23" s="127" t="str">
        <f>IFERROR(VLOOKUP(AL23,FORMULAS!$B$69:$D$77,2,FALSE),"")</f>
        <v>Sí</v>
      </c>
      <c r="AP23" s="306">
        <f>IFERROR(AVERAGE(AN23:AN24),0)</f>
        <v>50</v>
      </c>
      <c r="AQ23" s="306" t="str">
        <f>IF(AP23&gt;=100,"Fuerte",IF(AP23&gt;=50,"Moderado",IF(AP23&gt;=1,"Débil","")))</f>
        <v>Moderado</v>
      </c>
      <c r="AR23" s="308" t="s">
        <v>92</v>
      </c>
      <c r="AS23" s="308" t="s">
        <v>94</v>
      </c>
      <c r="AT23" s="306" t="str">
        <f>+AQ23&amp;AR23&amp;AS23</f>
        <v>ModeradoDirectamenteIndirectamente</v>
      </c>
      <c r="AU23" s="306">
        <f>IFERROR(VLOOKUP(AT23,FORMULAS!$B$94:$D$101,2,FALSE),0)</f>
        <v>1</v>
      </c>
      <c r="AV23" s="306">
        <f>IFERROR(VLOOKUP(AT23,FORMULAS!$B$94:$D$101,3,FALSE),0)</f>
        <v>0</v>
      </c>
      <c r="AW23" s="341" t="s">
        <v>15</v>
      </c>
      <c r="AX23" s="341" t="s">
        <v>18</v>
      </c>
      <c r="AY23" s="342" t="str">
        <f>AW23&amp;AX23</f>
        <v>Rara vezInsignificante</v>
      </c>
      <c r="AZ23" s="356" t="str">
        <f>IFERROR(VLOOKUP(AY23,FORMULAS!$B$37:$C$61,2,FALSE),"")</f>
        <v>Riesgo bajo</v>
      </c>
      <c r="BA23" s="343" t="s">
        <v>19</v>
      </c>
      <c r="BB23" s="107" t="s">
        <v>251</v>
      </c>
      <c r="BC23" s="113" t="s">
        <v>252</v>
      </c>
      <c r="BD23" s="113" t="s">
        <v>161</v>
      </c>
      <c r="BE23" s="108" t="s">
        <v>253</v>
      </c>
      <c r="BF23" s="114" t="s">
        <v>254</v>
      </c>
      <c r="BG23" s="265" t="s">
        <v>255</v>
      </c>
      <c r="BH23" s="265" t="s">
        <v>256</v>
      </c>
      <c r="BI23" s="265" t="s">
        <v>178</v>
      </c>
      <c r="BJ23" s="268" t="s">
        <v>242</v>
      </c>
    </row>
    <row r="24" spans="1:62" s="59" customFormat="1" ht="60.75" customHeight="1" x14ac:dyDescent="0.25">
      <c r="A24" s="293"/>
      <c r="B24" s="248"/>
      <c r="C24" s="277"/>
      <c r="D24" s="279"/>
      <c r="E24" s="281"/>
      <c r="F24" s="277"/>
      <c r="G24" s="277"/>
      <c r="H24" s="279"/>
      <c r="I24" s="367"/>
      <c r="J24" s="367"/>
      <c r="K24" s="137" t="s">
        <v>257</v>
      </c>
      <c r="L24" s="275"/>
      <c r="M24" s="355"/>
      <c r="N24" s="368"/>
      <c r="O24" s="368"/>
      <c r="P24" s="355"/>
      <c r="Q24" s="369"/>
      <c r="R24" s="379" t="s">
        <v>258</v>
      </c>
      <c r="S24" s="392"/>
      <c r="T24" s="122" t="s">
        <v>147</v>
      </c>
      <c r="U24" s="69">
        <f t="shared" si="0"/>
        <v>15</v>
      </c>
      <c r="V24" s="122" t="s">
        <v>148</v>
      </c>
      <c r="W24" s="69">
        <f t="shared" si="1"/>
        <v>15</v>
      </c>
      <c r="X24" s="122" t="s">
        <v>149</v>
      </c>
      <c r="Y24" s="69">
        <f t="shared" si="2"/>
        <v>15</v>
      </c>
      <c r="Z24" s="157" t="s">
        <v>150</v>
      </c>
      <c r="AA24" s="69">
        <f t="shared" si="3"/>
        <v>15</v>
      </c>
      <c r="AB24" s="122" t="s">
        <v>151</v>
      </c>
      <c r="AC24" s="69">
        <f t="shared" si="4"/>
        <v>15</v>
      </c>
      <c r="AD24" s="122" t="s">
        <v>152</v>
      </c>
      <c r="AE24" s="69">
        <f t="shared" si="5"/>
        <v>15</v>
      </c>
      <c r="AF24" s="122" t="s">
        <v>153</v>
      </c>
      <c r="AG24" s="124">
        <f t="shared" si="6"/>
        <v>10</v>
      </c>
      <c r="AH24" s="129">
        <f t="shared" si="7"/>
        <v>100</v>
      </c>
      <c r="AI24" s="129" t="str">
        <f t="shared" si="8"/>
        <v>Fuerte</v>
      </c>
      <c r="AJ24" s="120" t="s">
        <v>250</v>
      </c>
      <c r="AK24" s="129" t="str">
        <f t="shared" si="9"/>
        <v>Moderado</v>
      </c>
      <c r="AL24" s="129" t="str">
        <f t="shared" si="10"/>
        <v>FuerteModerado</v>
      </c>
      <c r="AM24" s="129" t="str">
        <f>IFERROR(VLOOKUP(AL24,FORMULAS!$B$69:$D$77,3,FALSE),"")</f>
        <v>Moderado</v>
      </c>
      <c r="AN24" s="129">
        <f t="shared" si="11"/>
        <v>50</v>
      </c>
      <c r="AO24" s="159" t="str">
        <f>IFERROR(VLOOKUP(AL24,FORMULAS!$B$69:$C$77,2,FALSE),"")</f>
        <v>Sí</v>
      </c>
      <c r="AP24" s="307"/>
      <c r="AQ24" s="307"/>
      <c r="AR24" s="305"/>
      <c r="AS24" s="305"/>
      <c r="AT24" s="307"/>
      <c r="AU24" s="307"/>
      <c r="AV24" s="307"/>
      <c r="AW24" s="368"/>
      <c r="AX24" s="368"/>
      <c r="AY24" s="355"/>
      <c r="AZ24" s="357"/>
      <c r="BA24" s="369"/>
      <c r="BB24" s="111" t="s">
        <v>259</v>
      </c>
      <c r="BC24" s="115" t="s">
        <v>260</v>
      </c>
      <c r="BD24" s="115" t="s">
        <v>161</v>
      </c>
      <c r="BE24" s="112" t="s">
        <v>253</v>
      </c>
      <c r="BF24" s="116" t="s">
        <v>261</v>
      </c>
      <c r="BG24" s="267"/>
      <c r="BH24" s="267"/>
      <c r="BI24" s="267"/>
      <c r="BJ24" s="269"/>
    </row>
    <row r="25" spans="1:62" s="59" customFormat="1" ht="123" customHeight="1" x14ac:dyDescent="0.25">
      <c r="A25" s="294"/>
      <c r="B25" s="247" t="s">
        <v>30</v>
      </c>
      <c r="C25" s="249">
        <v>8</v>
      </c>
      <c r="D25" s="290" t="s">
        <v>262</v>
      </c>
      <c r="E25" s="290" t="s">
        <v>263</v>
      </c>
      <c r="F25" s="249" t="s">
        <v>11</v>
      </c>
      <c r="G25" s="249" t="s">
        <v>45</v>
      </c>
      <c r="H25" s="251" t="s">
        <v>218</v>
      </c>
      <c r="I25" s="299"/>
      <c r="J25" s="253"/>
      <c r="K25" s="153" t="s">
        <v>264</v>
      </c>
      <c r="L25" s="290" t="s">
        <v>265</v>
      </c>
      <c r="M25" s="254" t="str">
        <f>IF(F25="gestion","impacto",IF(F25="corrupcion","impactocorrupcion",IF(F25="seguridad_de_la_informacion","impacto","")))</f>
        <v>impacto</v>
      </c>
      <c r="N25" s="249" t="s">
        <v>42</v>
      </c>
      <c r="O25" s="249" t="s">
        <v>28</v>
      </c>
      <c r="P25" s="254" t="str">
        <f>N25&amp;O25</f>
        <v>ProbableMenor</v>
      </c>
      <c r="Q25" s="317" t="str">
        <f>IFERROR(VLOOKUP(P25,[6]FORMULAS!$B$38:$C$62,2,FALSE),"")</f>
        <v>Riesgo alto</v>
      </c>
      <c r="R25" s="252" t="s">
        <v>266</v>
      </c>
      <c r="S25" s="252"/>
      <c r="T25" s="126" t="s">
        <v>147</v>
      </c>
      <c r="U25" s="135">
        <f>IF(T25="Asignado",15,0)</f>
        <v>15</v>
      </c>
      <c r="V25" s="126" t="s">
        <v>148</v>
      </c>
      <c r="W25" s="135">
        <f>IF(V25="Adecuado",15,0)</f>
        <v>15</v>
      </c>
      <c r="X25" s="126" t="s">
        <v>149</v>
      </c>
      <c r="Y25" s="135">
        <f>IF(X25="Oportuna",15,0)</f>
        <v>15</v>
      </c>
      <c r="Z25" s="126" t="s">
        <v>150</v>
      </c>
      <c r="AA25" s="135">
        <f>IF(Z25="Prevenir",15,IF(Z25="Detectar",10,0))</f>
        <v>15</v>
      </c>
      <c r="AB25" s="126" t="s">
        <v>151</v>
      </c>
      <c r="AC25" s="135">
        <f>IF(AB25="Confiable",15,0)</f>
        <v>15</v>
      </c>
      <c r="AD25" s="126" t="s">
        <v>152</v>
      </c>
      <c r="AE25" s="135">
        <f>IF(AD25="Se investigan y resuelven oportunamente",15,0)</f>
        <v>15</v>
      </c>
      <c r="AF25" s="126" t="s">
        <v>153</v>
      </c>
      <c r="AG25" s="135">
        <f>IF(AF25="Completa",10,IF(AF25="incompleta",5,0))</f>
        <v>10</v>
      </c>
      <c r="AH25" s="128">
        <f t="shared" ref="AH25:AH31" si="12">U25+W25+Y25+AA25+AC25+AE25+AG25</f>
        <v>100</v>
      </c>
      <c r="AI25" s="128" t="str">
        <f>IF(AH25&gt;=96,"Fuerte",IF(AH25&gt;=86,"Moderado",IF(AH25&gt;=1,"Débil","")))</f>
        <v>Fuerte</v>
      </c>
      <c r="AJ25" s="139" t="s">
        <v>154</v>
      </c>
      <c r="AK25" s="128" t="str">
        <f>IF(AJ25="Siempre se ejecuta","Fuerte",IF(AJ25="Algunas veces","Moderado",IF(AJ25="no se ejecuta","Débil","")))</f>
        <v>Fuerte</v>
      </c>
      <c r="AL25" s="128" t="str">
        <f>AI25&amp;AK25</f>
        <v>FuerteFuerte</v>
      </c>
      <c r="AM25" s="128" t="str">
        <f>IFERROR(VLOOKUP(AL25,[6]FORMULAS!$B$70:$D$78,3,FALSE),"")</f>
        <v>Fuerte</v>
      </c>
      <c r="AN25" s="128">
        <f>IF(AM25="fuerte",100,IF(AM25="Moderado",50,IF(AM25="débil",0,"")))</f>
        <v>100</v>
      </c>
      <c r="AO25" s="461"/>
      <c r="AP25" s="271">
        <f>IFERROR(AVERAGE(AN25:AN26),0)</f>
        <v>100</v>
      </c>
      <c r="AQ25" s="255" t="str">
        <f>IF(AP25&gt;=100,"Fuerte",IF(AP25&gt;=50,"Moderado",IF(AP25&gt;=1,"Débil","")))</f>
        <v>Fuerte</v>
      </c>
      <c r="AR25" s="272" t="s">
        <v>92</v>
      </c>
      <c r="AS25" s="272" t="s">
        <v>94</v>
      </c>
      <c r="AT25" s="128" t="str">
        <f>+AQ25&amp;AR25&amp;AS25</f>
        <v>FuerteDirectamenteIndirectamente</v>
      </c>
      <c r="AU25" s="255">
        <f>IFERROR(VLOOKUP(AT25,[6]FORMULAS!$B$95:$D$102,2,FALSE),0)</f>
        <v>2</v>
      </c>
      <c r="AV25" s="255">
        <f>IFERROR(VLOOKUP(AT25,[6]FORMULAS!$B$95:$D$102,3,FALSE),0)</f>
        <v>1</v>
      </c>
      <c r="AW25" s="257" t="s">
        <v>15</v>
      </c>
      <c r="AX25" s="257" t="s">
        <v>18</v>
      </c>
      <c r="AY25" s="135" t="str">
        <f>AW25&amp;AX25</f>
        <v>Rara vezInsignificante</v>
      </c>
      <c r="AZ25" s="302" t="str">
        <f>IFERROR(VLOOKUP(AY25,[6]FORMULAS!$B$38:$C$62,2,FALSE),"")</f>
        <v>Riesgo bajo</v>
      </c>
      <c r="BA25" s="502" t="s">
        <v>19</v>
      </c>
      <c r="BB25" s="191" t="s">
        <v>267</v>
      </c>
      <c r="BC25" s="191" t="s">
        <v>268</v>
      </c>
      <c r="BD25" s="191" t="s">
        <v>269</v>
      </c>
      <c r="BE25" s="192" t="s">
        <v>158</v>
      </c>
      <c r="BF25" s="193" t="s">
        <v>270</v>
      </c>
      <c r="BG25" s="194" t="s">
        <v>271</v>
      </c>
      <c r="BH25" s="162" t="s">
        <v>272</v>
      </c>
      <c r="BI25" s="162" t="s">
        <v>273</v>
      </c>
      <c r="BJ25" s="193" t="s">
        <v>274</v>
      </c>
    </row>
    <row r="26" spans="1:62" s="59" customFormat="1" ht="57.75" customHeight="1" x14ac:dyDescent="0.25">
      <c r="A26" s="466"/>
      <c r="B26" s="248"/>
      <c r="C26" s="250"/>
      <c r="D26" s="291"/>
      <c r="E26" s="291"/>
      <c r="F26" s="250"/>
      <c r="G26" s="250"/>
      <c r="H26" s="252"/>
      <c r="I26" s="299"/>
      <c r="J26" s="253"/>
      <c r="K26" s="153" t="s">
        <v>275</v>
      </c>
      <c r="L26" s="292"/>
      <c r="M26" s="254"/>
      <c r="N26" s="270"/>
      <c r="O26" s="270"/>
      <c r="P26" s="254"/>
      <c r="Q26" s="317"/>
      <c r="R26" s="252" t="s">
        <v>276</v>
      </c>
      <c r="S26" s="252"/>
      <c r="T26" s="126" t="s">
        <v>147</v>
      </c>
      <c r="U26" s="135">
        <f t="shared" ref="U26" si="13">IF(T26="Asignado",15,0)</f>
        <v>15</v>
      </c>
      <c r="V26" s="126" t="s">
        <v>148</v>
      </c>
      <c r="W26" s="135">
        <f t="shared" ref="W26" si="14">IF(V26="Adecuado",15,0)</f>
        <v>15</v>
      </c>
      <c r="X26" s="126" t="s">
        <v>149</v>
      </c>
      <c r="Y26" s="135">
        <f t="shared" ref="Y26" si="15">IF(X26="Oportuna",15,0)</f>
        <v>15</v>
      </c>
      <c r="Z26" s="126" t="s">
        <v>150</v>
      </c>
      <c r="AA26" s="135">
        <f t="shared" ref="AA26" si="16">IF(Z26="Prevenir",15,IF(Z26="Detectar",10,0))</f>
        <v>15</v>
      </c>
      <c r="AB26" s="126" t="s">
        <v>151</v>
      </c>
      <c r="AC26" s="135">
        <f t="shared" ref="AC26" si="17">IF(AB26="Confiable",15,0)</f>
        <v>15</v>
      </c>
      <c r="AD26" s="126" t="s">
        <v>152</v>
      </c>
      <c r="AE26" s="135">
        <f t="shared" ref="AE26" si="18">IF(AD26="Se investigan y resuelven oportunamente",15,0)</f>
        <v>15</v>
      </c>
      <c r="AF26" s="126" t="s">
        <v>153</v>
      </c>
      <c r="AG26" s="135">
        <f t="shared" ref="AG26" si="19">IF(AF26="Completa",10,IF(AF26="incompleta",5,0))</f>
        <v>10</v>
      </c>
      <c r="AH26" s="128">
        <f t="shared" si="12"/>
        <v>100</v>
      </c>
      <c r="AI26" s="128" t="str">
        <f>IF(AH26&gt;=96,"Fuerte",IF(AH26&gt;=86,"Moderado",IF(AH26&gt;=1,"Débil","")))</f>
        <v>Fuerte</v>
      </c>
      <c r="AJ26" s="139" t="s">
        <v>154</v>
      </c>
      <c r="AK26" s="128" t="str">
        <f t="shared" ref="AK26" si="20">IF(AJ26="Siempre se ejecuta","Fuerte",IF(AJ26="Algunas veces","Moderado",IF(AJ26="no se ejecuta","Débil","")))</f>
        <v>Fuerte</v>
      </c>
      <c r="AL26" s="128" t="str">
        <f t="shared" ref="AL26" si="21">AI26&amp;AK26</f>
        <v>FuerteFuerte</v>
      </c>
      <c r="AM26" s="128" t="str">
        <f>IFERROR(VLOOKUP(AL26,[6]FORMULAS!$B$70:$D$78,3,FALSE),"")</f>
        <v>Fuerte</v>
      </c>
      <c r="AN26" s="128">
        <f t="shared" ref="AN26" si="22">IF(AM26="fuerte",100,IF(AM26="Moderado",50,IF(AM26="débil",0,"")))</f>
        <v>100</v>
      </c>
      <c r="AO26" s="461"/>
      <c r="AP26" s="271"/>
      <c r="AQ26" s="256"/>
      <c r="AR26" s="273"/>
      <c r="AS26" s="273"/>
      <c r="AT26" s="128"/>
      <c r="AU26" s="256"/>
      <c r="AV26" s="256"/>
      <c r="AW26" s="258"/>
      <c r="AX26" s="258"/>
      <c r="AY26" s="135"/>
      <c r="AZ26" s="303"/>
      <c r="BA26" s="338"/>
      <c r="BB26" s="191" t="s">
        <v>277</v>
      </c>
      <c r="BC26" s="191" t="s">
        <v>278</v>
      </c>
      <c r="BD26" s="191" t="s">
        <v>269</v>
      </c>
      <c r="BE26" s="192" t="s">
        <v>158</v>
      </c>
      <c r="BF26" s="183" t="s">
        <v>279</v>
      </c>
      <c r="BG26" s="197"/>
      <c r="BH26" s="172"/>
      <c r="BI26" s="172"/>
      <c r="BJ26" s="198"/>
    </row>
    <row r="27" spans="1:62" s="59" customFormat="1" ht="60" customHeight="1" x14ac:dyDescent="0.25">
      <c r="A27" s="498"/>
      <c r="B27" s="247" t="s">
        <v>30</v>
      </c>
      <c r="C27" s="331">
        <v>9</v>
      </c>
      <c r="D27" s="333" t="s">
        <v>280</v>
      </c>
      <c r="E27" s="333" t="s">
        <v>281</v>
      </c>
      <c r="F27" s="331" t="s">
        <v>11</v>
      </c>
      <c r="G27" s="331" t="s">
        <v>12</v>
      </c>
      <c r="H27" s="333" t="s">
        <v>218</v>
      </c>
      <c r="I27" s="390"/>
      <c r="J27" s="390"/>
      <c r="K27" s="331" t="s">
        <v>282</v>
      </c>
      <c r="L27" s="331" t="s">
        <v>283</v>
      </c>
      <c r="M27" s="254" t="str">
        <f t="shared" ref="M27" si="23">IF(F27="gestion","impacto",IF(F27="corrupcion","impactocorrupcion",IF(F27="seguridad_de_la_informacion","impacto","")))</f>
        <v>impacto</v>
      </c>
      <c r="N27" s="331" t="s">
        <v>35</v>
      </c>
      <c r="O27" s="331" t="s">
        <v>17</v>
      </c>
      <c r="P27" s="254" t="str">
        <f t="shared" ref="P27" si="24">N27&amp;O27</f>
        <v>PosibleModerado</v>
      </c>
      <c r="Q27" s="337" t="str">
        <f>IFERROR(VLOOKUP(P27,[6]FORMULAS!$B$38:$C$62,2,FALSE),"")</f>
        <v>Riesgo alto</v>
      </c>
      <c r="R27" s="492" t="s">
        <v>284</v>
      </c>
      <c r="S27" s="493"/>
      <c r="T27" s="331" t="s">
        <v>147</v>
      </c>
      <c r="U27" s="135">
        <f>IF(T27="Asignado",15,0)</f>
        <v>15</v>
      </c>
      <c r="V27" s="331" t="s">
        <v>148</v>
      </c>
      <c r="W27" s="135">
        <f>IF(V27="Adecuado",15,0)</f>
        <v>15</v>
      </c>
      <c r="X27" s="331" t="s">
        <v>149</v>
      </c>
      <c r="Y27" s="135">
        <f>IF(X27="Oportuna",15,0)</f>
        <v>15</v>
      </c>
      <c r="Z27" s="331" t="s">
        <v>150</v>
      </c>
      <c r="AA27" s="135">
        <f>IF(Z27="Prevenir",15,IF(Z27="Detectar",10,0))</f>
        <v>15</v>
      </c>
      <c r="AB27" s="331" t="s">
        <v>151</v>
      </c>
      <c r="AC27" s="135">
        <f>IF(AB27="Confiable",15,0)</f>
        <v>15</v>
      </c>
      <c r="AD27" s="331" t="s">
        <v>152</v>
      </c>
      <c r="AE27" s="135">
        <f>IF(AD27="Se investigan y resuelven oportunamente",15,0)</f>
        <v>15</v>
      </c>
      <c r="AF27" s="331" t="s">
        <v>153</v>
      </c>
      <c r="AG27" s="135">
        <f>IF(AF27="Completa",10,IF(AF27="incompleta",5,0))</f>
        <v>10</v>
      </c>
      <c r="AH27" s="300">
        <f t="shared" si="12"/>
        <v>100</v>
      </c>
      <c r="AI27" s="300" t="str">
        <f>IF(AH27&gt;=96,"Fuerte",IF(AH27&gt;=86,"Moderado",IF(AH27&gt;=1,"Débil","")))</f>
        <v>Fuerte</v>
      </c>
      <c r="AJ27" s="301" t="s">
        <v>154</v>
      </c>
      <c r="AK27" s="300" t="str">
        <f>IF(AJ27="Siempre se ejecuta","Fuerte",IF(AJ27="Algunas veces","Moderado",IF(AJ27="no se ejecuta","Débil","")))</f>
        <v>Fuerte</v>
      </c>
      <c r="AL27" s="128" t="str">
        <f>AI27&amp;AK27</f>
        <v>FuerteFuerte</v>
      </c>
      <c r="AM27" s="300" t="str">
        <f>IFERROR(VLOOKUP(AL27,[6]FORMULAS!$B$70:$D$78,3,FALSE),"")</f>
        <v>Fuerte</v>
      </c>
      <c r="AN27" s="300">
        <f>IF(AM27="fuerte",100,IF(AM27="Moderado",50,IF(AM27="débil",0,"")))</f>
        <v>100</v>
      </c>
      <c r="AO27" s="461"/>
      <c r="AP27" s="271">
        <f>IFERROR(AVERAGE(AN27:AN30),0)</f>
        <v>100</v>
      </c>
      <c r="AQ27" s="300" t="str">
        <f>IF(AP27&gt;=100,"Fuerte",IF(AP27&gt;=50,"Moderado",IF(AP27&gt;=1,"Débil","")))</f>
        <v>Fuerte</v>
      </c>
      <c r="AR27" s="301" t="s">
        <v>92</v>
      </c>
      <c r="AS27" s="301" t="s">
        <v>94</v>
      </c>
      <c r="AT27" s="128" t="str">
        <f>+AQ27&amp;AR27&amp;AS27</f>
        <v>FuerteDirectamenteIndirectamente</v>
      </c>
      <c r="AU27" s="300">
        <f>IFERROR(VLOOKUP(AT27,[6]FORMULAS!$B$95:$D$102,2,FALSE),0)</f>
        <v>2</v>
      </c>
      <c r="AV27" s="300">
        <f>IFERROR(VLOOKUP(AT27,[6]FORMULAS!$B$95:$D$102,3,FALSE),0)</f>
        <v>1</v>
      </c>
      <c r="AW27" s="331" t="s">
        <v>25</v>
      </c>
      <c r="AX27" s="331" t="s">
        <v>28</v>
      </c>
      <c r="AY27" s="135" t="str">
        <f>AW27&amp;AX27</f>
        <v>ImprobableMenor</v>
      </c>
      <c r="AZ27" s="336" t="str">
        <f>IFERROR(VLOOKUP(AY27,[6]FORMULAS!$B$38:$C$62,2,FALSE),"")</f>
        <v>Riesgo bajo</v>
      </c>
      <c r="BA27" s="337" t="s">
        <v>19</v>
      </c>
      <c r="BB27" s="194" t="s">
        <v>285</v>
      </c>
      <c r="BC27" s="162" t="s">
        <v>286</v>
      </c>
      <c r="BD27" s="162" t="s">
        <v>287</v>
      </c>
      <c r="BE27" s="193" t="s">
        <v>224</v>
      </c>
      <c r="BF27" s="193" t="s">
        <v>288</v>
      </c>
      <c r="BG27" s="194" t="s">
        <v>289</v>
      </c>
      <c r="BH27" s="162" t="s">
        <v>290</v>
      </c>
      <c r="BI27" s="162" t="s">
        <v>269</v>
      </c>
      <c r="BJ27" s="193" t="s">
        <v>274</v>
      </c>
    </row>
    <row r="28" spans="1:62" s="59" customFormat="1" ht="60.75" customHeight="1" x14ac:dyDescent="0.25">
      <c r="A28" s="499"/>
      <c r="B28" s="359"/>
      <c r="C28" s="332"/>
      <c r="D28" s="289"/>
      <c r="E28" s="289"/>
      <c r="F28" s="332"/>
      <c r="G28" s="332"/>
      <c r="H28" s="289"/>
      <c r="I28" s="489"/>
      <c r="J28" s="489"/>
      <c r="K28" s="332"/>
      <c r="L28" s="332"/>
      <c r="M28" s="254"/>
      <c r="N28" s="332"/>
      <c r="O28" s="332"/>
      <c r="P28" s="254"/>
      <c r="Q28" s="491"/>
      <c r="R28" s="494"/>
      <c r="S28" s="495"/>
      <c r="T28" s="332"/>
      <c r="U28" s="135">
        <f t="shared" ref="U28:U30" si="25">IF(T28="Asignado",15,0)</f>
        <v>0</v>
      </c>
      <c r="V28" s="332"/>
      <c r="W28" s="135">
        <f t="shared" ref="W28:W30" si="26">IF(V28="Adecuado",15,0)</f>
        <v>0</v>
      </c>
      <c r="X28" s="332"/>
      <c r="Y28" s="135">
        <f t="shared" ref="Y28:Y30" si="27">IF(X28="Oportuna",15,0)</f>
        <v>0</v>
      </c>
      <c r="Z28" s="332"/>
      <c r="AA28" s="135">
        <f t="shared" ref="AA28:AA30" si="28">IF(Z28="Prevenir",15,IF(Z28="Detectar",10,0))</f>
        <v>0</v>
      </c>
      <c r="AB28" s="332"/>
      <c r="AC28" s="135">
        <f t="shared" ref="AC28:AC30" si="29">IF(AB28="Confiable",15,0)</f>
        <v>0</v>
      </c>
      <c r="AD28" s="332"/>
      <c r="AE28" s="135">
        <f t="shared" ref="AE28:AE30" si="30">IF(AD28="Se investigan y resuelven oportunamente",15,0)</f>
        <v>0</v>
      </c>
      <c r="AF28" s="332"/>
      <c r="AG28" s="135">
        <f t="shared" ref="AG28:AG30" si="31">IF(AF28="Completa",10,IF(AF28="incompleta",5,0))</f>
        <v>0</v>
      </c>
      <c r="AH28" s="487"/>
      <c r="AI28" s="487"/>
      <c r="AJ28" s="488"/>
      <c r="AK28" s="487"/>
      <c r="AL28" s="128" t="str">
        <f t="shared" ref="AL28:AL30" si="32">AI28&amp;AK28</f>
        <v/>
      </c>
      <c r="AM28" s="487"/>
      <c r="AN28" s="487"/>
      <c r="AO28" s="461"/>
      <c r="AP28" s="271"/>
      <c r="AQ28" s="487"/>
      <c r="AR28" s="488"/>
      <c r="AS28" s="488"/>
      <c r="AT28" s="128"/>
      <c r="AU28" s="487"/>
      <c r="AV28" s="487"/>
      <c r="AW28" s="332"/>
      <c r="AX28" s="332"/>
      <c r="AY28" s="135"/>
      <c r="AZ28" s="501"/>
      <c r="BA28" s="491"/>
      <c r="BB28" s="195"/>
      <c r="BC28" s="184"/>
      <c r="BD28" s="184"/>
      <c r="BE28" s="196"/>
      <c r="BF28" s="196"/>
      <c r="BG28" s="195"/>
      <c r="BH28" s="184"/>
      <c r="BI28" s="184"/>
      <c r="BJ28" s="196"/>
    </row>
    <row r="29" spans="1:62" s="59" customFormat="1" ht="15" customHeight="1" x14ac:dyDescent="0.25">
      <c r="A29" s="499"/>
      <c r="B29" s="359"/>
      <c r="C29" s="332"/>
      <c r="D29" s="289"/>
      <c r="E29" s="289"/>
      <c r="F29" s="332"/>
      <c r="G29" s="332"/>
      <c r="H29" s="289"/>
      <c r="I29" s="489"/>
      <c r="J29" s="489"/>
      <c r="K29" s="332"/>
      <c r="L29" s="332"/>
      <c r="M29" s="254"/>
      <c r="N29" s="332"/>
      <c r="O29" s="332"/>
      <c r="P29" s="254"/>
      <c r="Q29" s="491"/>
      <c r="R29" s="494"/>
      <c r="S29" s="495"/>
      <c r="T29" s="332"/>
      <c r="U29" s="135">
        <f t="shared" si="25"/>
        <v>0</v>
      </c>
      <c r="V29" s="332"/>
      <c r="W29" s="135">
        <f t="shared" si="26"/>
        <v>0</v>
      </c>
      <c r="X29" s="332"/>
      <c r="Y29" s="135">
        <f t="shared" si="27"/>
        <v>0</v>
      </c>
      <c r="Z29" s="332"/>
      <c r="AA29" s="135">
        <f t="shared" si="28"/>
        <v>0</v>
      </c>
      <c r="AB29" s="332"/>
      <c r="AC29" s="135">
        <f t="shared" si="29"/>
        <v>0</v>
      </c>
      <c r="AD29" s="332"/>
      <c r="AE29" s="135">
        <f t="shared" si="30"/>
        <v>0</v>
      </c>
      <c r="AF29" s="332"/>
      <c r="AG29" s="135">
        <f t="shared" si="31"/>
        <v>0</v>
      </c>
      <c r="AH29" s="487"/>
      <c r="AI29" s="487"/>
      <c r="AJ29" s="488"/>
      <c r="AK29" s="487"/>
      <c r="AL29" s="128" t="str">
        <f t="shared" si="32"/>
        <v/>
      </c>
      <c r="AM29" s="487"/>
      <c r="AN29" s="487"/>
      <c r="AO29" s="461"/>
      <c r="AP29" s="271"/>
      <c r="AQ29" s="487"/>
      <c r="AR29" s="488"/>
      <c r="AS29" s="488"/>
      <c r="AT29" s="128"/>
      <c r="AU29" s="487"/>
      <c r="AV29" s="487"/>
      <c r="AW29" s="332"/>
      <c r="AX29" s="332"/>
      <c r="AY29" s="135"/>
      <c r="AZ29" s="501"/>
      <c r="BA29" s="491"/>
      <c r="BB29" s="195"/>
      <c r="BC29" s="184"/>
      <c r="BD29" s="184"/>
      <c r="BE29" s="196"/>
      <c r="BF29" s="196"/>
      <c r="BG29" s="195"/>
      <c r="BH29" s="184"/>
      <c r="BI29" s="184"/>
      <c r="BJ29" s="196"/>
    </row>
    <row r="30" spans="1:62" s="59" customFormat="1" ht="15" customHeight="1" x14ac:dyDescent="0.25">
      <c r="A30" s="499"/>
      <c r="B30" s="359"/>
      <c r="C30" s="332"/>
      <c r="D30" s="289"/>
      <c r="E30" s="289"/>
      <c r="F30" s="332"/>
      <c r="G30" s="332"/>
      <c r="H30" s="289"/>
      <c r="I30" s="489"/>
      <c r="J30" s="489"/>
      <c r="K30" s="258"/>
      <c r="L30" s="332"/>
      <c r="M30" s="254"/>
      <c r="N30" s="332"/>
      <c r="O30" s="332"/>
      <c r="P30" s="254"/>
      <c r="Q30" s="491"/>
      <c r="R30" s="496"/>
      <c r="S30" s="497"/>
      <c r="T30" s="258"/>
      <c r="U30" s="135">
        <f t="shared" si="25"/>
        <v>0</v>
      </c>
      <c r="V30" s="258"/>
      <c r="W30" s="135">
        <f t="shared" si="26"/>
        <v>0</v>
      </c>
      <c r="X30" s="258"/>
      <c r="Y30" s="135">
        <f t="shared" si="27"/>
        <v>0</v>
      </c>
      <c r="Z30" s="258"/>
      <c r="AA30" s="135">
        <f t="shared" si="28"/>
        <v>0</v>
      </c>
      <c r="AB30" s="258"/>
      <c r="AC30" s="135">
        <f t="shared" si="29"/>
        <v>0</v>
      </c>
      <c r="AD30" s="258"/>
      <c r="AE30" s="135">
        <f t="shared" si="30"/>
        <v>0</v>
      </c>
      <c r="AF30" s="258"/>
      <c r="AG30" s="135">
        <f t="shared" si="31"/>
        <v>0</v>
      </c>
      <c r="AH30" s="256"/>
      <c r="AI30" s="256"/>
      <c r="AJ30" s="273"/>
      <c r="AK30" s="256"/>
      <c r="AL30" s="128" t="str">
        <f t="shared" si="32"/>
        <v/>
      </c>
      <c r="AM30" s="256"/>
      <c r="AN30" s="256"/>
      <c r="AO30" s="461"/>
      <c r="AP30" s="271"/>
      <c r="AQ30" s="256"/>
      <c r="AR30" s="273"/>
      <c r="AS30" s="273"/>
      <c r="AT30" s="128"/>
      <c r="AU30" s="256"/>
      <c r="AV30" s="256"/>
      <c r="AW30" s="332"/>
      <c r="AX30" s="332"/>
      <c r="AY30" s="135"/>
      <c r="AZ30" s="501"/>
      <c r="BA30" s="491"/>
      <c r="BB30" s="197"/>
      <c r="BC30" s="172"/>
      <c r="BD30" s="172"/>
      <c r="BE30" s="198"/>
      <c r="BF30" s="198"/>
      <c r="BG30" s="197"/>
      <c r="BH30" s="172"/>
      <c r="BI30" s="172"/>
      <c r="BJ30" s="198"/>
    </row>
    <row r="31" spans="1:62" s="59" customFormat="1" ht="15" customHeight="1" x14ac:dyDescent="0.25">
      <c r="A31" s="499"/>
      <c r="B31" s="359"/>
      <c r="C31" s="332"/>
      <c r="D31" s="289"/>
      <c r="E31" s="289"/>
      <c r="F31" s="332"/>
      <c r="G31" s="332"/>
      <c r="H31" s="289"/>
      <c r="I31" s="489"/>
      <c r="J31" s="489"/>
      <c r="K31" s="331" t="s">
        <v>291</v>
      </c>
      <c r="L31" s="332"/>
      <c r="M31" s="254" t="str">
        <f t="shared" ref="M31" si="33">IF(F31="gestion","impacto",IF(F31="corrupcion","impactocorrupcion",IF(F31="seguridad_de_la_informacion","impacto","")))</f>
        <v/>
      </c>
      <c r="N31" s="332"/>
      <c r="O31" s="332"/>
      <c r="P31" s="254" t="str">
        <f t="shared" ref="P31" si="34">N31&amp;O31</f>
        <v/>
      </c>
      <c r="Q31" s="491"/>
      <c r="R31" s="492" t="s">
        <v>292</v>
      </c>
      <c r="S31" s="493"/>
      <c r="T31" s="331" t="s">
        <v>147</v>
      </c>
      <c r="U31" s="135">
        <f>IF(T31="Asignado",15,0)</f>
        <v>15</v>
      </c>
      <c r="V31" s="331" t="s">
        <v>148</v>
      </c>
      <c r="W31" s="135">
        <f>IF(V31="Adecuado",15,0)</f>
        <v>15</v>
      </c>
      <c r="X31" s="331" t="s">
        <v>149</v>
      </c>
      <c r="Y31" s="135">
        <f>IF(X31="Oportuna",15,0)</f>
        <v>15</v>
      </c>
      <c r="Z31" s="331" t="s">
        <v>150</v>
      </c>
      <c r="AA31" s="135">
        <f>IF(Z31="Prevenir",15,IF(Z31="Detectar",10,0))</f>
        <v>15</v>
      </c>
      <c r="AB31" s="331" t="s">
        <v>151</v>
      </c>
      <c r="AC31" s="135">
        <f>IF(AB31="Confiable",15,0)</f>
        <v>15</v>
      </c>
      <c r="AD31" s="331" t="s">
        <v>152</v>
      </c>
      <c r="AE31" s="135">
        <f>IF(AD31="Se investigan y resuelven oportunamente",15,0)</f>
        <v>15</v>
      </c>
      <c r="AF31" s="331" t="s">
        <v>153</v>
      </c>
      <c r="AG31" s="135">
        <f>IF(AF31="Completa",10,IF(AF31="incompleta",5,0))</f>
        <v>10</v>
      </c>
      <c r="AH31" s="300">
        <f t="shared" si="12"/>
        <v>100</v>
      </c>
      <c r="AI31" s="300" t="str">
        <f>IF(AH31&gt;=96,"Fuerte",IF(AH31&gt;=86,"Moderado",IF(AH31&gt;=1,"Débil","")))</f>
        <v>Fuerte</v>
      </c>
      <c r="AJ31" s="301" t="s">
        <v>154</v>
      </c>
      <c r="AK31" s="300" t="str">
        <f>IF(AJ31="Siempre se ejecuta","Fuerte",IF(AJ31="Algunas veces","Moderado",IF(AJ31="no se ejecuta","Débil","")))</f>
        <v>Fuerte</v>
      </c>
      <c r="AL31" s="128" t="str">
        <f>AI31&amp;AK31</f>
        <v>FuerteFuerte</v>
      </c>
      <c r="AM31" s="300" t="str">
        <f>IFERROR(VLOOKUP(AL31,[6]FORMULAS!$B$70:$D$78,3,FALSE),"")</f>
        <v>Fuerte</v>
      </c>
      <c r="AN31" s="300">
        <f>IF(AM31="fuerte",100,IF(AM31="Moderado",50,IF(AM31="débil",0,"")))</f>
        <v>100</v>
      </c>
      <c r="AO31" s="461"/>
      <c r="AP31" s="271">
        <f>IFERROR(AVERAGE(AN31:AN34),0)</f>
        <v>100</v>
      </c>
      <c r="AQ31" s="300" t="str">
        <f>IF(AP31&gt;=100,"Fuerte",IF(AP31&gt;=50,"Moderado",IF(AP31&gt;=1,"Débil","")))</f>
        <v>Fuerte</v>
      </c>
      <c r="AR31" s="301" t="s">
        <v>92</v>
      </c>
      <c r="AS31" s="301" t="s">
        <v>94</v>
      </c>
      <c r="AT31" s="128" t="str">
        <f>+AQ31&amp;AR31&amp;AS31</f>
        <v>FuerteDirectamenteIndirectamente</v>
      </c>
      <c r="AU31" s="300">
        <f>IFERROR(VLOOKUP(AT31,[6]FORMULAS!$B$95:$D$102,2,FALSE),0)</f>
        <v>2</v>
      </c>
      <c r="AV31" s="300">
        <f>IFERROR(VLOOKUP(AT31,[6]FORMULAS!$B$95:$D$102,3,FALSE),0)</f>
        <v>1</v>
      </c>
      <c r="AW31" s="332"/>
      <c r="AX31" s="332"/>
      <c r="AY31" s="135" t="str">
        <f>AW31&amp;AX31</f>
        <v/>
      </c>
      <c r="AZ31" s="501"/>
      <c r="BA31" s="491"/>
      <c r="BB31" s="194" t="s">
        <v>293</v>
      </c>
      <c r="BC31" s="162" t="s">
        <v>286</v>
      </c>
      <c r="BD31" s="162" t="s">
        <v>287</v>
      </c>
      <c r="BE31" s="193" t="s">
        <v>224</v>
      </c>
      <c r="BF31" s="193" t="s">
        <v>270</v>
      </c>
      <c r="BG31" s="194" t="s">
        <v>294</v>
      </c>
      <c r="BH31" s="162" t="s">
        <v>290</v>
      </c>
      <c r="BI31" s="162" t="s">
        <v>269</v>
      </c>
      <c r="BJ31" s="193" t="s">
        <v>274</v>
      </c>
    </row>
    <row r="32" spans="1:62" s="59" customFormat="1" ht="15" customHeight="1" x14ac:dyDescent="0.25">
      <c r="A32" s="499"/>
      <c r="B32" s="359"/>
      <c r="C32" s="332"/>
      <c r="D32" s="289"/>
      <c r="E32" s="289"/>
      <c r="F32" s="332"/>
      <c r="G32" s="332"/>
      <c r="H32" s="289"/>
      <c r="I32" s="489"/>
      <c r="J32" s="489"/>
      <c r="K32" s="332"/>
      <c r="L32" s="332"/>
      <c r="M32" s="254"/>
      <c r="N32" s="332"/>
      <c r="O32" s="332"/>
      <c r="P32" s="254"/>
      <c r="Q32" s="491"/>
      <c r="R32" s="494"/>
      <c r="S32" s="495"/>
      <c r="T32" s="332"/>
      <c r="U32" s="135">
        <f t="shared" ref="U32:U34" si="35">IF(T32="Asignado",15,0)</f>
        <v>0</v>
      </c>
      <c r="V32" s="332"/>
      <c r="W32" s="135">
        <f t="shared" ref="W32:W34" si="36">IF(V32="Adecuado",15,0)</f>
        <v>0</v>
      </c>
      <c r="X32" s="332"/>
      <c r="Y32" s="135">
        <f t="shared" ref="Y32:Y34" si="37">IF(X32="Oportuna",15,0)</f>
        <v>0</v>
      </c>
      <c r="Z32" s="332"/>
      <c r="AA32" s="135">
        <f t="shared" ref="AA32:AA34" si="38">IF(Z32="Prevenir",15,IF(Z32="Detectar",10,0))</f>
        <v>0</v>
      </c>
      <c r="AB32" s="332"/>
      <c r="AC32" s="135">
        <f t="shared" ref="AC32:AC34" si="39">IF(AB32="Confiable",15,0)</f>
        <v>0</v>
      </c>
      <c r="AD32" s="332"/>
      <c r="AE32" s="135">
        <f t="shared" ref="AE32:AE34" si="40">IF(AD32="Se investigan y resuelven oportunamente",15,0)</f>
        <v>0</v>
      </c>
      <c r="AF32" s="332"/>
      <c r="AG32" s="135">
        <f t="shared" ref="AG32:AG34" si="41">IF(AF32="Completa",10,IF(AF32="incompleta",5,0))</f>
        <v>0</v>
      </c>
      <c r="AH32" s="487"/>
      <c r="AI32" s="487"/>
      <c r="AJ32" s="488"/>
      <c r="AK32" s="487"/>
      <c r="AL32" s="128" t="str">
        <f t="shared" ref="AL32:AL34" si="42">AI32&amp;AK32</f>
        <v/>
      </c>
      <c r="AM32" s="487"/>
      <c r="AN32" s="487"/>
      <c r="AO32" s="461"/>
      <c r="AP32" s="271"/>
      <c r="AQ32" s="487"/>
      <c r="AR32" s="488"/>
      <c r="AS32" s="488"/>
      <c r="AT32" s="128"/>
      <c r="AU32" s="487"/>
      <c r="AV32" s="487"/>
      <c r="AW32" s="332"/>
      <c r="AX32" s="332"/>
      <c r="AY32" s="135"/>
      <c r="AZ32" s="501"/>
      <c r="BA32" s="491"/>
      <c r="BB32" s="195"/>
      <c r="BC32" s="184"/>
      <c r="BD32" s="184"/>
      <c r="BE32" s="196"/>
      <c r="BF32" s="196"/>
      <c r="BG32" s="195"/>
      <c r="BH32" s="184"/>
      <c r="BI32" s="184"/>
      <c r="BJ32" s="196"/>
    </row>
    <row r="33" spans="1:62" s="59" customFormat="1" ht="15" customHeight="1" x14ac:dyDescent="0.25">
      <c r="A33" s="499"/>
      <c r="B33" s="359"/>
      <c r="C33" s="332"/>
      <c r="D33" s="289"/>
      <c r="E33" s="289"/>
      <c r="F33" s="332"/>
      <c r="G33" s="332"/>
      <c r="H33" s="289"/>
      <c r="I33" s="489"/>
      <c r="J33" s="489"/>
      <c r="K33" s="332"/>
      <c r="L33" s="332"/>
      <c r="M33" s="254"/>
      <c r="N33" s="332"/>
      <c r="O33" s="332"/>
      <c r="P33" s="254"/>
      <c r="Q33" s="491"/>
      <c r="R33" s="494"/>
      <c r="S33" s="495"/>
      <c r="T33" s="332"/>
      <c r="U33" s="135">
        <f t="shared" si="35"/>
        <v>0</v>
      </c>
      <c r="V33" s="332"/>
      <c r="W33" s="135">
        <f t="shared" si="36"/>
        <v>0</v>
      </c>
      <c r="X33" s="332"/>
      <c r="Y33" s="135">
        <f t="shared" si="37"/>
        <v>0</v>
      </c>
      <c r="Z33" s="332"/>
      <c r="AA33" s="135">
        <f t="shared" si="38"/>
        <v>0</v>
      </c>
      <c r="AB33" s="332"/>
      <c r="AC33" s="135">
        <f t="shared" si="39"/>
        <v>0</v>
      </c>
      <c r="AD33" s="332"/>
      <c r="AE33" s="135">
        <f t="shared" si="40"/>
        <v>0</v>
      </c>
      <c r="AF33" s="332"/>
      <c r="AG33" s="135">
        <f t="shared" si="41"/>
        <v>0</v>
      </c>
      <c r="AH33" s="487"/>
      <c r="AI33" s="487"/>
      <c r="AJ33" s="488"/>
      <c r="AK33" s="487"/>
      <c r="AL33" s="128" t="str">
        <f t="shared" si="42"/>
        <v/>
      </c>
      <c r="AM33" s="487"/>
      <c r="AN33" s="487"/>
      <c r="AO33" s="461"/>
      <c r="AP33" s="271"/>
      <c r="AQ33" s="487"/>
      <c r="AR33" s="488"/>
      <c r="AS33" s="488"/>
      <c r="AT33" s="128"/>
      <c r="AU33" s="487"/>
      <c r="AV33" s="487"/>
      <c r="AW33" s="332"/>
      <c r="AX33" s="332"/>
      <c r="AY33" s="135"/>
      <c r="AZ33" s="501"/>
      <c r="BA33" s="491"/>
      <c r="BB33" s="195"/>
      <c r="BC33" s="184"/>
      <c r="BD33" s="184"/>
      <c r="BE33" s="196"/>
      <c r="BF33" s="196"/>
      <c r="BG33" s="195"/>
      <c r="BH33" s="184"/>
      <c r="BI33" s="184"/>
      <c r="BJ33" s="196"/>
    </row>
    <row r="34" spans="1:62" s="59" customFormat="1" ht="15.75" customHeight="1" x14ac:dyDescent="0.25">
      <c r="A34" s="500"/>
      <c r="B34" s="248"/>
      <c r="C34" s="258"/>
      <c r="D34" s="334"/>
      <c r="E34" s="334"/>
      <c r="F34" s="258"/>
      <c r="G34" s="258"/>
      <c r="H34" s="334"/>
      <c r="I34" s="490"/>
      <c r="J34" s="490"/>
      <c r="K34" s="258"/>
      <c r="L34" s="258"/>
      <c r="M34" s="254"/>
      <c r="N34" s="258"/>
      <c r="O34" s="258"/>
      <c r="P34" s="254"/>
      <c r="Q34" s="338"/>
      <c r="R34" s="496"/>
      <c r="S34" s="497"/>
      <c r="T34" s="258"/>
      <c r="U34" s="135">
        <f t="shared" si="35"/>
        <v>0</v>
      </c>
      <c r="V34" s="258"/>
      <c r="W34" s="135">
        <f t="shared" si="36"/>
        <v>0</v>
      </c>
      <c r="X34" s="258"/>
      <c r="Y34" s="135">
        <f t="shared" si="37"/>
        <v>0</v>
      </c>
      <c r="Z34" s="258"/>
      <c r="AA34" s="135">
        <f t="shared" si="38"/>
        <v>0</v>
      </c>
      <c r="AB34" s="258"/>
      <c r="AC34" s="135">
        <f t="shared" si="39"/>
        <v>0</v>
      </c>
      <c r="AD34" s="258"/>
      <c r="AE34" s="135">
        <f t="shared" si="40"/>
        <v>0</v>
      </c>
      <c r="AF34" s="258"/>
      <c r="AG34" s="135">
        <f t="shared" si="41"/>
        <v>0</v>
      </c>
      <c r="AH34" s="256"/>
      <c r="AI34" s="256"/>
      <c r="AJ34" s="273"/>
      <c r="AK34" s="256"/>
      <c r="AL34" s="128" t="str">
        <f t="shared" si="42"/>
        <v/>
      </c>
      <c r="AM34" s="256"/>
      <c r="AN34" s="256"/>
      <c r="AO34" s="461"/>
      <c r="AP34" s="271"/>
      <c r="AQ34" s="322"/>
      <c r="AR34" s="453"/>
      <c r="AS34" s="453"/>
      <c r="AT34" s="128"/>
      <c r="AU34" s="322"/>
      <c r="AV34" s="322"/>
      <c r="AW34" s="321"/>
      <c r="AX34" s="321"/>
      <c r="AY34" s="135"/>
      <c r="AZ34" s="455"/>
      <c r="BA34" s="503"/>
      <c r="BB34" s="197"/>
      <c r="BC34" s="172"/>
      <c r="BD34" s="172"/>
      <c r="BE34" s="198"/>
      <c r="BF34" s="198"/>
      <c r="BG34" s="197"/>
      <c r="BH34" s="172"/>
      <c r="BI34" s="172"/>
      <c r="BJ34" s="198"/>
    </row>
    <row r="35" spans="1:62" s="59" customFormat="1" ht="72" x14ac:dyDescent="0.25">
      <c r="A35" s="293"/>
      <c r="B35" s="247" t="s">
        <v>38</v>
      </c>
      <c r="C35" s="276">
        <v>10</v>
      </c>
      <c r="D35" s="278" t="s">
        <v>295</v>
      </c>
      <c r="E35" s="278" t="s">
        <v>296</v>
      </c>
      <c r="F35" s="341" t="s">
        <v>11</v>
      </c>
      <c r="G35" s="341" t="s">
        <v>32</v>
      </c>
      <c r="H35" s="344" t="s">
        <v>218</v>
      </c>
      <c r="I35" s="345"/>
      <c r="J35" s="345"/>
      <c r="K35" s="138" t="s">
        <v>297</v>
      </c>
      <c r="L35" s="288" t="s">
        <v>298</v>
      </c>
      <c r="M35" s="342" t="str">
        <f>IF(F35="gestion","impacto",IF(F35="corrupcion","impactocorrupcion",IF(F35="seguridad_de_la_informacion","impacto","")))</f>
        <v>impacto</v>
      </c>
      <c r="N35" s="341" t="s">
        <v>15</v>
      </c>
      <c r="O35" s="341" t="s">
        <v>27</v>
      </c>
      <c r="P35" s="342" t="str">
        <f>N35&amp;O35</f>
        <v>Rara vezMayor</v>
      </c>
      <c r="Q35" s="343" t="str">
        <f>IFERROR(VLOOKUP(P35,FORMULAS!$B$37:$C$61,2,FALSE),"")</f>
        <v>Riesgo alto</v>
      </c>
      <c r="R35" s="374" t="s">
        <v>299</v>
      </c>
      <c r="S35" s="374"/>
      <c r="T35" s="121" t="s">
        <v>147</v>
      </c>
      <c r="U35" s="67">
        <f t="shared" ref="U35:U53" si="43">IF(T35="Asignado",15,0)</f>
        <v>15</v>
      </c>
      <c r="V35" s="121" t="s">
        <v>148</v>
      </c>
      <c r="W35" s="67">
        <f t="shared" ref="W35:W53" si="44">IF(V35="Adecuado",15,0)</f>
        <v>15</v>
      </c>
      <c r="X35" s="121" t="s">
        <v>149</v>
      </c>
      <c r="Y35" s="67">
        <f t="shared" ref="Y35:Y53" si="45">IF(X35="Oportuna",15,0)</f>
        <v>15</v>
      </c>
      <c r="Z35" s="121" t="s">
        <v>182</v>
      </c>
      <c r="AA35" s="67">
        <f t="shared" ref="AA35:AA53" si="46">IF(Z35="Prevenir",15,IF(Z35="Detectar",10,0))</f>
        <v>10</v>
      </c>
      <c r="AB35" s="121" t="s">
        <v>151</v>
      </c>
      <c r="AC35" s="67">
        <f t="shared" ref="AC35:AC53" si="47">IF(AB35="Confiable",15,0)</f>
        <v>15</v>
      </c>
      <c r="AD35" s="121" t="s">
        <v>152</v>
      </c>
      <c r="AE35" s="67">
        <f t="shared" ref="AE35:AE53" si="48">IF(AD35="Se investigan y resuelven oportunamente",15,0)</f>
        <v>15</v>
      </c>
      <c r="AF35" s="121" t="s">
        <v>153</v>
      </c>
      <c r="AG35" s="123">
        <f t="shared" ref="AG35:AG53" si="49">IF(AF35="Completa",10,IF(AF35="incompleta",5,0))</f>
        <v>10</v>
      </c>
      <c r="AH35" s="127">
        <f t="shared" si="7"/>
        <v>95</v>
      </c>
      <c r="AI35" s="127" t="str">
        <f t="shared" ref="AI35:AI53" si="50">IF(AH35&gt;=96,"Fuerte",IF(AH35&gt;=86,"Moderado",IF(AH35&gt;=1,"Débil","")))</f>
        <v>Moderado</v>
      </c>
      <c r="AJ35" s="119" t="s">
        <v>154</v>
      </c>
      <c r="AK35" s="127" t="str">
        <f t="shared" ref="AK35:AK53" si="51">IF(AJ35="Siempre se ejecuta","Fuerte",IF(AJ35="Algunas veces","Moderado",IF(AJ35="no se ejecuta","Débil","")))</f>
        <v>Fuerte</v>
      </c>
      <c r="AL35" s="127" t="str">
        <f t="shared" ref="AL35:AL53" si="52">AI35&amp;AK35</f>
        <v>ModeradoFuerte</v>
      </c>
      <c r="AM35" s="127" t="str">
        <f>IFERROR(VLOOKUP(AL35,FORMULAS!$B$69:$D$77,3,FALSE),"")</f>
        <v>Moderado</v>
      </c>
      <c r="AN35" s="127">
        <f t="shared" ref="AN35:AN53" si="53">IF(AM35="fuerte",100,IF(AM35="Moderado",50,IF(AM35="débil",0,"")))</f>
        <v>50</v>
      </c>
      <c r="AO35" s="173" t="str">
        <f>IFERROR(VLOOKUP(AL35,FORMULAS!$B$69:$D$77,2,FALSE),"")</f>
        <v>Sí</v>
      </c>
      <c r="AP35" s="306">
        <f>IFERROR(AVERAGE(AN35:AN37),0)</f>
        <v>83.333333333333329</v>
      </c>
      <c r="AQ35" s="306" t="str">
        <f>IF(AP35&gt;=100,"Fuerte",IF(AP35&gt;=50,"Moderado",IF(AP35&gt;=1,"Débil","")))</f>
        <v>Moderado</v>
      </c>
      <c r="AR35" s="308" t="s">
        <v>92</v>
      </c>
      <c r="AS35" s="308" t="s">
        <v>93</v>
      </c>
      <c r="AT35" s="306" t="str">
        <f>+AQ35&amp;AR35&amp;AS35</f>
        <v>ModeradoDirectamenteNo disminuye</v>
      </c>
      <c r="AU35" s="306">
        <f>IFERROR(VLOOKUP(AT35,FORMULAS!$B$94:$D$101,2,FALSE),0)</f>
        <v>1</v>
      </c>
      <c r="AV35" s="306">
        <f>IFERROR(VLOOKUP(AT35,FORMULAS!$B$94:$D$101,3,FALSE),0)</f>
        <v>0</v>
      </c>
      <c r="AW35" s="341" t="s">
        <v>15</v>
      </c>
      <c r="AX35" s="341" t="s">
        <v>27</v>
      </c>
      <c r="AY35" s="342" t="str">
        <f>AW35&amp;AX35</f>
        <v>Rara vezMayor</v>
      </c>
      <c r="AZ35" s="356" t="str">
        <f>IFERROR(VLOOKUP(AY35,FORMULAS!$B$37:$C$61,2,FALSE),"")</f>
        <v>Riesgo alto</v>
      </c>
      <c r="BA35" s="343" t="s">
        <v>29</v>
      </c>
      <c r="BB35" s="149" t="s">
        <v>300</v>
      </c>
      <c r="BC35" s="149" t="s">
        <v>301</v>
      </c>
      <c r="BD35" s="149" t="s">
        <v>302</v>
      </c>
      <c r="BE35" s="85" t="s">
        <v>303</v>
      </c>
      <c r="BF35" s="323" t="s">
        <v>304</v>
      </c>
      <c r="BG35" s="328" t="s">
        <v>305</v>
      </c>
      <c r="BH35" s="328" t="s">
        <v>306</v>
      </c>
      <c r="BI35" s="328" t="s">
        <v>302</v>
      </c>
      <c r="BJ35" s="413" t="s">
        <v>307</v>
      </c>
    </row>
    <row r="36" spans="1:62" s="59" customFormat="1" ht="84" customHeight="1" x14ac:dyDescent="0.25">
      <c r="A36" s="293"/>
      <c r="B36" s="359"/>
      <c r="C36" s="360"/>
      <c r="D36" s="361"/>
      <c r="E36" s="361"/>
      <c r="F36" s="297"/>
      <c r="G36" s="297"/>
      <c r="H36" s="298"/>
      <c r="I36" s="299"/>
      <c r="J36" s="299"/>
      <c r="K36" s="152" t="s">
        <v>308</v>
      </c>
      <c r="L36" s="289"/>
      <c r="M36" s="254"/>
      <c r="N36" s="297"/>
      <c r="O36" s="297"/>
      <c r="P36" s="254"/>
      <c r="Q36" s="317"/>
      <c r="R36" s="374" t="s">
        <v>309</v>
      </c>
      <c r="S36" s="374"/>
      <c r="T36" s="133" t="s">
        <v>147</v>
      </c>
      <c r="U36" s="66">
        <f t="shared" si="43"/>
        <v>15</v>
      </c>
      <c r="V36" s="133" t="s">
        <v>148</v>
      </c>
      <c r="W36" s="66">
        <f t="shared" si="44"/>
        <v>15</v>
      </c>
      <c r="X36" s="133" t="s">
        <v>149</v>
      </c>
      <c r="Y36" s="66">
        <f t="shared" si="45"/>
        <v>15</v>
      </c>
      <c r="Z36" s="156" t="s">
        <v>150</v>
      </c>
      <c r="AA36" s="66">
        <f t="shared" si="46"/>
        <v>15</v>
      </c>
      <c r="AB36" s="133" t="s">
        <v>151</v>
      </c>
      <c r="AC36" s="66">
        <f t="shared" si="47"/>
        <v>15</v>
      </c>
      <c r="AD36" s="133" t="s">
        <v>152</v>
      </c>
      <c r="AE36" s="66">
        <f t="shared" si="48"/>
        <v>15</v>
      </c>
      <c r="AF36" s="133" t="s">
        <v>153</v>
      </c>
      <c r="AG36" s="135">
        <f t="shared" si="49"/>
        <v>10</v>
      </c>
      <c r="AH36" s="128">
        <f t="shared" si="7"/>
        <v>100</v>
      </c>
      <c r="AI36" s="128" t="str">
        <f t="shared" si="50"/>
        <v>Fuerte</v>
      </c>
      <c r="AJ36" s="139" t="s">
        <v>154</v>
      </c>
      <c r="AK36" s="128" t="str">
        <f t="shared" si="51"/>
        <v>Fuerte</v>
      </c>
      <c r="AL36" s="128" t="str">
        <f t="shared" si="52"/>
        <v>FuerteFuerte</v>
      </c>
      <c r="AM36" s="128" t="str">
        <f>IFERROR(VLOOKUP(AL36,FORMULAS!$B$69:$D$77,3,FALSE),"")</f>
        <v>Fuerte</v>
      </c>
      <c r="AN36" s="128">
        <f t="shared" si="53"/>
        <v>100</v>
      </c>
      <c r="AO36" s="128" t="str">
        <f>IFERROR(VLOOKUP(AL36,FORMULAS!$B$69:$C$77,2,FALSE),"")</f>
        <v>No</v>
      </c>
      <c r="AP36" s="271"/>
      <c r="AQ36" s="271"/>
      <c r="AR36" s="304"/>
      <c r="AS36" s="304"/>
      <c r="AT36" s="271"/>
      <c r="AU36" s="271"/>
      <c r="AV36" s="271"/>
      <c r="AW36" s="297"/>
      <c r="AX36" s="297"/>
      <c r="AY36" s="254"/>
      <c r="AZ36" s="316"/>
      <c r="BA36" s="317"/>
      <c r="BB36" s="150" t="s">
        <v>310</v>
      </c>
      <c r="BC36" s="150" t="s">
        <v>311</v>
      </c>
      <c r="BD36" s="150" t="s">
        <v>302</v>
      </c>
      <c r="BE36" s="83" t="s">
        <v>312</v>
      </c>
      <c r="BF36" s="324"/>
      <c r="BG36" s="329"/>
      <c r="BH36" s="329"/>
      <c r="BI36" s="329"/>
      <c r="BJ36" s="414"/>
    </row>
    <row r="37" spans="1:62" s="59" customFormat="1" ht="60.75" customHeight="1" x14ac:dyDescent="0.25">
      <c r="A37" s="293"/>
      <c r="B37" s="248"/>
      <c r="C37" s="277"/>
      <c r="D37" s="279"/>
      <c r="E37" s="279"/>
      <c r="F37" s="368"/>
      <c r="G37" s="368"/>
      <c r="H37" s="366"/>
      <c r="I37" s="367"/>
      <c r="J37" s="367"/>
      <c r="K37" s="137" t="s">
        <v>313</v>
      </c>
      <c r="L37" s="315"/>
      <c r="M37" s="355"/>
      <c r="N37" s="368"/>
      <c r="O37" s="368"/>
      <c r="P37" s="355"/>
      <c r="Q37" s="369"/>
      <c r="R37" s="374" t="s">
        <v>314</v>
      </c>
      <c r="S37" s="374"/>
      <c r="T37" s="122" t="s">
        <v>147</v>
      </c>
      <c r="U37" s="69">
        <f t="shared" si="43"/>
        <v>15</v>
      </c>
      <c r="V37" s="122" t="s">
        <v>148</v>
      </c>
      <c r="W37" s="69">
        <f t="shared" si="44"/>
        <v>15</v>
      </c>
      <c r="X37" s="122" t="s">
        <v>149</v>
      </c>
      <c r="Y37" s="69">
        <f t="shared" si="45"/>
        <v>15</v>
      </c>
      <c r="Z37" s="122" t="s">
        <v>150</v>
      </c>
      <c r="AA37" s="69">
        <f t="shared" si="46"/>
        <v>15</v>
      </c>
      <c r="AB37" s="122" t="s">
        <v>151</v>
      </c>
      <c r="AC37" s="69">
        <f t="shared" si="47"/>
        <v>15</v>
      </c>
      <c r="AD37" s="122" t="s">
        <v>152</v>
      </c>
      <c r="AE37" s="69">
        <f t="shared" si="48"/>
        <v>15</v>
      </c>
      <c r="AF37" s="122" t="s">
        <v>153</v>
      </c>
      <c r="AG37" s="124">
        <f t="shared" si="49"/>
        <v>10</v>
      </c>
      <c r="AH37" s="129">
        <f t="shared" si="7"/>
        <v>100</v>
      </c>
      <c r="AI37" s="129" t="str">
        <f t="shared" si="50"/>
        <v>Fuerte</v>
      </c>
      <c r="AJ37" s="120" t="s">
        <v>154</v>
      </c>
      <c r="AK37" s="129" t="str">
        <f t="shared" si="51"/>
        <v>Fuerte</v>
      </c>
      <c r="AL37" s="129" t="str">
        <f t="shared" si="52"/>
        <v>FuerteFuerte</v>
      </c>
      <c r="AM37" s="129" t="str">
        <f>IFERROR(VLOOKUP(AL37,FORMULAS!$B$69:$D$77,3,FALSE),"")</f>
        <v>Fuerte</v>
      </c>
      <c r="AN37" s="129">
        <f t="shared" si="53"/>
        <v>100</v>
      </c>
      <c r="AO37" s="129" t="str">
        <f>IFERROR(VLOOKUP(AL37,FORMULAS!$B$69:$C$77,2,FALSE),"")</f>
        <v>No</v>
      </c>
      <c r="AP37" s="307"/>
      <c r="AQ37" s="307"/>
      <c r="AR37" s="305"/>
      <c r="AS37" s="305"/>
      <c r="AT37" s="307"/>
      <c r="AU37" s="307"/>
      <c r="AV37" s="307"/>
      <c r="AW37" s="368"/>
      <c r="AX37" s="368"/>
      <c r="AY37" s="355"/>
      <c r="AZ37" s="357"/>
      <c r="BA37" s="369"/>
      <c r="BB37" s="151" t="s">
        <v>315</v>
      </c>
      <c r="BC37" s="151" t="s">
        <v>316</v>
      </c>
      <c r="BD37" s="151" t="s">
        <v>302</v>
      </c>
      <c r="BE37" s="86" t="s">
        <v>312</v>
      </c>
      <c r="BF37" s="324"/>
      <c r="BG37" s="330"/>
      <c r="BH37" s="330"/>
      <c r="BI37" s="330"/>
      <c r="BJ37" s="415"/>
    </row>
    <row r="38" spans="1:62" s="59" customFormat="1" ht="72" x14ac:dyDescent="0.25">
      <c r="A38" s="293"/>
      <c r="B38" s="247" t="s">
        <v>38</v>
      </c>
      <c r="C38" s="276">
        <v>11</v>
      </c>
      <c r="D38" s="278" t="s">
        <v>317</v>
      </c>
      <c r="E38" s="278" t="s">
        <v>318</v>
      </c>
      <c r="F38" s="341" t="s">
        <v>11</v>
      </c>
      <c r="G38" s="341" t="s">
        <v>32</v>
      </c>
      <c r="H38" s="344" t="s">
        <v>218</v>
      </c>
      <c r="I38" s="345"/>
      <c r="J38" s="345"/>
      <c r="K38" s="138" t="s">
        <v>319</v>
      </c>
      <c r="L38" s="288" t="s">
        <v>320</v>
      </c>
      <c r="M38" s="342" t="str">
        <f>IF(F38="gestion","impacto",IF(F38="corrupcion","impactocorrupcion",IF(F38="seguridad_de_la_informacion","impacto","")))</f>
        <v>impacto</v>
      </c>
      <c r="N38" s="341" t="s">
        <v>25</v>
      </c>
      <c r="O38" s="341" t="s">
        <v>28</v>
      </c>
      <c r="P38" s="342" t="str">
        <f>N38&amp;O38</f>
        <v>ImprobableMenor</v>
      </c>
      <c r="Q38" s="343" t="str">
        <f>IFERROR(VLOOKUP(P38,FORMULAS!$B$37:$C$61,2,FALSE),"")</f>
        <v>Riesgo bajo</v>
      </c>
      <c r="R38" s="374" t="s">
        <v>321</v>
      </c>
      <c r="S38" s="374"/>
      <c r="T38" s="121" t="s">
        <v>147</v>
      </c>
      <c r="U38" s="67">
        <f t="shared" si="43"/>
        <v>15</v>
      </c>
      <c r="V38" s="121" t="s">
        <v>148</v>
      </c>
      <c r="W38" s="67">
        <f t="shared" si="44"/>
        <v>15</v>
      </c>
      <c r="X38" s="121" t="s">
        <v>149</v>
      </c>
      <c r="Y38" s="67">
        <f t="shared" si="45"/>
        <v>15</v>
      </c>
      <c r="Z38" s="121" t="s">
        <v>150</v>
      </c>
      <c r="AA38" s="67">
        <f t="shared" si="46"/>
        <v>15</v>
      </c>
      <c r="AB38" s="121" t="s">
        <v>151</v>
      </c>
      <c r="AC38" s="67">
        <f t="shared" si="47"/>
        <v>15</v>
      </c>
      <c r="AD38" s="121" t="s">
        <v>152</v>
      </c>
      <c r="AE38" s="67">
        <f t="shared" si="48"/>
        <v>15</v>
      </c>
      <c r="AF38" s="121" t="s">
        <v>153</v>
      </c>
      <c r="AG38" s="123">
        <f t="shared" si="49"/>
        <v>10</v>
      </c>
      <c r="AH38" s="127">
        <f t="shared" si="7"/>
        <v>100</v>
      </c>
      <c r="AI38" s="127" t="str">
        <f t="shared" si="50"/>
        <v>Fuerte</v>
      </c>
      <c r="AJ38" s="119" t="s">
        <v>154</v>
      </c>
      <c r="AK38" s="127" t="str">
        <f t="shared" si="51"/>
        <v>Fuerte</v>
      </c>
      <c r="AL38" s="127" t="str">
        <f t="shared" si="52"/>
        <v>FuerteFuerte</v>
      </c>
      <c r="AM38" s="127" t="str">
        <f>IFERROR(VLOOKUP(AL38,FORMULAS!$B$69:$D$77,3,FALSE),"")</f>
        <v>Fuerte</v>
      </c>
      <c r="AN38" s="127">
        <f t="shared" si="53"/>
        <v>100</v>
      </c>
      <c r="AO38" s="127" t="str">
        <f>IFERROR(VLOOKUP(AL38,FORMULAS!$B$69:$D$77,2,FALSE),"")</f>
        <v>No</v>
      </c>
      <c r="AP38" s="306">
        <f>IFERROR(AVERAGE(AN38:AN39),0)</f>
        <v>75</v>
      </c>
      <c r="AQ38" s="306" t="str">
        <f>IF(AP38&gt;=100,"Fuerte",IF(AP38&gt;=50,"Moderado",IF(AP38&gt;=1,"Débil","")))</f>
        <v>Moderado</v>
      </c>
      <c r="AR38" s="308" t="s">
        <v>92</v>
      </c>
      <c r="AS38" s="308" t="s">
        <v>93</v>
      </c>
      <c r="AT38" s="306" t="str">
        <f>+AQ38&amp;AR38&amp;AS38</f>
        <v>ModeradoDirectamenteNo disminuye</v>
      </c>
      <c r="AU38" s="306">
        <f>IFERROR(VLOOKUP(AT38,FORMULAS!$B$94:$D$101,2,FALSE),0)</f>
        <v>1</v>
      </c>
      <c r="AV38" s="306">
        <f>IFERROR(VLOOKUP(AT38,FORMULAS!$B$94:$D$101,3,FALSE),0)</f>
        <v>0</v>
      </c>
      <c r="AW38" s="341" t="s">
        <v>15</v>
      </c>
      <c r="AX38" s="341" t="s">
        <v>28</v>
      </c>
      <c r="AY38" s="342" t="str">
        <f>AW38&amp;AX38</f>
        <v>Rara vezMenor</v>
      </c>
      <c r="AZ38" s="356" t="str">
        <f>IFERROR(VLOOKUP(AY38,FORMULAS!$B$37:$C$61,2,FALSE),"")</f>
        <v>Riesgo bajo</v>
      </c>
      <c r="BA38" s="343" t="s">
        <v>19</v>
      </c>
      <c r="BB38" s="149" t="s">
        <v>322</v>
      </c>
      <c r="BC38" s="149" t="s">
        <v>323</v>
      </c>
      <c r="BD38" s="149" t="s">
        <v>302</v>
      </c>
      <c r="BE38" s="85" t="s">
        <v>312</v>
      </c>
      <c r="BF38" s="324"/>
      <c r="BG38" s="328" t="s">
        <v>305</v>
      </c>
      <c r="BH38" s="328" t="s">
        <v>306</v>
      </c>
      <c r="BI38" s="328" t="s">
        <v>302</v>
      </c>
      <c r="BJ38" s="413" t="s">
        <v>307</v>
      </c>
    </row>
    <row r="39" spans="1:62" s="59" customFormat="1" ht="60.75" customHeight="1" x14ac:dyDescent="0.25">
      <c r="A39" s="293"/>
      <c r="B39" s="248"/>
      <c r="C39" s="277"/>
      <c r="D39" s="279"/>
      <c r="E39" s="279"/>
      <c r="F39" s="368"/>
      <c r="G39" s="368"/>
      <c r="H39" s="366"/>
      <c r="I39" s="367"/>
      <c r="J39" s="367"/>
      <c r="K39" s="137" t="s">
        <v>324</v>
      </c>
      <c r="L39" s="315"/>
      <c r="M39" s="355"/>
      <c r="N39" s="368"/>
      <c r="O39" s="368"/>
      <c r="P39" s="355"/>
      <c r="Q39" s="369"/>
      <c r="R39" s="374" t="s">
        <v>325</v>
      </c>
      <c r="S39" s="374"/>
      <c r="T39" s="122" t="s">
        <v>147</v>
      </c>
      <c r="U39" s="69">
        <f t="shared" si="43"/>
        <v>15</v>
      </c>
      <c r="V39" s="122" t="s">
        <v>148</v>
      </c>
      <c r="W39" s="69">
        <f t="shared" si="44"/>
        <v>15</v>
      </c>
      <c r="X39" s="122" t="s">
        <v>149</v>
      </c>
      <c r="Y39" s="69">
        <f t="shared" si="45"/>
        <v>15</v>
      </c>
      <c r="Z39" s="157" t="s">
        <v>182</v>
      </c>
      <c r="AA39" s="69">
        <f t="shared" si="46"/>
        <v>10</v>
      </c>
      <c r="AB39" s="122" t="s">
        <v>151</v>
      </c>
      <c r="AC39" s="69">
        <f t="shared" si="47"/>
        <v>15</v>
      </c>
      <c r="AD39" s="122" t="s">
        <v>152</v>
      </c>
      <c r="AE39" s="69">
        <f t="shared" si="48"/>
        <v>15</v>
      </c>
      <c r="AF39" s="122" t="s">
        <v>153</v>
      </c>
      <c r="AG39" s="124">
        <f t="shared" si="49"/>
        <v>10</v>
      </c>
      <c r="AH39" s="129">
        <f t="shared" si="7"/>
        <v>95</v>
      </c>
      <c r="AI39" s="129" t="str">
        <f t="shared" si="50"/>
        <v>Moderado</v>
      </c>
      <c r="AJ39" s="120" t="s">
        <v>154</v>
      </c>
      <c r="AK39" s="129" t="str">
        <f t="shared" si="51"/>
        <v>Fuerte</v>
      </c>
      <c r="AL39" s="129" t="str">
        <f t="shared" si="52"/>
        <v>ModeradoFuerte</v>
      </c>
      <c r="AM39" s="129" t="str">
        <f>IFERROR(VLOOKUP(AL39,FORMULAS!$B$69:$D$77,3,FALSE),"")</f>
        <v>Moderado</v>
      </c>
      <c r="AN39" s="129">
        <f t="shared" si="53"/>
        <v>50</v>
      </c>
      <c r="AO39" s="129" t="str">
        <f>IFERROR(VLOOKUP(AL39,FORMULAS!$B$69:$C$77,2,FALSE),"")</f>
        <v>Sí</v>
      </c>
      <c r="AP39" s="307"/>
      <c r="AQ39" s="307"/>
      <c r="AR39" s="305"/>
      <c r="AS39" s="305"/>
      <c r="AT39" s="307"/>
      <c r="AU39" s="307"/>
      <c r="AV39" s="307"/>
      <c r="AW39" s="368"/>
      <c r="AX39" s="368"/>
      <c r="AY39" s="355"/>
      <c r="AZ39" s="357"/>
      <c r="BA39" s="369"/>
      <c r="BB39" s="151" t="s">
        <v>326</v>
      </c>
      <c r="BC39" s="151" t="s">
        <v>327</v>
      </c>
      <c r="BD39" s="151" t="s">
        <v>328</v>
      </c>
      <c r="BE39" s="86" t="s">
        <v>329</v>
      </c>
      <c r="BF39" s="326"/>
      <c r="BG39" s="330"/>
      <c r="BH39" s="330"/>
      <c r="BI39" s="330"/>
      <c r="BJ39" s="415"/>
    </row>
    <row r="40" spans="1:62" s="59" customFormat="1" ht="36" x14ac:dyDescent="0.25">
      <c r="A40" s="293"/>
      <c r="B40" s="247" t="s">
        <v>44</v>
      </c>
      <c r="C40" s="276">
        <v>12</v>
      </c>
      <c r="D40" s="278" t="s">
        <v>330</v>
      </c>
      <c r="E40" s="278" t="s">
        <v>331</v>
      </c>
      <c r="F40" s="341" t="s">
        <v>11</v>
      </c>
      <c r="G40" s="341" t="s">
        <v>32</v>
      </c>
      <c r="H40" s="344"/>
      <c r="I40" s="345"/>
      <c r="J40" s="345"/>
      <c r="K40" s="130" t="s">
        <v>332</v>
      </c>
      <c r="L40" s="344" t="s">
        <v>333</v>
      </c>
      <c r="M40" s="342" t="str">
        <f>IF(F40="gestion","impacto",IF(F40="corrupcion","impactocorrupcion",IF(F40="seguridad_de_la_informacion","impacto","")))</f>
        <v>impacto</v>
      </c>
      <c r="N40" s="341" t="s">
        <v>35</v>
      </c>
      <c r="O40" s="341" t="s">
        <v>27</v>
      </c>
      <c r="P40" s="342" t="str">
        <f>N40&amp;O40</f>
        <v>PosibleMayor</v>
      </c>
      <c r="Q40" s="343" t="str">
        <f>IFERROR(VLOOKUP(P40,FORMULAS!$B$37:$C$61,2,FALSE),"")</f>
        <v>Riesgo extremo</v>
      </c>
      <c r="R40" s="380" t="s">
        <v>334</v>
      </c>
      <c r="S40" s="380"/>
      <c r="T40" s="121" t="s">
        <v>147</v>
      </c>
      <c r="U40" s="67">
        <f t="shared" si="43"/>
        <v>15</v>
      </c>
      <c r="V40" s="121" t="s">
        <v>148</v>
      </c>
      <c r="W40" s="67">
        <f t="shared" si="44"/>
        <v>15</v>
      </c>
      <c r="X40" s="121" t="s">
        <v>149</v>
      </c>
      <c r="Y40" s="67">
        <f t="shared" si="45"/>
        <v>15</v>
      </c>
      <c r="Z40" s="121" t="s">
        <v>150</v>
      </c>
      <c r="AA40" s="67">
        <f t="shared" si="46"/>
        <v>15</v>
      </c>
      <c r="AB40" s="121" t="s">
        <v>151</v>
      </c>
      <c r="AC40" s="67">
        <f t="shared" si="47"/>
        <v>15</v>
      </c>
      <c r="AD40" s="121" t="s">
        <v>152</v>
      </c>
      <c r="AE40" s="67">
        <f t="shared" si="48"/>
        <v>15</v>
      </c>
      <c r="AF40" s="121" t="s">
        <v>153</v>
      </c>
      <c r="AG40" s="123">
        <f t="shared" si="49"/>
        <v>10</v>
      </c>
      <c r="AH40" s="127">
        <f t="shared" si="7"/>
        <v>100</v>
      </c>
      <c r="AI40" s="127" t="str">
        <f t="shared" si="50"/>
        <v>Fuerte</v>
      </c>
      <c r="AJ40" s="119" t="s">
        <v>154</v>
      </c>
      <c r="AK40" s="127" t="str">
        <f t="shared" si="51"/>
        <v>Fuerte</v>
      </c>
      <c r="AL40" s="127" t="str">
        <f t="shared" si="52"/>
        <v>FuerteFuerte</v>
      </c>
      <c r="AM40" s="127" t="str">
        <f>IFERROR(VLOOKUP(AL40,FORMULAS!$B$69:$D$77,3,FALSE),"")</f>
        <v>Fuerte</v>
      </c>
      <c r="AN40" s="127">
        <f t="shared" si="53"/>
        <v>100</v>
      </c>
      <c r="AO40" s="127" t="str">
        <f>IFERROR(VLOOKUP(AL40,FORMULAS!$B$69:$D$77,2,FALSE),"")</f>
        <v>No</v>
      </c>
      <c r="AP40" s="306">
        <f>IFERROR(AVERAGE(AN40:AN42),0)</f>
        <v>100</v>
      </c>
      <c r="AQ40" s="306" t="str">
        <f>IF(AP40&gt;=100,"Fuerte",IF(AP40&gt;=50,"Moderado",IF(AP40&gt;=1,"Débil","")))</f>
        <v>Fuerte</v>
      </c>
      <c r="AR40" s="308" t="s">
        <v>92</v>
      </c>
      <c r="AS40" s="308" t="s">
        <v>94</v>
      </c>
      <c r="AT40" s="306" t="str">
        <f>+AQ40&amp;AR40&amp;AS40</f>
        <v>FuerteDirectamenteIndirectamente</v>
      </c>
      <c r="AU40" s="306">
        <f>IFERROR(VLOOKUP(AT40,FORMULAS!$B$94:$D$101,2,FALSE),0)</f>
        <v>2</v>
      </c>
      <c r="AV40" s="306">
        <f>IFERROR(VLOOKUP(AT40,FORMULAS!$B$94:$D$101,3,FALSE),0)</f>
        <v>1</v>
      </c>
      <c r="AW40" s="341" t="s">
        <v>15</v>
      </c>
      <c r="AX40" s="341" t="s">
        <v>27</v>
      </c>
      <c r="AY40" s="342" t="str">
        <f>AW40&amp;AX40</f>
        <v>Rara vezMayor</v>
      </c>
      <c r="AZ40" s="356" t="str">
        <f>IFERROR(VLOOKUP(AY40,FORMULAS!$B$37:$C$61,2,FALSE),"")</f>
        <v>Riesgo alto</v>
      </c>
      <c r="BA40" s="343" t="s">
        <v>29</v>
      </c>
      <c r="BB40" s="142" t="s">
        <v>335</v>
      </c>
      <c r="BC40" s="142" t="s">
        <v>336</v>
      </c>
      <c r="BD40" s="142" t="s">
        <v>337</v>
      </c>
      <c r="BE40" s="170" t="s">
        <v>338</v>
      </c>
      <c r="BF40" s="170" t="s">
        <v>339</v>
      </c>
      <c r="BG40" s="309" t="s">
        <v>340</v>
      </c>
      <c r="BH40" s="309" t="s">
        <v>341</v>
      </c>
      <c r="BI40" s="309" t="s">
        <v>342</v>
      </c>
      <c r="BJ40" s="423" t="s">
        <v>343</v>
      </c>
    </row>
    <row r="41" spans="1:62" s="59" customFormat="1" ht="48" x14ac:dyDescent="0.25">
      <c r="A41" s="293"/>
      <c r="B41" s="359"/>
      <c r="C41" s="360"/>
      <c r="D41" s="361"/>
      <c r="E41" s="361"/>
      <c r="F41" s="297"/>
      <c r="G41" s="297"/>
      <c r="H41" s="298"/>
      <c r="I41" s="299"/>
      <c r="J41" s="299"/>
      <c r="K41" s="153" t="s">
        <v>344</v>
      </c>
      <c r="L41" s="298"/>
      <c r="M41" s="254"/>
      <c r="N41" s="297"/>
      <c r="O41" s="297"/>
      <c r="P41" s="254"/>
      <c r="Q41" s="317"/>
      <c r="R41" s="374" t="s">
        <v>345</v>
      </c>
      <c r="S41" s="374"/>
      <c r="T41" s="133" t="s">
        <v>147</v>
      </c>
      <c r="U41" s="66">
        <f t="shared" si="43"/>
        <v>15</v>
      </c>
      <c r="V41" s="133" t="s">
        <v>148</v>
      </c>
      <c r="W41" s="66">
        <f t="shared" si="44"/>
        <v>15</v>
      </c>
      <c r="X41" s="133" t="s">
        <v>149</v>
      </c>
      <c r="Y41" s="66">
        <f t="shared" si="45"/>
        <v>15</v>
      </c>
      <c r="Z41" s="133" t="s">
        <v>150</v>
      </c>
      <c r="AA41" s="66">
        <f t="shared" si="46"/>
        <v>15</v>
      </c>
      <c r="AB41" s="133" t="s">
        <v>151</v>
      </c>
      <c r="AC41" s="66">
        <f t="shared" si="47"/>
        <v>15</v>
      </c>
      <c r="AD41" s="133" t="s">
        <v>152</v>
      </c>
      <c r="AE41" s="66">
        <f t="shared" si="48"/>
        <v>15</v>
      </c>
      <c r="AF41" s="133" t="s">
        <v>153</v>
      </c>
      <c r="AG41" s="135">
        <f t="shared" si="49"/>
        <v>10</v>
      </c>
      <c r="AH41" s="128">
        <f t="shared" si="7"/>
        <v>100</v>
      </c>
      <c r="AI41" s="128" t="str">
        <f t="shared" si="50"/>
        <v>Fuerte</v>
      </c>
      <c r="AJ41" s="139" t="s">
        <v>154</v>
      </c>
      <c r="AK41" s="128" t="str">
        <f t="shared" si="51"/>
        <v>Fuerte</v>
      </c>
      <c r="AL41" s="128" t="str">
        <f t="shared" si="52"/>
        <v>FuerteFuerte</v>
      </c>
      <c r="AM41" s="128" t="str">
        <f>IFERROR(VLOOKUP(AL41,FORMULAS!$B$69:$D$77,3,FALSE),"")</f>
        <v>Fuerte</v>
      </c>
      <c r="AN41" s="128">
        <f t="shared" si="53"/>
        <v>100</v>
      </c>
      <c r="AO41" s="128" t="str">
        <f>IFERROR(VLOOKUP(AL41,FORMULAS!$B$69:$C$77,2,FALSE),"")</f>
        <v>No</v>
      </c>
      <c r="AP41" s="271"/>
      <c r="AQ41" s="271"/>
      <c r="AR41" s="304"/>
      <c r="AS41" s="304"/>
      <c r="AT41" s="271"/>
      <c r="AU41" s="271"/>
      <c r="AV41" s="271"/>
      <c r="AW41" s="297"/>
      <c r="AX41" s="297"/>
      <c r="AY41" s="254"/>
      <c r="AZ41" s="316"/>
      <c r="BA41" s="317"/>
      <c r="BB41" s="150" t="s">
        <v>346</v>
      </c>
      <c r="BC41" s="150" t="s">
        <v>347</v>
      </c>
      <c r="BD41" s="150" t="s">
        <v>348</v>
      </c>
      <c r="BE41" s="83" t="s">
        <v>338</v>
      </c>
      <c r="BF41" s="83" t="s">
        <v>349</v>
      </c>
      <c r="BG41" s="310"/>
      <c r="BH41" s="310"/>
      <c r="BI41" s="310"/>
      <c r="BJ41" s="424"/>
    </row>
    <row r="42" spans="1:62" s="59" customFormat="1" ht="48" x14ac:dyDescent="0.25">
      <c r="A42" s="293"/>
      <c r="B42" s="248"/>
      <c r="C42" s="277"/>
      <c r="D42" s="279"/>
      <c r="E42" s="279"/>
      <c r="F42" s="368"/>
      <c r="G42" s="368"/>
      <c r="H42" s="366"/>
      <c r="I42" s="367"/>
      <c r="J42" s="367"/>
      <c r="K42" s="140" t="s">
        <v>350</v>
      </c>
      <c r="L42" s="366"/>
      <c r="M42" s="355"/>
      <c r="N42" s="368"/>
      <c r="O42" s="368"/>
      <c r="P42" s="355"/>
      <c r="Q42" s="369"/>
      <c r="R42" s="379" t="s">
        <v>351</v>
      </c>
      <c r="S42" s="379"/>
      <c r="T42" s="122" t="s">
        <v>147</v>
      </c>
      <c r="U42" s="69">
        <f t="shared" si="43"/>
        <v>15</v>
      </c>
      <c r="V42" s="122" t="s">
        <v>148</v>
      </c>
      <c r="W42" s="69">
        <f t="shared" si="44"/>
        <v>15</v>
      </c>
      <c r="X42" s="122" t="s">
        <v>149</v>
      </c>
      <c r="Y42" s="69">
        <f t="shared" si="45"/>
        <v>15</v>
      </c>
      <c r="Z42" s="122" t="s">
        <v>150</v>
      </c>
      <c r="AA42" s="69">
        <f t="shared" si="46"/>
        <v>15</v>
      </c>
      <c r="AB42" s="122" t="s">
        <v>151</v>
      </c>
      <c r="AC42" s="69">
        <f t="shared" si="47"/>
        <v>15</v>
      </c>
      <c r="AD42" s="122" t="s">
        <v>152</v>
      </c>
      <c r="AE42" s="69">
        <f t="shared" si="48"/>
        <v>15</v>
      </c>
      <c r="AF42" s="122" t="s">
        <v>153</v>
      </c>
      <c r="AG42" s="124">
        <f t="shared" si="49"/>
        <v>10</v>
      </c>
      <c r="AH42" s="129">
        <f t="shared" si="7"/>
        <v>100</v>
      </c>
      <c r="AI42" s="129" t="str">
        <f t="shared" si="50"/>
        <v>Fuerte</v>
      </c>
      <c r="AJ42" s="120" t="s">
        <v>154</v>
      </c>
      <c r="AK42" s="129" t="str">
        <f t="shared" si="51"/>
        <v>Fuerte</v>
      </c>
      <c r="AL42" s="129" t="str">
        <f t="shared" si="52"/>
        <v>FuerteFuerte</v>
      </c>
      <c r="AM42" s="129" t="str">
        <f>IFERROR(VLOOKUP(AL42,FORMULAS!$B$69:$D$77,3,FALSE),"")</f>
        <v>Fuerte</v>
      </c>
      <c r="AN42" s="129">
        <f t="shared" si="53"/>
        <v>100</v>
      </c>
      <c r="AO42" s="129" t="str">
        <f>IFERROR(VLOOKUP(AL42,FORMULAS!$B$69:$C$77,2,FALSE),"")</f>
        <v>No</v>
      </c>
      <c r="AP42" s="307"/>
      <c r="AQ42" s="307"/>
      <c r="AR42" s="305"/>
      <c r="AS42" s="305"/>
      <c r="AT42" s="307"/>
      <c r="AU42" s="307"/>
      <c r="AV42" s="307"/>
      <c r="AW42" s="368"/>
      <c r="AX42" s="368"/>
      <c r="AY42" s="355"/>
      <c r="AZ42" s="357"/>
      <c r="BA42" s="369"/>
      <c r="BB42" s="89" t="s">
        <v>352</v>
      </c>
      <c r="BC42" s="151" t="s">
        <v>353</v>
      </c>
      <c r="BD42" s="151" t="s">
        <v>354</v>
      </c>
      <c r="BE42" s="86" t="s">
        <v>355</v>
      </c>
      <c r="BF42" s="86" t="s">
        <v>356</v>
      </c>
      <c r="BG42" s="311"/>
      <c r="BH42" s="311"/>
      <c r="BI42" s="311"/>
      <c r="BJ42" s="425"/>
    </row>
    <row r="43" spans="1:62" s="59" customFormat="1" ht="36" x14ac:dyDescent="0.25">
      <c r="A43" s="293"/>
      <c r="B43" s="247" t="s">
        <v>44</v>
      </c>
      <c r="C43" s="276">
        <v>13</v>
      </c>
      <c r="D43" s="278" t="s">
        <v>357</v>
      </c>
      <c r="E43" s="278" t="s">
        <v>358</v>
      </c>
      <c r="F43" s="341" t="s">
        <v>11</v>
      </c>
      <c r="G43" s="341" t="s">
        <v>32</v>
      </c>
      <c r="H43" s="344"/>
      <c r="I43" s="345"/>
      <c r="J43" s="345"/>
      <c r="K43" s="179" t="s">
        <v>359</v>
      </c>
      <c r="L43" s="344" t="s">
        <v>360</v>
      </c>
      <c r="M43" s="342" t="str">
        <f>IF(F43="gestion","impacto",IF(F43="corrupcion","impactocorrupcion",IF(F43="seguridad_de_la_informacion","impacto","")))</f>
        <v>impacto</v>
      </c>
      <c r="N43" s="341" t="s">
        <v>35</v>
      </c>
      <c r="O43" s="341" t="s">
        <v>17</v>
      </c>
      <c r="P43" s="342" t="str">
        <f>N43&amp;O43</f>
        <v>PosibleModerado</v>
      </c>
      <c r="Q43" s="343" t="str">
        <f>IFERROR(VLOOKUP(P43,FORMULAS!$B$37:$C$61,2,FALSE),"")</f>
        <v>Riesgo alto</v>
      </c>
      <c r="R43" s="377" t="s">
        <v>361</v>
      </c>
      <c r="S43" s="377"/>
      <c r="T43" s="121" t="s">
        <v>147</v>
      </c>
      <c r="U43" s="67">
        <f t="shared" si="43"/>
        <v>15</v>
      </c>
      <c r="V43" s="121" t="s">
        <v>148</v>
      </c>
      <c r="W43" s="67">
        <f t="shared" si="44"/>
        <v>15</v>
      </c>
      <c r="X43" s="121" t="s">
        <v>149</v>
      </c>
      <c r="Y43" s="67">
        <f t="shared" si="45"/>
        <v>15</v>
      </c>
      <c r="Z43" s="121" t="s">
        <v>150</v>
      </c>
      <c r="AA43" s="67">
        <f t="shared" si="46"/>
        <v>15</v>
      </c>
      <c r="AB43" s="121" t="s">
        <v>151</v>
      </c>
      <c r="AC43" s="67">
        <f t="shared" si="47"/>
        <v>15</v>
      </c>
      <c r="AD43" s="121" t="s">
        <v>152</v>
      </c>
      <c r="AE43" s="67">
        <f t="shared" si="48"/>
        <v>15</v>
      </c>
      <c r="AF43" s="121" t="s">
        <v>153</v>
      </c>
      <c r="AG43" s="123">
        <f t="shared" si="49"/>
        <v>10</v>
      </c>
      <c r="AH43" s="127">
        <f t="shared" ref="AH43:AH47" si="54">U43+W43+Y43+AA43+AC43+AE43+AG43</f>
        <v>100</v>
      </c>
      <c r="AI43" s="127" t="str">
        <f t="shared" si="50"/>
        <v>Fuerte</v>
      </c>
      <c r="AJ43" s="119" t="s">
        <v>154</v>
      </c>
      <c r="AK43" s="127" t="str">
        <f t="shared" si="51"/>
        <v>Fuerte</v>
      </c>
      <c r="AL43" s="127" t="str">
        <f t="shared" si="52"/>
        <v>FuerteFuerte</v>
      </c>
      <c r="AM43" s="127" t="str">
        <f>IFERROR(VLOOKUP(AL43,FORMULAS!$B$69:$D$77,3,FALSE),"")</f>
        <v>Fuerte</v>
      </c>
      <c r="AN43" s="127">
        <f t="shared" si="53"/>
        <v>100</v>
      </c>
      <c r="AO43" s="127" t="str">
        <f>IFERROR(VLOOKUP(AL43,FORMULAS!$B$69:$D$77,2,FALSE),"")</f>
        <v>No</v>
      </c>
      <c r="AP43" s="306">
        <f>IFERROR(AVERAGE(AN43:AN44),0)</f>
        <v>100</v>
      </c>
      <c r="AQ43" s="306" t="str">
        <f>IF(AP43&gt;=100,"Fuerte",IF(AP43&gt;=50,"Moderado",IF(AP43&gt;=1,"Débil","")))</f>
        <v>Fuerte</v>
      </c>
      <c r="AR43" s="308" t="s">
        <v>92</v>
      </c>
      <c r="AS43" s="308" t="s">
        <v>94</v>
      </c>
      <c r="AT43" s="306" t="str">
        <f>+AQ43&amp;AR43&amp;AS43</f>
        <v>FuerteDirectamenteIndirectamente</v>
      </c>
      <c r="AU43" s="306">
        <f>IFERROR(VLOOKUP(AT43,FORMULAS!$B$94:$D$101,2,FALSE),0)</f>
        <v>2</v>
      </c>
      <c r="AV43" s="306">
        <f>IFERROR(VLOOKUP(AT43,FORMULAS!$B$94:$D$101,3,FALSE),0)</f>
        <v>1</v>
      </c>
      <c r="AW43" s="341" t="s">
        <v>15</v>
      </c>
      <c r="AX43" s="341" t="s">
        <v>17</v>
      </c>
      <c r="AY43" s="342" t="str">
        <f>AW43&amp;AX43</f>
        <v>Rara vezModerado</v>
      </c>
      <c r="AZ43" s="356" t="str">
        <f>IFERROR(VLOOKUP(AY43,FORMULAS!$B$37:$C$61,2,FALSE),"")</f>
        <v>Riesgo moderado</v>
      </c>
      <c r="BA43" s="343" t="s">
        <v>29</v>
      </c>
      <c r="BB43" s="142" t="s">
        <v>362</v>
      </c>
      <c r="BC43" s="142" t="s">
        <v>336</v>
      </c>
      <c r="BD43" s="142" t="s">
        <v>337</v>
      </c>
      <c r="BE43" s="170" t="s">
        <v>338</v>
      </c>
      <c r="BF43" s="426" t="s">
        <v>339</v>
      </c>
      <c r="BG43" s="309" t="s">
        <v>363</v>
      </c>
      <c r="BH43" s="309" t="s">
        <v>341</v>
      </c>
      <c r="BI43" s="309" t="s">
        <v>364</v>
      </c>
      <c r="BJ43" s="423" t="s">
        <v>343</v>
      </c>
    </row>
    <row r="44" spans="1:62" s="59" customFormat="1" ht="24" x14ac:dyDescent="0.25">
      <c r="A44" s="293"/>
      <c r="B44" s="248"/>
      <c r="C44" s="277"/>
      <c r="D44" s="279"/>
      <c r="E44" s="279"/>
      <c r="F44" s="368"/>
      <c r="G44" s="368"/>
      <c r="H44" s="366"/>
      <c r="I44" s="367"/>
      <c r="J44" s="367"/>
      <c r="K44" s="140" t="s">
        <v>365</v>
      </c>
      <c r="L44" s="366"/>
      <c r="M44" s="355"/>
      <c r="N44" s="368"/>
      <c r="O44" s="368"/>
      <c r="P44" s="355"/>
      <c r="Q44" s="369"/>
      <c r="R44" s="378" t="s">
        <v>366</v>
      </c>
      <c r="S44" s="378"/>
      <c r="T44" s="122" t="s">
        <v>147</v>
      </c>
      <c r="U44" s="69">
        <f t="shared" si="43"/>
        <v>15</v>
      </c>
      <c r="V44" s="122" t="s">
        <v>148</v>
      </c>
      <c r="W44" s="69">
        <f t="shared" si="44"/>
        <v>15</v>
      </c>
      <c r="X44" s="122" t="s">
        <v>149</v>
      </c>
      <c r="Y44" s="69">
        <f t="shared" si="45"/>
        <v>15</v>
      </c>
      <c r="Z44" s="122" t="s">
        <v>150</v>
      </c>
      <c r="AA44" s="69">
        <f t="shared" si="46"/>
        <v>15</v>
      </c>
      <c r="AB44" s="122" t="s">
        <v>151</v>
      </c>
      <c r="AC44" s="69">
        <f t="shared" si="47"/>
        <v>15</v>
      </c>
      <c r="AD44" s="122" t="s">
        <v>152</v>
      </c>
      <c r="AE44" s="69">
        <f t="shared" si="48"/>
        <v>15</v>
      </c>
      <c r="AF44" s="122" t="s">
        <v>153</v>
      </c>
      <c r="AG44" s="124">
        <f t="shared" si="49"/>
        <v>10</v>
      </c>
      <c r="AH44" s="129">
        <f t="shared" si="54"/>
        <v>100</v>
      </c>
      <c r="AI44" s="129" t="str">
        <f t="shared" si="50"/>
        <v>Fuerte</v>
      </c>
      <c r="AJ44" s="120" t="s">
        <v>154</v>
      </c>
      <c r="AK44" s="129" t="str">
        <f t="shared" si="51"/>
        <v>Fuerte</v>
      </c>
      <c r="AL44" s="129" t="str">
        <f t="shared" si="52"/>
        <v>FuerteFuerte</v>
      </c>
      <c r="AM44" s="129" t="str">
        <f>IFERROR(VLOOKUP(AL44,FORMULAS!$B$69:$D$77,3,FALSE),"")</f>
        <v>Fuerte</v>
      </c>
      <c r="AN44" s="129">
        <f t="shared" si="53"/>
        <v>100</v>
      </c>
      <c r="AO44" s="129" t="str">
        <f>IFERROR(VLOOKUP(AL44,FORMULAS!$B$69:$C$77,2,FALSE),"")</f>
        <v>No</v>
      </c>
      <c r="AP44" s="307"/>
      <c r="AQ44" s="307"/>
      <c r="AR44" s="305"/>
      <c r="AS44" s="305"/>
      <c r="AT44" s="307"/>
      <c r="AU44" s="307"/>
      <c r="AV44" s="307"/>
      <c r="AW44" s="368"/>
      <c r="AX44" s="368"/>
      <c r="AY44" s="355"/>
      <c r="AZ44" s="357"/>
      <c r="BA44" s="369"/>
      <c r="BB44" s="151"/>
      <c r="BC44" s="151"/>
      <c r="BD44" s="151"/>
      <c r="BE44" s="86"/>
      <c r="BF44" s="427"/>
      <c r="BG44" s="311"/>
      <c r="BH44" s="311"/>
      <c r="BI44" s="311"/>
      <c r="BJ44" s="425"/>
    </row>
    <row r="45" spans="1:62" s="59" customFormat="1" ht="96" x14ac:dyDescent="0.25">
      <c r="A45" s="293"/>
      <c r="B45" s="247" t="s">
        <v>49</v>
      </c>
      <c r="C45" s="276">
        <v>14</v>
      </c>
      <c r="D45" s="278" t="s">
        <v>367</v>
      </c>
      <c r="E45" s="278" t="s">
        <v>368</v>
      </c>
      <c r="F45" s="276" t="s">
        <v>11</v>
      </c>
      <c r="G45" s="276" t="s">
        <v>32</v>
      </c>
      <c r="H45" s="344"/>
      <c r="I45" s="345"/>
      <c r="J45" s="345"/>
      <c r="K45" s="138" t="s">
        <v>369</v>
      </c>
      <c r="L45" s="288" t="s">
        <v>370</v>
      </c>
      <c r="M45" s="342" t="str">
        <f>IF(F45="gestion","impacto",IF(F45="corrupcion","impactocorrupcion",IF(F45="seguridad_de_la_informacion","impacto","")))</f>
        <v>impacto</v>
      </c>
      <c r="N45" s="341" t="s">
        <v>25</v>
      </c>
      <c r="O45" s="341" t="s">
        <v>28</v>
      </c>
      <c r="P45" s="342" t="str">
        <f>N45&amp;O45</f>
        <v>ImprobableMenor</v>
      </c>
      <c r="Q45" s="343" t="str">
        <f>IFERROR(VLOOKUP(P45,FORMULAS!$B$37:$C$61,2,FALSE),"")</f>
        <v>Riesgo bajo</v>
      </c>
      <c r="R45" s="440" t="s">
        <v>371</v>
      </c>
      <c r="S45" s="441"/>
      <c r="T45" s="121" t="s">
        <v>147</v>
      </c>
      <c r="U45" s="67">
        <f t="shared" si="43"/>
        <v>15</v>
      </c>
      <c r="V45" s="121" t="s">
        <v>148</v>
      </c>
      <c r="W45" s="67">
        <f t="shared" si="44"/>
        <v>15</v>
      </c>
      <c r="X45" s="121" t="s">
        <v>149</v>
      </c>
      <c r="Y45" s="67">
        <f t="shared" si="45"/>
        <v>15</v>
      </c>
      <c r="Z45" s="121" t="s">
        <v>150</v>
      </c>
      <c r="AA45" s="67">
        <f t="shared" si="46"/>
        <v>15</v>
      </c>
      <c r="AB45" s="121" t="s">
        <v>151</v>
      </c>
      <c r="AC45" s="67">
        <f t="shared" si="47"/>
        <v>15</v>
      </c>
      <c r="AD45" s="121" t="s">
        <v>152</v>
      </c>
      <c r="AE45" s="67">
        <f t="shared" si="48"/>
        <v>15</v>
      </c>
      <c r="AF45" s="121" t="s">
        <v>153</v>
      </c>
      <c r="AG45" s="123">
        <f t="shared" si="49"/>
        <v>10</v>
      </c>
      <c r="AH45" s="127">
        <f t="shared" si="54"/>
        <v>100</v>
      </c>
      <c r="AI45" s="127" t="str">
        <f t="shared" si="50"/>
        <v>Fuerte</v>
      </c>
      <c r="AJ45" s="119" t="s">
        <v>154</v>
      </c>
      <c r="AK45" s="127" t="str">
        <f t="shared" si="51"/>
        <v>Fuerte</v>
      </c>
      <c r="AL45" s="127" t="str">
        <f t="shared" si="52"/>
        <v>FuerteFuerte</v>
      </c>
      <c r="AM45" s="127" t="str">
        <f>IFERROR(VLOOKUP(AL45,FORMULAS!$B$69:$D$77,3,FALSE),"")</f>
        <v>Fuerte</v>
      </c>
      <c r="AN45" s="127">
        <f t="shared" si="53"/>
        <v>100</v>
      </c>
      <c r="AO45" s="127" t="str">
        <f>IFERROR(VLOOKUP(AL45,FORMULAS!$B$69:$D$77,2,FALSE),"")</f>
        <v>No</v>
      </c>
      <c r="AP45" s="306">
        <f>IFERROR(AVERAGE(AN45:AN47),0)</f>
        <v>50</v>
      </c>
      <c r="AQ45" s="306" t="str">
        <f>IF(AP45&gt;=100,"Fuerte",IF(AP45&gt;=50,"Moderado",IF(AP45&gt;=1,"Débil","")))</f>
        <v>Moderado</v>
      </c>
      <c r="AR45" s="308" t="s">
        <v>92</v>
      </c>
      <c r="AS45" s="308" t="s">
        <v>94</v>
      </c>
      <c r="AT45" s="306" t="str">
        <f>+AQ45&amp;AR45&amp;AS45</f>
        <v>ModeradoDirectamenteIndirectamente</v>
      </c>
      <c r="AU45" s="306">
        <f>IFERROR(VLOOKUP(AT45,FORMULAS!$B$94:$D$101,2,FALSE),0)</f>
        <v>1</v>
      </c>
      <c r="AV45" s="306">
        <f>IFERROR(VLOOKUP(AT45,FORMULAS!$B$94:$D$101,3,FALSE),0)</f>
        <v>0</v>
      </c>
      <c r="AW45" s="341" t="s">
        <v>25</v>
      </c>
      <c r="AX45" s="341" t="s">
        <v>28</v>
      </c>
      <c r="AY45" s="342" t="str">
        <f>AW45&amp;AX45</f>
        <v>ImprobableMenor</v>
      </c>
      <c r="AZ45" s="356" t="str">
        <f>IFERROR(VLOOKUP(AY45,FORMULAS!$B$37:$C$61,2,FALSE),"")</f>
        <v>Riesgo bajo</v>
      </c>
      <c r="BA45" s="343" t="s">
        <v>19</v>
      </c>
      <c r="BB45" s="155" t="s">
        <v>372</v>
      </c>
      <c r="BC45" s="155" t="s">
        <v>373</v>
      </c>
      <c r="BD45" s="149" t="s">
        <v>374</v>
      </c>
      <c r="BE45" s="323" t="s">
        <v>375</v>
      </c>
      <c r="BF45" s="313" t="s">
        <v>376</v>
      </c>
      <c r="BG45" s="265" t="s">
        <v>377</v>
      </c>
      <c r="BH45" s="265" t="s">
        <v>378</v>
      </c>
      <c r="BI45" s="265" t="s">
        <v>379</v>
      </c>
      <c r="BJ45" s="125" t="s">
        <v>380</v>
      </c>
    </row>
    <row r="46" spans="1:62" s="59" customFormat="1" ht="60" customHeight="1" x14ac:dyDescent="0.25">
      <c r="A46" s="293"/>
      <c r="B46" s="359"/>
      <c r="C46" s="360"/>
      <c r="D46" s="361"/>
      <c r="E46" s="361"/>
      <c r="F46" s="360"/>
      <c r="G46" s="360"/>
      <c r="H46" s="298"/>
      <c r="I46" s="299"/>
      <c r="J46" s="299"/>
      <c r="K46" s="158" t="s">
        <v>381</v>
      </c>
      <c r="L46" s="289"/>
      <c r="M46" s="254"/>
      <c r="N46" s="297"/>
      <c r="O46" s="297"/>
      <c r="P46" s="254"/>
      <c r="Q46" s="317"/>
      <c r="R46" s="375" t="s">
        <v>382</v>
      </c>
      <c r="S46" s="376"/>
      <c r="T46" s="176" t="s">
        <v>147</v>
      </c>
      <c r="U46" s="66">
        <f t="shared" si="43"/>
        <v>15</v>
      </c>
      <c r="V46" s="176" t="s">
        <v>148</v>
      </c>
      <c r="W46" s="66">
        <f t="shared" si="44"/>
        <v>15</v>
      </c>
      <c r="X46" s="176" t="s">
        <v>149</v>
      </c>
      <c r="Y46" s="66">
        <f t="shared" si="45"/>
        <v>15</v>
      </c>
      <c r="Z46" s="133" t="s">
        <v>182</v>
      </c>
      <c r="AA46" s="66">
        <f t="shared" si="46"/>
        <v>10</v>
      </c>
      <c r="AB46" s="176" t="s">
        <v>151</v>
      </c>
      <c r="AC46" s="66">
        <f t="shared" si="47"/>
        <v>15</v>
      </c>
      <c r="AD46" s="176" t="s">
        <v>152</v>
      </c>
      <c r="AE46" s="66">
        <f t="shared" si="48"/>
        <v>15</v>
      </c>
      <c r="AF46" s="176" t="s">
        <v>153</v>
      </c>
      <c r="AG46" s="135">
        <f t="shared" si="49"/>
        <v>10</v>
      </c>
      <c r="AH46" s="128">
        <f t="shared" si="54"/>
        <v>95</v>
      </c>
      <c r="AI46" s="128" t="str">
        <f t="shared" si="50"/>
        <v>Moderado</v>
      </c>
      <c r="AJ46" s="139" t="s">
        <v>154</v>
      </c>
      <c r="AK46" s="128" t="str">
        <f t="shared" si="51"/>
        <v>Fuerte</v>
      </c>
      <c r="AL46" s="128" t="str">
        <f t="shared" si="52"/>
        <v>ModeradoFuerte</v>
      </c>
      <c r="AM46" s="128" t="str">
        <f>IFERROR(VLOOKUP(AL46,FORMULAS!$B$69:$D$77,3,FALSE),"")</f>
        <v>Moderado</v>
      </c>
      <c r="AN46" s="128">
        <f t="shared" si="53"/>
        <v>50</v>
      </c>
      <c r="AO46" s="128" t="str">
        <f>IFERROR(VLOOKUP(AL46,FORMULAS!$B$69:$C$77,2,FALSE),"")</f>
        <v>Sí</v>
      </c>
      <c r="AP46" s="271"/>
      <c r="AQ46" s="271"/>
      <c r="AR46" s="304"/>
      <c r="AS46" s="304"/>
      <c r="AT46" s="271"/>
      <c r="AU46" s="271"/>
      <c r="AV46" s="271"/>
      <c r="AW46" s="297"/>
      <c r="AX46" s="297"/>
      <c r="AY46" s="254"/>
      <c r="AZ46" s="316"/>
      <c r="BA46" s="317"/>
      <c r="BB46" s="156" t="s">
        <v>383</v>
      </c>
      <c r="BC46" s="156" t="s">
        <v>384</v>
      </c>
      <c r="BD46" s="150" t="s">
        <v>374</v>
      </c>
      <c r="BE46" s="324"/>
      <c r="BF46" s="314"/>
      <c r="BG46" s="266"/>
      <c r="BH46" s="266"/>
      <c r="BI46" s="266"/>
      <c r="BJ46" s="136" t="s">
        <v>385</v>
      </c>
    </row>
    <row r="47" spans="1:62" s="59" customFormat="1" ht="60" x14ac:dyDescent="0.25">
      <c r="A47" s="293"/>
      <c r="B47" s="296"/>
      <c r="C47" s="360"/>
      <c r="D47" s="361"/>
      <c r="E47" s="361"/>
      <c r="F47" s="360"/>
      <c r="G47" s="360"/>
      <c r="H47" s="298"/>
      <c r="I47" s="299"/>
      <c r="J47" s="299"/>
      <c r="K47" s="152" t="s">
        <v>386</v>
      </c>
      <c r="L47" s="289"/>
      <c r="M47" s="254"/>
      <c r="N47" s="297"/>
      <c r="O47" s="297"/>
      <c r="P47" s="254"/>
      <c r="Q47" s="317"/>
      <c r="R47" s="374" t="s">
        <v>387</v>
      </c>
      <c r="S47" s="374"/>
      <c r="T47" s="176" t="s">
        <v>147</v>
      </c>
      <c r="U47" s="66">
        <f t="shared" si="43"/>
        <v>15</v>
      </c>
      <c r="V47" s="176" t="s">
        <v>148</v>
      </c>
      <c r="W47" s="66">
        <f t="shared" si="44"/>
        <v>15</v>
      </c>
      <c r="X47" s="176" t="s">
        <v>149</v>
      </c>
      <c r="Y47" s="66">
        <f t="shared" si="45"/>
        <v>15</v>
      </c>
      <c r="Z47" s="133" t="s">
        <v>182</v>
      </c>
      <c r="AA47" s="66">
        <f t="shared" si="46"/>
        <v>10</v>
      </c>
      <c r="AB47" s="176" t="s">
        <v>151</v>
      </c>
      <c r="AC47" s="66">
        <f t="shared" si="47"/>
        <v>15</v>
      </c>
      <c r="AD47" s="133" t="s">
        <v>388</v>
      </c>
      <c r="AE47" s="66">
        <f t="shared" si="48"/>
        <v>0</v>
      </c>
      <c r="AF47" s="176" t="s">
        <v>153</v>
      </c>
      <c r="AG47" s="135">
        <f t="shared" si="49"/>
        <v>10</v>
      </c>
      <c r="AH47" s="128">
        <f t="shared" si="54"/>
        <v>80</v>
      </c>
      <c r="AI47" s="128" t="str">
        <f t="shared" si="50"/>
        <v>Débil</v>
      </c>
      <c r="AJ47" s="139" t="s">
        <v>250</v>
      </c>
      <c r="AK47" s="128" t="str">
        <f t="shared" si="51"/>
        <v>Moderado</v>
      </c>
      <c r="AL47" s="128" t="str">
        <f t="shared" si="52"/>
        <v>DébilModerado</v>
      </c>
      <c r="AM47" s="128" t="str">
        <f>IFERROR(VLOOKUP(AL47,FORMULAS!$B$69:$D$77,3,FALSE),"")</f>
        <v>Débil</v>
      </c>
      <c r="AN47" s="128">
        <f t="shared" si="53"/>
        <v>0</v>
      </c>
      <c r="AO47" s="128" t="str">
        <f>IFERROR(VLOOKUP(AL47,FORMULAS!$B$69:$C$77,2,FALSE),"")</f>
        <v>Sí</v>
      </c>
      <c r="AP47" s="271"/>
      <c r="AQ47" s="271"/>
      <c r="AR47" s="304"/>
      <c r="AS47" s="304"/>
      <c r="AT47" s="271"/>
      <c r="AU47" s="271"/>
      <c r="AV47" s="271"/>
      <c r="AW47" s="297"/>
      <c r="AX47" s="297"/>
      <c r="AY47" s="254"/>
      <c r="AZ47" s="316"/>
      <c r="BA47" s="317"/>
      <c r="BB47" s="156" t="s">
        <v>389</v>
      </c>
      <c r="BC47" s="156" t="s">
        <v>390</v>
      </c>
      <c r="BD47" s="150" t="s">
        <v>374</v>
      </c>
      <c r="BE47" s="324"/>
      <c r="BF47" s="314"/>
      <c r="BG47" s="266"/>
      <c r="BH47" s="266"/>
      <c r="BI47" s="266"/>
      <c r="BJ47" s="136" t="s">
        <v>391</v>
      </c>
    </row>
    <row r="48" spans="1:62" s="59" customFormat="1" ht="48" x14ac:dyDescent="0.25">
      <c r="A48" s="293"/>
      <c r="B48" s="358" t="s">
        <v>49</v>
      </c>
      <c r="C48" s="360">
        <v>15</v>
      </c>
      <c r="D48" s="361" t="s">
        <v>392</v>
      </c>
      <c r="E48" s="361" t="s">
        <v>393</v>
      </c>
      <c r="F48" s="360" t="s">
        <v>11</v>
      </c>
      <c r="G48" s="360" t="s">
        <v>32</v>
      </c>
      <c r="H48" s="298"/>
      <c r="I48" s="299"/>
      <c r="J48" s="299"/>
      <c r="K48" s="152" t="s">
        <v>394</v>
      </c>
      <c r="L48" s="333" t="s">
        <v>395</v>
      </c>
      <c r="M48" s="254" t="str">
        <f>IF(F48="gestion","impacto",IF(F48="corrupcion","impactocorrupcion",IF(F48="seguridad_de_la_informacion","impacto","")))</f>
        <v>impacto</v>
      </c>
      <c r="N48" s="297" t="s">
        <v>35</v>
      </c>
      <c r="O48" s="297" t="s">
        <v>18</v>
      </c>
      <c r="P48" s="254" t="str">
        <f>N48&amp;O48</f>
        <v>PosibleInsignificante</v>
      </c>
      <c r="Q48" s="317" t="str">
        <f>IFERROR(VLOOKUP(P48,FORMULAS!$B$37:$C$61,2,FALSE),"")</f>
        <v>Riesgo bajo</v>
      </c>
      <c r="R48" s="374" t="s">
        <v>396</v>
      </c>
      <c r="S48" s="374"/>
      <c r="T48" s="176" t="s">
        <v>147</v>
      </c>
      <c r="U48" s="66">
        <f t="shared" si="43"/>
        <v>15</v>
      </c>
      <c r="V48" s="176" t="s">
        <v>148</v>
      </c>
      <c r="W48" s="66">
        <f t="shared" si="44"/>
        <v>15</v>
      </c>
      <c r="X48" s="176" t="s">
        <v>149</v>
      </c>
      <c r="Y48" s="66">
        <f t="shared" si="45"/>
        <v>15</v>
      </c>
      <c r="Z48" s="133" t="s">
        <v>150</v>
      </c>
      <c r="AA48" s="66">
        <f t="shared" si="46"/>
        <v>15</v>
      </c>
      <c r="AB48" s="176" t="s">
        <v>151</v>
      </c>
      <c r="AC48" s="66">
        <f t="shared" si="47"/>
        <v>15</v>
      </c>
      <c r="AD48" s="176" t="s">
        <v>152</v>
      </c>
      <c r="AE48" s="66">
        <f t="shared" si="48"/>
        <v>15</v>
      </c>
      <c r="AF48" s="176" t="s">
        <v>153</v>
      </c>
      <c r="AG48" s="135">
        <f t="shared" si="49"/>
        <v>10</v>
      </c>
      <c r="AH48" s="128">
        <f t="shared" ref="AH48:AH53" si="55">U48+W48+Y48+AA48+AC48+AE48+AG48</f>
        <v>100</v>
      </c>
      <c r="AI48" s="128" t="str">
        <f t="shared" si="50"/>
        <v>Fuerte</v>
      </c>
      <c r="AJ48" s="139" t="s">
        <v>154</v>
      </c>
      <c r="AK48" s="128" t="str">
        <f t="shared" si="51"/>
        <v>Fuerte</v>
      </c>
      <c r="AL48" s="128" t="str">
        <f t="shared" si="52"/>
        <v>FuerteFuerte</v>
      </c>
      <c r="AM48" s="128" t="str">
        <f>IFERROR(VLOOKUP(AL48,FORMULAS!$B$69:$D$77,3,FALSE),"")</f>
        <v>Fuerte</v>
      </c>
      <c r="AN48" s="128">
        <f t="shared" si="53"/>
        <v>100</v>
      </c>
      <c r="AO48" s="128" t="str">
        <f>IFERROR(VLOOKUP(AL48,FORMULAS!$B$69:$D$77,2,FALSE),"")</f>
        <v>No</v>
      </c>
      <c r="AP48" s="271">
        <f>IFERROR(AVERAGE(AN48:AN50),0)</f>
        <v>66.666666666666671</v>
      </c>
      <c r="AQ48" s="271" t="str">
        <f>IF(AP48&gt;=100,"Fuerte",IF(AP48&gt;=50,"Moderado",IF(AP48&gt;=1,"Débil","")))</f>
        <v>Moderado</v>
      </c>
      <c r="AR48" s="304" t="s">
        <v>92</v>
      </c>
      <c r="AS48" s="304" t="s">
        <v>94</v>
      </c>
      <c r="AT48" s="271" t="str">
        <f>+AQ48&amp;AR48&amp;AS48</f>
        <v>ModeradoDirectamenteIndirectamente</v>
      </c>
      <c r="AU48" s="271">
        <f>IFERROR(VLOOKUP(AT48,FORMULAS!$B$94:$D$101,2,FALSE),0)</f>
        <v>1</v>
      </c>
      <c r="AV48" s="271">
        <f>IFERROR(VLOOKUP(AT48,FORMULAS!$B$94:$D$101,3,FALSE),0)</f>
        <v>0</v>
      </c>
      <c r="AW48" s="297" t="s">
        <v>35</v>
      </c>
      <c r="AX48" s="297" t="s">
        <v>18</v>
      </c>
      <c r="AY48" s="254" t="str">
        <f>AW48&amp;AX48</f>
        <v>PosibleInsignificante</v>
      </c>
      <c r="AZ48" s="316" t="str">
        <f>IFERROR(VLOOKUP(AY48,FORMULAS!$B$37:$C$61,2,FALSE),"")</f>
        <v>Riesgo bajo</v>
      </c>
      <c r="BA48" s="317" t="s">
        <v>19</v>
      </c>
      <c r="BB48" s="150" t="s">
        <v>397</v>
      </c>
      <c r="BC48" s="150" t="s">
        <v>398</v>
      </c>
      <c r="BD48" s="150" t="s">
        <v>374</v>
      </c>
      <c r="BE48" s="325" t="s">
        <v>375</v>
      </c>
      <c r="BF48" s="314"/>
      <c r="BG48" s="438" t="s">
        <v>377</v>
      </c>
      <c r="BH48" s="438" t="s">
        <v>378</v>
      </c>
      <c r="BI48" s="438" t="s">
        <v>379</v>
      </c>
      <c r="BJ48" s="439" t="s">
        <v>399</v>
      </c>
    </row>
    <row r="49" spans="1:63" s="59" customFormat="1" ht="60" x14ac:dyDescent="0.25">
      <c r="A49" s="293"/>
      <c r="B49" s="359"/>
      <c r="C49" s="360"/>
      <c r="D49" s="361"/>
      <c r="E49" s="361"/>
      <c r="F49" s="360"/>
      <c r="G49" s="360"/>
      <c r="H49" s="298"/>
      <c r="I49" s="299"/>
      <c r="J49" s="299"/>
      <c r="K49" s="152" t="s">
        <v>400</v>
      </c>
      <c r="L49" s="289"/>
      <c r="M49" s="254"/>
      <c r="N49" s="297"/>
      <c r="O49" s="297"/>
      <c r="P49" s="254"/>
      <c r="Q49" s="317"/>
      <c r="R49" s="374" t="s">
        <v>401</v>
      </c>
      <c r="S49" s="374"/>
      <c r="T49" s="176" t="s">
        <v>147</v>
      </c>
      <c r="U49" s="66">
        <f t="shared" si="43"/>
        <v>15</v>
      </c>
      <c r="V49" s="176" t="s">
        <v>148</v>
      </c>
      <c r="W49" s="66">
        <f t="shared" si="44"/>
        <v>15</v>
      </c>
      <c r="X49" s="176" t="s">
        <v>149</v>
      </c>
      <c r="Y49" s="66">
        <f t="shared" si="45"/>
        <v>15</v>
      </c>
      <c r="Z49" s="133" t="s">
        <v>182</v>
      </c>
      <c r="AA49" s="66">
        <f t="shared" si="46"/>
        <v>10</v>
      </c>
      <c r="AB49" s="176" t="s">
        <v>151</v>
      </c>
      <c r="AC49" s="66">
        <f t="shared" si="47"/>
        <v>15</v>
      </c>
      <c r="AD49" s="176" t="s">
        <v>152</v>
      </c>
      <c r="AE49" s="66">
        <f t="shared" si="48"/>
        <v>15</v>
      </c>
      <c r="AF49" s="176" t="s">
        <v>153</v>
      </c>
      <c r="AG49" s="135">
        <f t="shared" si="49"/>
        <v>10</v>
      </c>
      <c r="AH49" s="128">
        <f t="shared" si="55"/>
        <v>95</v>
      </c>
      <c r="AI49" s="128" t="str">
        <f t="shared" si="50"/>
        <v>Moderado</v>
      </c>
      <c r="AJ49" s="139" t="s">
        <v>154</v>
      </c>
      <c r="AK49" s="128" t="str">
        <f t="shared" si="51"/>
        <v>Fuerte</v>
      </c>
      <c r="AL49" s="128" t="str">
        <f t="shared" si="52"/>
        <v>ModeradoFuerte</v>
      </c>
      <c r="AM49" s="128" t="str">
        <f>IFERROR(VLOOKUP(AL49,FORMULAS!$B$69:$D$77,3,FALSE),"")</f>
        <v>Moderado</v>
      </c>
      <c r="AN49" s="128">
        <f t="shared" si="53"/>
        <v>50</v>
      </c>
      <c r="AO49" s="128" t="str">
        <f>IFERROR(VLOOKUP(AL49,FORMULAS!$B$69:$C$77,2,FALSE),"")</f>
        <v>Sí</v>
      </c>
      <c r="AP49" s="271"/>
      <c r="AQ49" s="271"/>
      <c r="AR49" s="304"/>
      <c r="AS49" s="304"/>
      <c r="AT49" s="271"/>
      <c r="AU49" s="271"/>
      <c r="AV49" s="271"/>
      <c r="AW49" s="297"/>
      <c r="AX49" s="297"/>
      <c r="AY49" s="254"/>
      <c r="AZ49" s="316"/>
      <c r="BA49" s="317"/>
      <c r="BB49" s="168" t="s">
        <v>402</v>
      </c>
      <c r="BC49" s="150" t="s">
        <v>403</v>
      </c>
      <c r="BD49" s="150" t="s">
        <v>374</v>
      </c>
      <c r="BE49" s="324"/>
      <c r="BF49" s="314"/>
      <c r="BG49" s="266"/>
      <c r="BH49" s="266"/>
      <c r="BI49" s="266"/>
      <c r="BJ49" s="312"/>
    </row>
    <row r="50" spans="1:63" s="59" customFormat="1" ht="60" x14ac:dyDescent="0.25">
      <c r="A50" s="293"/>
      <c r="B50" s="296"/>
      <c r="C50" s="360"/>
      <c r="D50" s="361"/>
      <c r="E50" s="361"/>
      <c r="F50" s="360"/>
      <c r="G50" s="360"/>
      <c r="H50" s="298"/>
      <c r="I50" s="299"/>
      <c r="J50" s="299"/>
      <c r="K50" s="152" t="s">
        <v>404</v>
      </c>
      <c r="L50" s="289"/>
      <c r="M50" s="254"/>
      <c r="N50" s="297"/>
      <c r="O50" s="297"/>
      <c r="P50" s="254"/>
      <c r="Q50" s="317"/>
      <c r="R50" s="374" t="s">
        <v>405</v>
      </c>
      <c r="S50" s="374"/>
      <c r="T50" s="176" t="s">
        <v>147</v>
      </c>
      <c r="U50" s="66">
        <f t="shared" si="43"/>
        <v>15</v>
      </c>
      <c r="V50" s="176" t="s">
        <v>148</v>
      </c>
      <c r="W50" s="66">
        <f t="shared" si="44"/>
        <v>15</v>
      </c>
      <c r="X50" s="176" t="s">
        <v>149</v>
      </c>
      <c r="Y50" s="66">
        <f t="shared" si="45"/>
        <v>15</v>
      </c>
      <c r="Z50" s="133" t="s">
        <v>182</v>
      </c>
      <c r="AA50" s="66">
        <f t="shared" si="46"/>
        <v>10</v>
      </c>
      <c r="AB50" s="176" t="s">
        <v>151</v>
      </c>
      <c r="AC50" s="66">
        <f t="shared" si="47"/>
        <v>15</v>
      </c>
      <c r="AD50" s="176" t="s">
        <v>152</v>
      </c>
      <c r="AE50" s="66">
        <f t="shared" si="48"/>
        <v>15</v>
      </c>
      <c r="AF50" s="176" t="s">
        <v>153</v>
      </c>
      <c r="AG50" s="135">
        <f t="shared" si="49"/>
        <v>10</v>
      </c>
      <c r="AH50" s="128">
        <f t="shared" si="55"/>
        <v>95</v>
      </c>
      <c r="AI50" s="128" t="str">
        <f t="shared" si="50"/>
        <v>Moderado</v>
      </c>
      <c r="AJ50" s="139" t="s">
        <v>154</v>
      </c>
      <c r="AK50" s="128" t="str">
        <f t="shared" si="51"/>
        <v>Fuerte</v>
      </c>
      <c r="AL50" s="128" t="str">
        <f t="shared" si="52"/>
        <v>ModeradoFuerte</v>
      </c>
      <c r="AM50" s="128" t="str">
        <f>IFERROR(VLOOKUP(AL50,FORMULAS!$B$69:$D$77,3,FALSE),"")</f>
        <v>Moderado</v>
      </c>
      <c r="AN50" s="128">
        <f t="shared" si="53"/>
        <v>50</v>
      </c>
      <c r="AO50" s="128" t="str">
        <f>IFERROR(VLOOKUP(AL50,FORMULAS!$B$69:$C$77,2,FALSE),"")</f>
        <v>Sí</v>
      </c>
      <c r="AP50" s="271"/>
      <c r="AQ50" s="271"/>
      <c r="AR50" s="304"/>
      <c r="AS50" s="304"/>
      <c r="AT50" s="271"/>
      <c r="AU50" s="271"/>
      <c r="AV50" s="271"/>
      <c r="AW50" s="297"/>
      <c r="AX50" s="297"/>
      <c r="AY50" s="254"/>
      <c r="AZ50" s="316"/>
      <c r="BA50" s="317"/>
      <c r="BB50" s="168" t="s">
        <v>389</v>
      </c>
      <c r="BC50" s="95" t="s">
        <v>390</v>
      </c>
      <c r="BD50" s="150" t="s">
        <v>374</v>
      </c>
      <c r="BE50" s="324"/>
      <c r="BF50" s="314"/>
      <c r="BG50" s="266"/>
      <c r="BH50" s="266"/>
      <c r="BI50" s="266"/>
      <c r="BJ50" s="312"/>
    </row>
    <row r="51" spans="1:63" s="59" customFormat="1" ht="48" x14ac:dyDescent="0.25">
      <c r="A51" s="293"/>
      <c r="B51" s="358" t="s">
        <v>49</v>
      </c>
      <c r="C51" s="360">
        <v>16</v>
      </c>
      <c r="D51" s="361" t="s">
        <v>406</v>
      </c>
      <c r="E51" s="361" t="s">
        <v>407</v>
      </c>
      <c r="F51" s="360" t="s">
        <v>11</v>
      </c>
      <c r="G51" s="360" t="s">
        <v>45</v>
      </c>
      <c r="H51" s="298"/>
      <c r="I51" s="299"/>
      <c r="J51" s="299"/>
      <c r="K51" s="104" t="s">
        <v>408</v>
      </c>
      <c r="L51" s="333" t="s">
        <v>409</v>
      </c>
      <c r="M51" s="254" t="str">
        <f>IF(F51="gestion","impacto",IF(F51="corrupcion","impactocorrupcion",IF(F51="seguridad_de_la_informacion","impacto","")))</f>
        <v>impacto</v>
      </c>
      <c r="N51" s="297" t="s">
        <v>42</v>
      </c>
      <c r="O51" s="297" t="s">
        <v>17</v>
      </c>
      <c r="P51" s="254" t="str">
        <f>N51&amp;O51</f>
        <v>ProbableModerado</v>
      </c>
      <c r="Q51" s="317" t="str">
        <f>IFERROR(VLOOKUP(P51,FORMULAS!$B$37:$C$61,2,FALSE),"")</f>
        <v>Riesgo alto</v>
      </c>
      <c r="R51" s="370" t="s">
        <v>410</v>
      </c>
      <c r="S51" s="371"/>
      <c r="T51" s="176" t="s">
        <v>147</v>
      </c>
      <c r="U51" s="66">
        <f t="shared" si="43"/>
        <v>15</v>
      </c>
      <c r="V51" s="176" t="s">
        <v>148</v>
      </c>
      <c r="W51" s="66">
        <f t="shared" si="44"/>
        <v>15</v>
      </c>
      <c r="X51" s="176" t="s">
        <v>149</v>
      </c>
      <c r="Y51" s="66">
        <f t="shared" si="45"/>
        <v>15</v>
      </c>
      <c r="Z51" s="133" t="s">
        <v>182</v>
      </c>
      <c r="AA51" s="66">
        <f t="shared" si="46"/>
        <v>10</v>
      </c>
      <c r="AB51" s="176" t="s">
        <v>151</v>
      </c>
      <c r="AC51" s="66">
        <f t="shared" si="47"/>
        <v>15</v>
      </c>
      <c r="AD51" s="176" t="s">
        <v>152</v>
      </c>
      <c r="AE51" s="66">
        <f t="shared" si="48"/>
        <v>15</v>
      </c>
      <c r="AF51" s="176" t="s">
        <v>153</v>
      </c>
      <c r="AG51" s="135">
        <f t="shared" si="49"/>
        <v>10</v>
      </c>
      <c r="AH51" s="128">
        <f t="shared" si="55"/>
        <v>95</v>
      </c>
      <c r="AI51" s="128" t="str">
        <f t="shared" si="50"/>
        <v>Moderado</v>
      </c>
      <c r="AJ51" s="139" t="s">
        <v>154</v>
      </c>
      <c r="AK51" s="128" t="str">
        <f t="shared" si="51"/>
        <v>Fuerte</v>
      </c>
      <c r="AL51" s="128" t="str">
        <f t="shared" si="52"/>
        <v>ModeradoFuerte</v>
      </c>
      <c r="AM51" s="128" t="str">
        <f>IFERROR(VLOOKUP(AL51,FORMULAS!$B$69:$D$77,3,FALSE),"")</f>
        <v>Moderado</v>
      </c>
      <c r="AN51" s="128">
        <f t="shared" si="53"/>
        <v>50</v>
      </c>
      <c r="AO51" s="128" t="str">
        <f>IFERROR(VLOOKUP(AL51,FORMULAS!$B$69:$D$77,2,FALSE),"")</f>
        <v>Sí</v>
      </c>
      <c r="AP51" s="271">
        <f>IFERROR(AVERAGE(AN51:AN53),0)</f>
        <v>50</v>
      </c>
      <c r="AQ51" s="271" t="str">
        <f>IF(AP51&gt;=100,"Fuerte",IF(AP51&gt;=50,"Moderado",IF(AP51&gt;=1,"Débil","")))</f>
        <v>Moderado</v>
      </c>
      <c r="AR51" s="304" t="s">
        <v>92</v>
      </c>
      <c r="AS51" s="304" t="s">
        <v>94</v>
      </c>
      <c r="AT51" s="271" t="str">
        <f>+AQ51&amp;AR51&amp;AS51</f>
        <v>ModeradoDirectamenteIndirectamente</v>
      </c>
      <c r="AU51" s="271">
        <f>IFERROR(VLOOKUP(AT51,FORMULAS!$B$94:$D$101,2,FALSE),0)</f>
        <v>1</v>
      </c>
      <c r="AV51" s="271">
        <f>IFERROR(VLOOKUP(AT51,FORMULAS!$B$94:$D$101,3,FALSE),0)</f>
        <v>0</v>
      </c>
      <c r="AW51" s="297" t="s">
        <v>35</v>
      </c>
      <c r="AX51" s="297" t="s">
        <v>17</v>
      </c>
      <c r="AY51" s="254" t="str">
        <f>AW51&amp;AX51</f>
        <v>PosibleModerado</v>
      </c>
      <c r="AZ51" s="316" t="str">
        <f>IFERROR(VLOOKUP(AY51,FORMULAS!$B$37:$C$61,2,FALSE),"")</f>
        <v>Riesgo alto</v>
      </c>
      <c r="BA51" s="317" t="s">
        <v>29</v>
      </c>
      <c r="BB51" s="143" t="s">
        <v>411</v>
      </c>
      <c r="BC51" s="143" t="s">
        <v>412</v>
      </c>
      <c r="BD51" s="143" t="s">
        <v>413</v>
      </c>
      <c r="BE51" s="325" t="s">
        <v>414</v>
      </c>
      <c r="BF51" s="314"/>
      <c r="BG51" s="438" t="s">
        <v>415</v>
      </c>
      <c r="BH51" s="438" t="s">
        <v>416</v>
      </c>
      <c r="BI51" s="438" t="s">
        <v>417</v>
      </c>
      <c r="BJ51" s="439" t="s">
        <v>418</v>
      </c>
    </row>
    <row r="52" spans="1:63" s="59" customFormat="1" ht="60" customHeight="1" x14ac:dyDescent="0.25">
      <c r="A52" s="293"/>
      <c r="B52" s="359"/>
      <c r="C52" s="360"/>
      <c r="D52" s="361"/>
      <c r="E52" s="361"/>
      <c r="F52" s="360"/>
      <c r="G52" s="360"/>
      <c r="H52" s="298"/>
      <c r="I52" s="299"/>
      <c r="J52" s="299"/>
      <c r="K52" s="104" t="s">
        <v>419</v>
      </c>
      <c r="L52" s="289"/>
      <c r="M52" s="254"/>
      <c r="N52" s="297"/>
      <c r="O52" s="297"/>
      <c r="P52" s="254"/>
      <c r="Q52" s="317"/>
      <c r="R52" s="370" t="s">
        <v>420</v>
      </c>
      <c r="S52" s="371"/>
      <c r="T52" s="176" t="s">
        <v>147</v>
      </c>
      <c r="U52" s="66">
        <f t="shared" si="43"/>
        <v>15</v>
      </c>
      <c r="V52" s="176" t="s">
        <v>148</v>
      </c>
      <c r="W52" s="66">
        <f t="shared" si="44"/>
        <v>15</v>
      </c>
      <c r="X52" s="176" t="s">
        <v>149</v>
      </c>
      <c r="Y52" s="66">
        <f t="shared" si="45"/>
        <v>15</v>
      </c>
      <c r="Z52" s="133" t="s">
        <v>182</v>
      </c>
      <c r="AA52" s="66">
        <f t="shared" si="46"/>
        <v>10</v>
      </c>
      <c r="AB52" s="176" t="s">
        <v>151</v>
      </c>
      <c r="AC52" s="66">
        <f t="shared" si="47"/>
        <v>15</v>
      </c>
      <c r="AD52" s="176" t="s">
        <v>152</v>
      </c>
      <c r="AE52" s="66">
        <f t="shared" si="48"/>
        <v>15</v>
      </c>
      <c r="AF52" s="176" t="s">
        <v>153</v>
      </c>
      <c r="AG52" s="135">
        <f t="shared" si="49"/>
        <v>10</v>
      </c>
      <c r="AH52" s="128">
        <f t="shared" si="55"/>
        <v>95</v>
      </c>
      <c r="AI52" s="128" t="str">
        <f t="shared" si="50"/>
        <v>Moderado</v>
      </c>
      <c r="AJ52" s="139" t="s">
        <v>154</v>
      </c>
      <c r="AK52" s="128" t="str">
        <f t="shared" si="51"/>
        <v>Fuerte</v>
      </c>
      <c r="AL52" s="128" t="str">
        <f t="shared" si="52"/>
        <v>ModeradoFuerte</v>
      </c>
      <c r="AM52" s="128" t="str">
        <f>IFERROR(VLOOKUP(AL52,FORMULAS!$B$69:$D$77,3,FALSE),"")</f>
        <v>Moderado</v>
      </c>
      <c r="AN52" s="128">
        <f t="shared" si="53"/>
        <v>50</v>
      </c>
      <c r="AO52" s="128" t="str">
        <f>IFERROR(VLOOKUP(AL52,FORMULAS!$B$69:$C$77,2,FALSE),"")</f>
        <v>Sí</v>
      </c>
      <c r="AP52" s="271"/>
      <c r="AQ52" s="271"/>
      <c r="AR52" s="304"/>
      <c r="AS52" s="304"/>
      <c r="AT52" s="271"/>
      <c r="AU52" s="271"/>
      <c r="AV52" s="271"/>
      <c r="AW52" s="297"/>
      <c r="AX52" s="297"/>
      <c r="AY52" s="254"/>
      <c r="AZ52" s="316"/>
      <c r="BA52" s="317"/>
      <c r="BB52" s="143" t="s">
        <v>421</v>
      </c>
      <c r="BC52" s="143" t="s">
        <v>422</v>
      </c>
      <c r="BD52" s="143" t="s">
        <v>413</v>
      </c>
      <c r="BE52" s="324"/>
      <c r="BF52" s="314"/>
      <c r="BG52" s="266"/>
      <c r="BH52" s="266"/>
      <c r="BI52" s="266"/>
      <c r="BJ52" s="312"/>
    </row>
    <row r="53" spans="1:63" s="59" customFormat="1" ht="48" x14ac:dyDescent="0.25">
      <c r="A53" s="293"/>
      <c r="B53" s="248"/>
      <c r="C53" s="277"/>
      <c r="D53" s="279"/>
      <c r="E53" s="279"/>
      <c r="F53" s="277"/>
      <c r="G53" s="277"/>
      <c r="H53" s="366"/>
      <c r="I53" s="367"/>
      <c r="J53" s="367"/>
      <c r="K53" s="137" t="s">
        <v>423</v>
      </c>
      <c r="L53" s="315"/>
      <c r="M53" s="355"/>
      <c r="N53" s="368"/>
      <c r="O53" s="368"/>
      <c r="P53" s="355"/>
      <c r="Q53" s="369"/>
      <c r="R53" s="372" t="s">
        <v>424</v>
      </c>
      <c r="S53" s="373"/>
      <c r="T53" s="131" t="s">
        <v>147</v>
      </c>
      <c r="U53" s="69">
        <f t="shared" si="43"/>
        <v>15</v>
      </c>
      <c r="V53" s="131" t="s">
        <v>148</v>
      </c>
      <c r="W53" s="69">
        <f t="shared" si="44"/>
        <v>15</v>
      </c>
      <c r="X53" s="131" t="s">
        <v>149</v>
      </c>
      <c r="Y53" s="69">
        <f t="shared" si="45"/>
        <v>15</v>
      </c>
      <c r="Z53" s="122" t="s">
        <v>182</v>
      </c>
      <c r="AA53" s="69">
        <f t="shared" si="46"/>
        <v>10</v>
      </c>
      <c r="AB53" s="131" t="s">
        <v>151</v>
      </c>
      <c r="AC53" s="69">
        <f t="shared" si="47"/>
        <v>15</v>
      </c>
      <c r="AD53" s="131" t="s">
        <v>152</v>
      </c>
      <c r="AE53" s="69">
        <f t="shared" si="48"/>
        <v>15</v>
      </c>
      <c r="AF53" s="131" t="s">
        <v>153</v>
      </c>
      <c r="AG53" s="124">
        <f t="shared" si="49"/>
        <v>10</v>
      </c>
      <c r="AH53" s="129">
        <f t="shared" si="55"/>
        <v>95</v>
      </c>
      <c r="AI53" s="129" t="str">
        <f t="shared" si="50"/>
        <v>Moderado</v>
      </c>
      <c r="AJ53" s="120" t="s">
        <v>154</v>
      </c>
      <c r="AK53" s="129" t="str">
        <f t="shared" si="51"/>
        <v>Fuerte</v>
      </c>
      <c r="AL53" s="129" t="str">
        <f t="shared" si="52"/>
        <v>ModeradoFuerte</v>
      </c>
      <c r="AM53" s="129" t="str">
        <f>IFERROR(VLOOKUP(AL53,FORMULAS!$B$69:$D$77,3,FALSE),"")</f>
        <v>Moderado</v>
      </c>
      <c r="AN53" s="129">
        <f t="shared" si="53"/>
        <v>50</v>
      </c>
      <c r="AO53" s="129" t="str">
        <f>IFERROR(VLOOKUP(AL53,FORMULAS!$B$69:$C$77,2,FALSE),"")</f>
        <v>Sí</v>
      </c>
      <c r="AP53" s="307"/>
      <c r="AQ53" s="307"/>
      <c r="AR53" s="305"/>
      <c r="AS53" s="305"/>
      <c r="AT53" s="307"/>
      <c r="AU53" s="307"/>
      <c r="AV53" s="307"/>
      <c r="AW53" s="368"/>
      <c r="AX53" s="368"/>
      <c r="AY53" s="355"/>
      <c r="AZ53" s="357"/>
      <c r="BA53" s="369"/>
      <c r="BB53" s="144" t="s">
        <v>425</v>
      </c>
      <c r="BC53" s="144" t="s">
        <v>426</v>
      </c>
      <c r="BD53" s="144" t="s">
        <v>413</v>
      </c>
      <c r="BE53" s="326"/>
      <c r="BF53" s="327"/>
      <c r="BG53" s="267"/>
      <c r="BH53" s="267"/>
      <c r="BI53" s="267"/>
      <c r="BJ53" s="269"/>
    </row>
    <row r="54" spans="1:63" ht="48" x14ac:dyDescent="0.25">
      <c r="A54" s="517"/>
      <c r="B54" s="247" t="s">
        <v>53</v>
      </c>
      <c r="C54" s="297">
        <v>17</v>
      </c>
      <c r="D54" s="298" t="s">
        <v>427</v>
      </c>
      <c r="E54" s="298" t="s">
        <v>428</v>
      </c>
      <c r="F54" s="297" t="s">
        <v>11</v>
      </c>
      <c r="G54" s="297" t="s">
        <v>32</v>
      </c>
      <c r="H54" s="298" t="s">
        <v>429</v>
      </c>
      <c r="I54" s="299"/>
      <c r="J54" s="299"/>
      <c r="K54" s="126" t="s">
        <v>430</v>
      </c>
      <c r="L54" s="331" t="s">
        <v>431</v>
      </c>
      <c r="M54" s="254" t="str">
        <f t="shared" ref="M54" si="56">IF(F54="gestion","impacto",IF(F54="corrupcion","impactocorrupcion",IF(F54="seguridad_de_la_informacion","impacto","")))</f>
        <v>impacto</v>
      </c>
      <c r="N54" s="297" t="s">
        <v>42</v>
      </c>
      <c r="O54" s="297" t="s">
        <v>28</v>
      </c>
      <c r="P54" s="254" t="str">
        <f t="shared" ref="P54" si="57">N54&amp;O54</f>
        <v>ProbableMenor</v>
      </c>
      <c r="Q54" s="317" t="str">
        <f>IFERROR(VLOOKUP(P54,[7]FORMULAS!$B$38:$C$62,2,FALSE),"")</f>
        <v>Riesgo alto</v>
      </c>
      <c r="R54" s="298" t="s">
        <v>432</v>
      </c>
      <c r="S54" s="298"/>
      <c r="T54" s="126" t="s">
        <v>147</v>
      </c>
      <c r="U54" s="135">
        <f t="shared" ref="U54:U56" si="58">IF(T54="Asignado",15,0)</f>
        <v>15</v>
      </c>
      <c r="V54" s="126" t="s">
        <v>148</v>
      </c>
      <c r="W54" s="135">
        <f t="shared" ref="W54:W56" si="59">IF(V54="Adecuado",15,0)</f>
        <v>15</v>
      </c>
      <c r="X54" s="126" t="s">
        <v>149</v>
      </c>
      <c r="Y54" s="135">
        <f t="shared" ref="Y54:Y56" si="60">IF(X54="Oportuna",15,0)</f>
        <v>15</v>
      </c>
      <c r="Z54" s="126" t="s">
        <v>150</v>
      </c>
      <c r="AA54" s="135">
        <f t="shared" ref="AA54:AA56" si="61">IF(Z54="Prevenir",15,IF(Z54="Detectar",10,0))</f>
        <v>15</v>
      </c>
      <c r="AB54" s="126" t="s">
        <v>151</v>
      </c>
      <c r="AC54" s="135">
        <f t="shared" ref="AC54:AC56" si="62">IF(AB54="Confiable",15,0)</f>
        <v>15</v>
      </c>
      <c r="AD54" s="126" t="s">
        <v>152</v>
      </c>
      <c r="AE54" s="135">
        <f t="shared" ref="AE54:AE56" si="63">IF(AD54="Se investigan y resuelven oportunamente",15,0)</f>
        <v>15</v>
      </c>
      <c r="AF54" s="126" t="s">
        <v>153</v>
      </c>
      <c r="AG54" s="135">
        <f t="shared" ref="AG54:AG56" si="64">IF(AF54="Completa",10,IF(AF54="incompleta",5,0))</f>
        <v>10</v>
      </c>
      <c r="AH54" s="128">
        <f t="shared" ref="AH54:AH56" si="65">U54+W54+Y54+AA54+AC54+AE54+AG54</f>
        <v>100</v>
      </c>
      <c r="AI54" s="128" t="str">
        <f t="shared" ref="AI54:AI56" si="66">IF(AH54&gt;=96,"Fuerte",IF(AH54&gt;=86,"Moderado",IF(AH54&gt;=1,"Débil","")))</f>
        <v>Fuerte</v>
      </c>
      <c r="AJ54" s="139" t="s">
        <v>154</v>
      </c>
      <c r="AK54" s="128" t="str">
        <f t="shared" ref="AK54:AK56" si="67">IF(AJ54="Siempre se ejecuta","Fuerte",IF(AJ54="Algunas veces","Moderado",IF(AJ54="no se ejecuta","Débil","")))</f>
        <v>Fuerte</v>
      </c>
      <c r="AL54" s="128" t="str">
        <f t="shared" ref="AL54:AL56" si="68">AI54&amp;AK54</f>
        <v>FuerteFuerte</v>
      </c>
      <c r="AM54" s="128" t="str">
        <f>IFERROR(VLOOKUP(AL54,[7]FORMULAS!$B$70:$D$78,3,FALSE),"")</f>
        <v>Fuerte</v>
      </c>
      <c r="AN54" s="128">
        <f t="shared" ref="AN54:AN56" si="69">IF(AM54="fuerte",100,IF(AM54="Moderado",50,IF(AM54="débil",0,"")))</f>
        <v>100</v>
      </c>
      <c r="AP54" s="271">
        <f>IFERROR(AVERAGE(AN54:AN55),0)</f>
        <v>100</v>
      </c>
      <c r="AQ54" s="255" t="str">
        <f t="shared" ref="AQ54" si="70">IF(AP54&gt;=100,"Fuerte",IF(AP54&gt;=50,"Moderado",IF(AP54&gt;=1,"Débil","")))</f>
        <v>Fuerte</v>
      </c>
      <c r="AR54" s="272" t="s">
        <v>92</v>
      </c>
      <c r="AS54" s="272" t="s">
        <v>94</v>
      </c>
      <c r="AT54" s="128" t="str">
        <f t="shared" ref="AT54" si="71">+AQ54&amp;AR54&amp;AS54</f>
        <v>FuerteDirectamenteIndirectamente</v>
      </c>
      <c r="AU54" s="255">
        <f>IFERROR(VLOOKUP(AT54,[7]FORMULAS!$B$95:$D$102,2,FALSE),0)</f>
        <v>2</v>
      </c>
      <c r="AV54" s="255">
        <f>IFERROR(VLOOKUP(AT54,[7]FORMULAS!$B$95:$D$102,3,FALSE),0)</f>
        <v>1</v>
      </c>
      <c r="AW54" s="257" t="s">
        <v>15</v>
      </c>
      <c r="AX54" s="257" t="s">
        <v>28</v>
      </c>
      <c r="AY54" s="135" t="str">
        <f t="shared" ref="AY54" si="72">AW54&amp;AX54</f>
        <v>Rara vezMenor</v>
      </c>
      <c r="AZ54" s="302" t="str">
        <f>IFERROR(VLOOKUP(AY54,[7]FORMULAS!$B$38:$C$62,2,FALSE),"")</f>
        <v>Riesgo bajo</v>
      </c>
      <c r="BA54" s="502" t="s">
        <v>19</v>
      </c>
      <c r="BB54" s="182" t="s">
        <v>433</v>
      </c>
      <c r="BC54" s="141" t="s">
        <v>434</v>
      </c>
      <c r="BD54" s="141" t="s">
        <v>435</v>
      </c>
      <c r="BE54" s="183" t="s">
        <v>158</v>
      </c>
      <c r="BF54" s="183" t="s">
        <v>436</v>
      </c>
      <c r="BG54" s="182" t="s">
        <v>437</v>
      </c>
      <c r="BH54" s="141" t="s">
        <v>438</v>
      </c>
      <c r="BI54" s="141" t="s">
        <v>439</v>
      </c>
      <c r="BJ54" s="183" t="s">
        <v>440</v>
      </c>
    </row>
    <row r="55" spans="1:63" ht="60.75" thickBot="1" x14ac:dyDescent="0.3">
      <c r="A55" s="518"/>
      <c r="B55" s="296"/>
      <c r="C55" s="297"/>
      <c r="D55" s="298"/>
      <c r="E55" s="298"/>
      <c r="F55" s="297"/>
      <c r="G55" s="297"/>
      <c r="H55" s="298"/>
      <c r="I55" s="299"/>
      <c r="J55" s="299"/>
      <c r="K55" s="126" t="s">
        <v>441</v>
      </c>
      <c r="L55" s="258"/>
      <c r="M55" s="254"/>
      <c r="N55" s="297"/>
      <c r="O55" s="297"/>
      <c r="P55" s="254"/>
      <c r="Q55" s="317"/>
      <c r="R55" s="298" t="s">
        <v>432</v>
      </c>
      <c r="S55" s="298"/>
      <c r="T55" s="126" t="s">
        <v>147</v>
      </c>
      <c r="U55" s="135">
        <f t="shared" si="58"/>
        <v>15</v>
      </c>
      <c r="V55" s="126" t="s">
        <v>148</v>
      </c>
      <c r="W55" s="135">
        <f t="shared" si="59"/>
        <v>15</v>
      </c>
      <c r="X55" s="126" t="s">
        <v>149</v>
      </c>
      <c r="Y55" s="135">
        <f t="shared" si="60"/>
        <v>15</v>
      </c>
      <c r="Z55" s="126" t="s">
        <v>150</v>
      </c>
      <c r="AA55" s="135">
        <f t="shared" si="61"/>
        <v>15</v>
      </c>
      <c r="AB55" s="126" t="s">
        <v>151</v>
      </c>
      <c r="AC55" s="135">
        <f t="shared" si="62"/>
        <v>15</v>
      </c>
      <c r="AD55" s="126" t="s">
        <v>152</v>
      </c>
      <c r="AE55" s="135">
        <f t="shared" si="63"/>
        <v>15</v>
      </c>
      <c r="AF55" s="126" t="s">
        <v>153</v>
      </c>
      <c r="AG55" s="135">
        <f t="shared" si="64"/>
        <v>10</v>
      </c>
      <c r="AH55" s="128">
        <f t="shared" si="65"/>
        <v>100</v>
      </c>
      <c r="AI55" s="128" t="str">
        <f t="shared" si="66"/>
        <v>Fuerte</v>
      </c>
      <c r="AJ55" s="139" t="s">
        <v>154</v>
      </c>
      <c r="AK55" s="128" t="str">
        <f t="shared" si="67"/>
        <v>Fuerte</v>
      </c>
      <c r="AL55" s="128" t="str">
        <f t="shared" si="68"/>
        <v>FuerteFuerte</v>
      </c>
      <c r="AM55" s="128" t="str">
        <f>IFERROR(VLOOKUP(AL55,[7]FORMULAS!$B$70:$D$78,3,FALSE),"")</f>
        <v>Fuerte</v>
      </c>
      <c r="AN55" s="128">
        <f t="shared" si="69"/>
        <v>100</v>
      </c>
      <c r="AP55" s="271"/>
      <c r="AQ55" s="322"/>
      <c r="AR55" s="453"/>
      <c r="AS55" s="453"/>
      <c r="AT55" s="128"/>
      <c r="AU55" s="322"/>
      <c r="AV55" s="322"/>
      <c r="AW55" s="321"/>
      <c r="AX55" s="321"/>
      <c r="AY55" s="135"/>
      <c r="AZ55" s="455"/>
      <c r="BA55" s="503"/>
      <c r="BB55" s="182" t="s">
        <v>442</v>
      </c>
      <c r="BC55" s="141" t="s">
        <v>434</v>
      </c>
      <c r="BD55" s="141" t="s">
        <v>435</v>
      </c>
      <c r="BE55" s="183" t="s">
        <v>158</v>
      </c>
      <c r="BF55" s="183" t="s">
        <v>443</v>
      </c>
      <c r="BG55" s="182" t="s">
        <v>444</v>
      </c>
      <c r="BH55" s="141" t="s">
        <v>438</v>
      </c>
      <c r="BI55" s="141" t="s">
        <v>439</v>
      </c>
      <c r="BJ55" s="183" t="s">
        <v>440</v>
      </c>
    </row>
    <row r="56" spans="1:63" ht="84" x14ac:dyDescent="0.25">
      <c r="A56" s="234"/>
      <c r="B56" s="247" t="s">
        <v>62</v>
      </c>
      <c r="C56" s="611">
        <v>18</v>
      </c>
      <c r="D56" s="612" t="s">
        <v>492</v>
      </c>
      <c r="E56" s="612" t="s">
        <v>493</v>
      </c>
      <c r="F56" s="611" t="s">
        <v>11</v>
      </c>
      <c r="G56" s="611" t="s">
        <v>39</v>
      </c>
      <c r="H56" s="612" t="s">
        <v>143</v>
      </c>
      <c r="I56" s="236" t="s">
        <v>46</v>
      </c>
      <c r="J56" s="236" t="s">
        <v>61</v>
      </c>
      <c r="K56" s="613" t="s">
        <v>494</v>
      </c>
      <c r="L56" s="612" t="s">
        <v>495</v>
      </c>
      <c r="M56" s="614" t="str">
        <f>IF(F56="gestion","impacto",IF(F56="corrupcion","impactocorrupcion",IF(F56="seguridad_de_la_informacion","impacto","")))</f>
        <v>impacto</v>
      </c>
      <c r="N56" s="611" t="s">
        <v>35</v>
      </c>
      <c r="O56" s="249" t="s">
        <v>17</v>
      </c>
      <c r="P56" s="614" t="str">
        <f>N56&amp;O56</f>
        <v>PosibleModerado</v>
      </c>
      <c r="Q56" s="615" t="str">
        <f>IFERROR(VLOOKUP(P56,[13]FORMULAS!$B$38:$C$62,2,FALSE),"")</f>
        <v>Riesgo alto</v>
      </c>
      <c r="R56" s="616" t="s">
        <v>496</v>
      </c>
      <c r="S56" s="616"/>
      <c r="T56" s="611" t="s">
        <v>147</v>
      </c>
      <c r="U56" s="614">
        <f t="shared" si="58"/>
        <v>15</v>
      </c>
      <c r="V56" s="611" t="s">
        <v>148</v>
      </c>
      <c r="W56" s="614">
        <f t="shared" si="59"/>
        <v>15</v>
      </c>
      <c r="X56" s="611" t="s">
        <v>149</v>
      </c>
      <c r="Y56" s="614">
        <f t="shared" si="60"/>
        <v>15</v>
      </c>
      <c r="Z56" s="249" t="s">
        <v>150</v>
      </c>
      <c r="AA56" s="614">
        <f t="shared" si="61"/>
        <v>15</v>
      </c>
      <c r="AB56" s="611" t="s">
        <v>151</v>
      </c>
      <c r="AC56" s="614">
        <f t="shared" si="62"/>
        <v>15</v>
      </c>
      <c r="AD56" s="249" t="s">
        <v>152</v>
      </c>
      <c r="AE56" s="614">
        <f t="shared" si="63"/>
        <v>15</v>
      </c>
      <c r="AF56" s="611" t="s">
        <v>153</v>
      </c>
      <c r="AG56" s="614">
        <f t="shared" si="64"/>
        <v>10</v>
      </c>
      <c r="AH56" s="300">
        <f t="shared" si="65"/>
        <v>100</v>
      </c>
      <c r="AI56" s="300" t="str">
        <f t="shared" si="66"/>
        <v>Fuerte</v>
      </c>
      <c r="AJ56" s="301" t="s">
        <v>154</v>
      </c>
      <c r="AK56" s="300" t="str">
        <f t="shared" si="67"/>
        <v>Fuerte</v>
      </c>
      <c r="AL56" s="235" t="str">
        <f t="shared" si="68"/>
        <v>FuerteFuerte</v>
      </c>
      <c r="AM56" s="300" t="str">
        <f>IFERROR(VLOOKUP(AL56,[13]FORMULAS!$B$70:$D$78,3,FALSE),"")</f>
        <v>Fuerte</v>
      </c>
      <c r="AN56" s="300">
        <f t="shared" si="69"/>
        <v>100</v>
      </c>
      <c r="AO56" s="300">
        <f>IFERROR(AVERAGE(AN56:AN56),0)</f>
        <v>100</v>
      </c>
      <c r="AP56" s="300" t="str">
        <f t="shared" ref="AP56:AP57" si="73">IF(AO56&gt;=100,"Fuerte",IF(AO56&gt;=50,"Moderado",IF(AO56&gt;=1,"Débil","")))</f>
        <v>Fuerte</v>
      </c>
      <c r="AQ56" s="301" t="s">
        <v>92</v>
      </c>
      <c r="AR56" s="301" t="s">
        <v>92</v>
      </c>
      <c r="AS56" s="255" t="str">
        <f t="shared" ref="AS56:AS57" si="74">+AP56&amp;AQ56&amp;AR56</f>
        <v>FuerteDirectamenteDirectamente</v>
      </c>
      <c r="AT56" s="339">
        <f>IFERROR(VLOOKUP(AS56,[13]FORMULAS!$B$95:$D$102,2,FALSE),0)</f>
        <v>2</v>
      </c>
      <c r="AU56" s="339">
        <v>2</v>
      </c>
      <c r="AV56" s="339">
        <v>2</v>
      </c>
      <c r="AW56" s="249" t="s">
        <v>15</v>
      </c>
      <c r="AX56" s="249" t="s">
        <v>18</v>
      </c>
      <c r="AY56" s="614" t="str">
        <f t="shared" ref="AY56:AY57" si="75">AW56&amp;AX56</f>
        <v>Rara vezInsignificante</v>
      </c>
      <c r="AZ56" s="617" t="str">
        <f>IFERROR(VLOOKUP(AY56,[13]FORMULAS!$B$38:$C$62,2,FALSE),"")</f>
        <v>Riesgo bajo</v>
      </c>
      <c r="BA56" s="615" t="s">
        <v>19</v>
      </c>
      <c r="BB56" s="475" t="s">
        <v>497</v>
      </c>
      <c r="BC56" s="618" t="s">
        <v>1340</v>
      </c>
      <c r="BD56" s="618" t="s">
        <v>499</v>
      </c>
      <c r="BE56" s="619" t="s">
        <v>500</v>
      </c>
      <c r="BF56" s="619" t="s">
        <v>501</v>
      </c>
      <c r="BG56" s="475" t="s">
        <v>502</v>
      </c>
      <c r="BH56" s="618" t="s">
        <v>503</v>
      </c>
      <c r="BI56" s="618" t="s">
        <v>504</v>
      </c>
      <c r="BJ56" s="619" t="s">
        <v>505</v>
      </c>
    </row>
    <row r="57" spans="1:63" ht="48.75" thickBot="1" x14ac:dyDescent="0.3">
      <c r="A57" s="234"/>
      <c r="B57" s="296"/>
      <c r="C57" s="620"/>
      <c r="D57" s="621"/>
      <c r="E57" s="621"/>
      <c r="F57" s="620"/>
      <c r="G57" s="620"/>
      <c r="H57" s="621"/>
      <c r="I57" s="236"/>
      <c r="J57" s="236"/>
      <c r="K57" s="613" t="s">
        <v>506</v>
      </c>
      <c r="L57" s="621"/>
      <c r="M57" s="614"/>
      <c r="N57" s="620"/>
      <c r="O57" s="335"/>
      <c r="P57" s="614"/>
      <c r="Q57" s="622"/>
      <c r="R57" s="616" t="s">
        <v>507</v>
      </c>
      <c r="S57" s="616"/>
      <c r="T57" s="620"/>
      <c r="U57" s="614"/>
      <c r="V57" s="620"/>
      <c r="W57" s="614"/>
      <c r="X57" s="620"/>
      <c r="Y57" s="614"/>
      <c r="Z57" s="335"/>
      <c r="AA57" s="614"/>
      <c r="AB57" s="620"/>
      <c r="AC57" s="614"/>
      <c r="AD57" s="335"/>
      <c r="AE57" s="614"/>
      <c r="AF57" s="620"/>
      <c r="AG57" s="614"/>
      <c r="AH57" s="256"/>
      <c r="AI57" s="256"/>
      <c r="AJ57" s="273"/>
      <c r="AK57" s="256"/>
      <c r="AL57" s="235"/>
      <c r="AM57" s="256"/>
      <c r="AN57" s="256"/>
      <c r="AO57" s="256"/>
      <c r="AP57" s="256"/>
      <c r="AQ57" s="273"/>
      <c r="AR57" s="273"/>
      <c r="AS57" s="256"/>
      <c r="AT57" s="340"/>
      <c r="AU57" s="340"/>
      <c r="AV57" s="340"/>
      <c r="AW57" s="335"/>
      <c r="AX57" s="335"/>
      <c r="AY57" s="614"/>
      <c r="AZ57" s="623"/>
      <c r="BA57" s="622"/>
      <c r="BB57" s="476"/>
      <c r="BC57" s="624"/>
      <c r="BD57" s="624"/>
      <c r="BE57" s="625"/>
      <c r="BF57" s="625"/>
      <c r="BG57" s="476"/>
      <c r="BH57" s="624"/>
      <c r="BI57" s="624"/>
      <c r="BJ57" s="625"/>
    </row>
    <row r="58" spans="1:63" ht="120.75" customHeight="1" x14ac:dyDescent="0.25">
      <c r="A58" s="234"/>
      <c r="B58" s="247" t="s">
        <v>62</v>
      </c>
      <c r="C58" s="611">
        <v>19</v>
      </c>
      <c r="D58" s="449" t="s">
        <v>508</v>
      </c>
      <c r="E58" s="612" t="s">
        <v>509</v>
      </c>
      <c r="F58" s="611" t="s">
        <v>11</v>
      </c>
      <c r="G58" s="611" t="s">
        <v>39</v>
      </c>
      <c r="H58" s="612" t="s">
        <v>143</v>
      </c>
      <c r="I58" s="236" t="s">
        <v>46</v>
      </c>
      <c r="J58" s="236" t="s">
        <v>61</v>
      </c>
      <c r="K58" s="611" t="s">
        <v>510</v>
      </c>
      <c r="L58" s="612" t="s">
        <v>511</v>
      </c>
      <c r="M58" s="614" t="str">
        <f>IF(F58="gestion","impacto",IF(F58="corrupcion","impactocorrupcion",IF(F58="seguridad_de_la_informacion","impacto","")))</f>
        <v>impacto</v>
      </c>
      <c r="N58" s="611" t="s">
        <v>35</v>
      </c>
      <c r="O58" s="611" t="s">
        <v>17</v>
      </c>
      <c r="P58" s="614" t="str">
        <f>N58&amp;O58</f>
        <v>PosibleModerado</v>
      </c>
      <c r="Q58" s="615" t="str">
        <f>IFERROR(VLOOKUP(P58,[13]FORMULAS!$B$38:$C$62,2,FALSE),"")</f>
        <v>Riesgo alto</v>
      </c>
      <c r="R58" s="510" t="s">
        <v>1341</v>
      </c>
      <c r="S58" s="511"/>
      <c r="T58" s="611" t="s">
        <v>147</v>
      </c>
      <c r="U58" s="614">
        <f t="shared" ref="U58:U59" si="76">IF(T58="Asignado",15,0)</f>
        <v>15</v>
      </c>
      <c r="V58" s="611" t="s">
        <v>148</v>
      </c>
      <c r="W58" s="614">
        <f t="shared" ref="W58:W59" si="77">IF(V58="Adecuado",15,0)</f>
        <v>15</v>
      </c>
      <c r="X58" s="611" t="s">
        <v>149</v>
      </c>
      <c r="Y58" s="614">
        <f t="shared" ref="Y58:Y59" si="78">IF(X58="Oportuna",15,0)</f>
        <v>15</v>
      </c>
      <c r="Z58" s="611" t="s">
        <v>150</v>
      </c>
      <c r="AA58" s="614">
        <f t="shared" ref="AA58:AA59" si="79">IF(Z58="Prevenir",15,IF(Z58="Detectar",10,0))</f>
        <v>15</v>
      </c>
      <c r="AB58" s="611" t="s">
        <v>151</v>
      </c>
      <c r="AC58" s="614">
        <f t="shared" ref="AC58:AC59" si="80">IF(AB58="Confiable",15,0)</f>
        <v>15</v>
      </c>
      <c r="AD58" s="611" t="s">
        <v>152</v>
      </c>
      <c r="AE58" s="614">
        <f t="shared" ref="AE58:AE59" si="81">IF(AD58="Se investigan y resuelven oportunamente",15,0)</f>
        <v>15</v>
      </c>
      <c r="AF58" s="611" t="s">
        <v>153</v>
      </c>
      <c r="AG58" s="614">
        <f t="shared" ref="AG58:AG59" si="82">IF(AF58="Completa",10,IF(AF58="incompleta",5,0))</f>
        <v>10</v>
      </c>
      <c r="AH58" s="300">
        <f t="shared" ref="AH58:AH59" si="83">U58+W58+Y58+AA58+AC58+AE58+AG58</f>
        <v>100</v>
      </c>
      <c r="AI58" s="300" t="str">
        <f t="shared" ref="AI58:AI59" si="84">IF(AH58&gt;=96,"Fuerte",IF(AH58&gt;=86,"Moderado",IF(AH58&gt;=1,"Débil","")))</f>
        <v>Fuerte</v>
      </c>
      <c r="AJ58" s="301" t="s">
        <v>154</v>
      </c>
      <c r="AK58" s="300" t="str">
        <f t="shared" ref="AK58:AK59" si="85">IF(AJ58="Siempre se ejecuta","Fuerte",IF(AJ58="Algunas veces","Moderado",IF(AJ58="no se ejecuta","Débil","")))</f>
        <v>Fuerte</v>
      </c>
      <c r="AL58" s="235" t="str">
        <f t="shared" ref="AL58:AL59" si="86">AI58&amp;AK58</f>
        <v>FuerteFuerte</v>
      </c>
      <c r="AM58" s="300" t="str">
        <f>IFERROR(VLOOKUP(AL58,[13]FORMULAS!$B$70:$D$78,3,FALSE),"")</f>
        <v>Fuerte</v>
      </c>
      <c r="AN58" s="300">
        <f t="shared" ref="AN58:AN59" si="87">IF(AM58="fuerte",100,IF(AM58="Moderado",50,IF(AM58="débil",0,"")))</f>
        <v>100</v>
      </c>
      <c r="AO58" s="300">
        <f>IFERROR(AVERAGE(AN58:AN58),0)</f>
        <v>100</v>
      </c>
      <c r="AP58" s="300" t="str">
        <f t="shared" ref="AP58:AP59" si="88">IF(AO58&gt;=100,"Fuerte",IF(AO58&gt;=50,"Moderado",IF(AO58&gt;=1,"Débil","")))</f>
        <v>Fuerte</v>
      </c>
      <c r="AQ58" s="301" t="s">
        <v>92</v>
      </c>
      <c r="AR58" s="301" t="s">
        <v>92</v>
      </c>
      <c r="AS58" s="300" t="str">
        <f t="shared" ref="AS58:AS59" si="89">+AP58&amp;AQ58&amp;AR58</f>
        <v>FuerteDirectamenteDirectamente</v>
      </c>
      <c r="AT58" s="300">
        <f>IFERROR(VLOOKUP(AS58,[13]FORMULAS!$B$95:$D$102,2,FALSE),0)</f>
        <v>2</v>
      </c>
      <c r="AU58" s="300">
        <f>IFERROR(VLOOKUP(AS58,[13]FORMULAS!$B$95:$D$102,3,FALSE),0)</f>
        <v>2</v>
      </c>
      <c r="AV58" s="300">
        <v>2</v>
      </c>
      <c r="AW58" s="611" t="s">
        <v>15</v>
      </c>
      <c r="AX58" s="611" t="s">
        <v>18</v>
      </c>
      <c r="AY58" s="614" t="str">
        <f t="shared" ref="AY58:AY59" si="90">AW58&amp;AX58</f>
        <v>Rara vezInsignificante</v>
      </c>
      <c r="AZ58" s="617" t="str">
        <f>IFERROR(VLOOKUP(AY58,[13]FORMULAS!$B$38:$C$62,2,FALSE),"")</f>
        <v>Riesgo bajo</v>
      </c>
      <c r="BA58" s="615" t="s">
        <v>19</v>
      </c>
      <c r="BB58" s="475" t="s">
        <v>512</v>
      </c>
      <c r="BC58" s="618" t="s">
        <v>513</v>
      </c>
      <c r="BD58" s="618" t="s">
        <v>514</v>
      </c>
      <c r="BE58" s="477" t="s">
        <v>515</v>
      </c>
      <c r="BF58" s="619" t="s">
        <v>516</v>
      </c>
      <c r="BG58" s="475" t="s">
        <v>517</v>
      </c>
      <c r="BH58" s="475" t="s">
        <v>518</v>
      </c>
      <c r="BI58" s="618" t="s">
        <v>514</v>
      </c>
      <c r="BJ58" s="477" t="s">
        <v>505</v>
      </c>
    </row>
    <row r="59" spans="1:63" ht="102.75" customHeight="1" thickBot="1" x14ac:dyDescent="0.3">
      <c r="A59" s="234"/>
      <c r="B59" s="296"/>
      <c r="C59" s="620"/>
      <c r="D59" s="448"/>
      <c r="E59" s="621"/>
      <c r="F59" s="620"/>
      <c r="G59" s="620"/>
      <c r="H59" s="621"/>
      <c r="I59" s="236"/>
      <c r="J59" s="236"/>
      <c r="K59" s="620"/>
      <c r="L59" s="621"/>
      <c r="M59" s="614"/>
      <c r="N59" s="620"/>
      <c r="O59" s="620"/>
      <c r="P59" s="614"/>
      <c r="Q59" s="622"/>
      <c r="R59" s="626" t="s">
        <v>519</v>
      </c>
      <c r="S59" s="627"/>
      <c r="T59" s="620"/>
      <c r="U59" s="614"/>
      <c r="V59" s="620"/>
      <c r="W59" s="614"/>
      <c r="X59" s="620"/>
      <c r="Y59" s="614"/>
      <c r="Z59" s="620"/>
      <c r="AA59" s="614"/>
      <c r="AB59" s="620"/>
      <c r="AC59" s="614"/>
      <c r="AD59" s="620"/>
      <c r="AE59" s="614"/>
      <c r="AF59" s="620"/>
      <c r="AG59" s="614"/>
      <c r="AH59" s="256"/>
      <c r="AI59" s="256"/>
      <c r="AJ59" s="273"/>
      <c r="AK59" s="256"/>
      <c r="AL59" s="235"/>
      <c r="AM59" s="256"/>
      <c r="AN59" s="256"/>
      <c r="AO59" s="256"/>
      <c r="AP59" s="256"/>
      <c r="AQ59" s="273"/>
      <c r="AR59" s="273"/>
      <c r="AS59" s="256"/>
      <c r="AT59" s="256"/>
      <c r="AU59" s="256"/>
      <c r="AV59" s="256"/>
      <c r="AW59" s="620"/>
      <c r="AX59" s="620"/>
      <c r="AY59" s="614"/>
      <c r="AZ59" s="623"/>
      <c r="BA59" s="622"/>
      <c r="BB59" s="476"/>
      <c r="BC59" s="624"/>
      <c r="BD59" s="624"/>
      <c r="BE59" s="478"/>
      <c r="BF59" s="625"/>
      <c r="BG59" s="476"/>
      <c r="BH59" s="476"/>
      <c r="BI59" s="624"/>
      <c r="BJ59" s="478"/>
    </row>
    <row r="60" spans="1:63" ht="102.75" customHeight="1" x14ac:dyDescent="0.25">
      <c r="A60" s="234"/>
      <c r="B60" s="247" t="s">
        <v>62</v>
      </c>
      <c r="C60" s="611">
        <v>20</v>
      </c>
      <c r="D60" s="447" t="s">
        <v>520</v>
      </c>
      <c r="E60" s="251" t="s">
        <v>521</v>
      </c>
      <c r="F60" s="611" t="s">
        <v>11</v>
      </c>
      <c r="G60" s="611" t="s">
        <v>39</v>
      </c>
      <c r="H60" s="612" t="s">
        <v>143</v>
      </c>
      <c r="I60" s="236" t="s">
        <v>23</v>
      </c>
      <c r="J60" s="236" t="s">
        <v>64</v>
      </c>
      <c r="K60" s="249" t="s">
        <v>522</v>
      </c>
      <c r="L60" s="251" t="s">
        <v>523</v>
      </c>
      <c r="M60" s="628" t="str">
        <f>IF(F60="gestion","impacto",IF(F60="corrupcion","impactocorrupcion",IF(F60="seguridad_de_la_informacion","impacto","")))</f>
        <v>impacto</v>
      </c>
      <c r="N60" s="249" t="s">
        <v>35</v>
      </c>
      <c r="O60" s="611" t="s">
        <v>27</v>
      </c>
      <c r="P60" s="614" t="str">
        <f>N60&amp;O60</f>
        <v>PosibleMayor</v>
      </c>
      <c r="Q60" s="615" t="str">
        <f>IFERROR(VLOOKUP(P60,[13]FORMULAS!$B$38:$C$62,2,FALSE),"")</f>
        <v>Riesgo extremo</v>
      </c>
      <c r="R60" s="508" t="s">
        <v>524</v>
      </c>
      <c r="S60" s="508"/>
      <c r="T60" s="611" t="s">
        <v>147</v>
      </c>
      <c r="U60" s="614">
        <f t="shared" ref="U60:U61" si="91">IF(T60="Asignado",15,0)</f>
        <v>15</v>
      </c>
      <c r="V60" s="611" t="s">
        <v>148</v>
      </c>
      <c r="W60" s="614">
        <f t="shared" ref="W60:W61" si="92">IF(V60="Adecuado",15,0)</f>
        <v>15</v>
      </c>
      <c r="X60" s="611" t="s">
        <v>149</v>
      </c>
      <c r="Y60" s="614">
        <f t="shared" ref="Y60:Y61" si="93">IF(X60="Oportuna",15,0)</f>
        <v>15</v>
      </c>
      <c r="Z60" s="611" t="s">
        <v>150</v>
      </c>
      <c r="AA60" s="614">
        <f t="shared" ref="AA60:AA61" si="94">IF(Z60="Prevenir",15,IF(Z60="Detectar",10,0))</f>
        <v>15</v>
      </c>
      <c r="AB60" s="611" t="s">
        <v>151</v>
      </c>
      <c r="AC60" s="614">
        <f t="shared" ref="AC60:AC61" si="95">IF(AB60="Confiable",15,0)</f>
        <v>15</v>
      </c>
      <c r="AD60" s="611" t="s">
        <v>152</v>
      </c>
      <c r="AE60" s="614">
        <f t="shared" ref="AE60:AE61" si="96">IF(AD60="Se investigan y resuelven oportunamente",15,0)</f>
        <v>15</v>
      </c>
      <c r="AF60" s="611" t="s">
        <v>153</v>
      </c>
      <c r="AG60" s="614">
        <f t="shared" ref="AG60:AG61" si="97">IF(AF60="Completa",10,IF(AF60="incompleta",5,0))</f>
        <v>10</v>
      </c>
      <c r="AH60" s="300">
        <f t="shared" ref="AH60:AH61" si="98">U60+W60+Y60+AA60+AC60+AE60+AG60</f>
        <v>100</v>
      </c>
      <c r="AI60" s="300" t="str">
        <f t="shared" ref="AI60:AI61" si="99">IF(AH60&gt;=96,"Fuerte",IF(AH60&gt;=86,"Moderado",IF(AH60&gt;=1,"Débil","")))</f>
        <v>Fuerte</v>
      </c>
      <c r="AJ60" s="301" t="s">
        <v>154</v>
      </c>
      <c r="AK60" s="300" t="str">
        <f t="shared" ref="AK60:AK61" si="100">IF(AJ60="Siempre se ejecuta","Fuerte",IF(AJ60="Algunas veces","Moderado",IF(AJ60="no se ejecuta","Débil","")))</f>
        <v>Fuerte</v>
      </c>
      <c r="AL60" s="235" t="str">
        <f t="shared" ref="AL60:AL61" si="101">AI60&amp;AK60</f>
        <v>FuerteFuerte</v>
      </c>
      <c r="AM60" s="300" t="str">
        <f>IFERROR(VLOOKUP(AL60,[13]FORMULAS!$B$70:$D$78,3,FALSE),"")</f>
        <v>Fuerte</v>
      </c>
      <c r="AN60" s="300">
        <f t="shared" ref="AN60:AN61" si="102">IF(AM60="fuerte",100,IF(AM60="Moderado",50,IF(AM60="débil",0,"")))</f>
        <v>100</v>
      </c>
      <c r="AO60" s="300">
        <f>IFERROR(AVERAGE(AN60:AN60),0)</f>
        <v>100</v>
      </c>
      <c r="AP60" s="300" t="str">
        <f t="shared" ref="AP60:AP61" si="103">IF(AO60&gt;=100,"Fuerte",IF(AO60&gt;=50,"Moderado",IF(AO60&gt;=1,"Débil","")))</f>
        <v>Fuerte</v>
      </c>
      <c r="AQ60" s="300" t="str">
        <f t="shared" ref="AQ60" si="104">IF(AP60&gt;=100,"Fuerte",IF(AP60&gt;=50,"Moderado",IF(AP60&gt;=1,"Débil","")))</f>
        <v>Fuerte</v>
      </c>
      <c r="AR60" s="301" t="s">
        <v>92</v>
      </c>
      <c r="AS60" s="301" t="s">
        <v>92</v>
      </c>
      <c r="AT60" s="235" t="str">
        <f t="shared" ref="AT60:AT61" si="105">+AQ60&amp;AR60&amp;AS60</f>
        <v>FuerteDirectamenteDirectamente</v>
      </c>
      <c r="AU60" s="339">
        <f>IFERROR(VLOOKUP(AT60,[13]FORMULAS!$B$95:$D$102,2,FALSE),0)</f>
        <v>2</v>
      </c>
      <c r="AV60" s="339">
        <f>IFERROR(VLOOKUP(AT60,[13]FORMULAS!$B$95:$D$102,3,FALSE),0)</f>
        <v>2</v>
      </c>
      <c r="AW60" s="249" t="s">
        <v>15</v>
      </c>
      <c r="AX60" s="249" t="s">
        <v>18</v>
      </c>
      <c r="AY60" s="614" t="str">
        <f t="shared" ref="AY60:AY61" si="106">AW60&amp;AX60</f>
        <v>Rara vezInsignificante</v>
      </c>
      <c r="AZ60" s="617" t="str">
        <f>IFERROR(VLOOKUP(AY60,[13]FORMULAS!$B$38:$C$62,2,FALSE),"")</f>
        <v>Riesgo bajo</v>
      </c>
      <c r="BA60" s="615" t="s">
        <v>19</v>
      </c>
      <c r="BB60" s="475" t="s">
        <v>497</v>
      </c>
      <c r="BC60" s="618" t="s">
        <v>1340</v>
      </c>
      <c r="BD60" s="618" t="s">
        <v>499</v>
      </c>
      <c r="BE60" s="619" t="s">
        <v>500</v>
      </c>
      <c r="BF60" s="619" t="s">
        <v>501</v>
      </c>
      <c r="BG60" s="475" t="s">
        <v>502</v>
      </c>
      <c r="BH60" s="618" t="s">
        <v>503</v>
      </c>
      <c r="BI60" s="618" t="s">
        <v>504</v>
      </c>
      <c r="BJ60" s="619" t="s">
        <v>505</v>
      </c>
    </row>
    <row r="61" spans="1:63" ht="102.75" customHeight="1" thickBot="1" x14ac:dyDescent="0.3">
      <c r="A61" s="234"/>
      <c r="B61" s="296"/>
      <c r="C61" s="620"/>
      <c r="D61" s="448"/>
      <c r="E61" s="448"/>
      <c r="F61" s="620"/>
      <c r="G61" s="620"/>
      <c r="H61" s="621"/>
      <c r="I61" s="236"/>
      <c r="J61" s="236"/>
      <c r="K61" s="335"/>
      <c r="L61" s="448"/>
      <c r="M61" s="628" t="str">
        <f>IF(F61="gestion","impacto",IF(F61="corrupcion","impactocorrupcion",IF(F61="seguridad_de_la_informacion","impacto","")))</f>
        <v/>
      </c>
      <c r="N61" s="335"/>
      <c r="O61" s="620"/>
      <c r="P61" s="614" t="str">
        <f>N61&amp;O61</f>
        <v/>
      </c>
      <c r="Q61" s="622" t="str">
        <f>IFERROR(VLOOKUP(P61,[13]FORMULAS!$B$38:$C$62,2,FALSE),"")</f>
        <v/>
      </c>
      <c r="R61" s="508" t="s">
        <v>531</v>
      </c>
      <c r="S61" s="509"/>
      <c r="T61" s="620"/>
      <c r="U61" s="614">
        <f t="shared" si="91"/>
        <v>0</v>
      </c>
      <c r="V61" s="620"/>
      <c r="W61" s="614">
        <f t="shared" si="92"/>
        <v>0</v>
      </c>
      <c r="X61" s="620"/>
      <c r="Y61" s="614">
        <f t="shared" si="93"/>
        <v>0</v>
      </c>
      <c r="Z61" s="620"/>
      <c r="AA61" s="614">
        <f t="shared" si="94"/>
        <v>0</v>
      </c>
      <c r="AB61" s="620"/>
      <c r="AC61" s="614">
        <f t="shared" si="95"/>
        <v>0</v>
      </c>
      <c r="AD61" s="620"/>
      <c r="AE61" s="614">
        <f t="shared" si="96"/>
        <v>0</v>
      </c>
      <c r="AF61" s="620"/>
      <c r="AG61" s="629">
        <f t="shared" si="97"/>
        <v>0</v>
      </c>
      <c r="AH61" s="256"/>
      <c r="AI61" s="256"/>
      <c r="AJ61" s="273"/>
      <c r="AK61" s="256"/>
      <c r="AL61" s="235"/>
      <c r="AM61" s="256"/>
      <c r="AN61" s="256"/>
      <c r="AO61" s="256"/>
      <c r="AP61" s="256"/>
      <c r="AQ61" s="256"/>
      <c r="AR61" s="273"/>
      <c r="AS61" s="273"/>
      <c r="AT61" s="235"/>
      <c r="AU61" s="340"/>
      <c r="AV61" s="340"/>
      <c r="AW61" s="335"/>
      <c r="AX61" s="335"/>
      <c r="AY61" s="614"/>
      <c r="AZ61" s="623"/>
      <c r="BA61" s="622"/>
      <c r="BB61" s="476"/>
      <c r="BC61" s="624"/>
      <c r="BD61" s="624"/>
      <c r="BE61" s="625"/>
      <c r="BF61" s="625"/>
      <c r="BG61" s="476"/>
      <c r="BH61" s="624"/>
      <c r="BI61" s="624"/>
      <c r="BJ61" s="625"/>
    </row>
    <row r="62" spans="1:63" s="215" customFormat="1" ht="241.5" customHeight="1" x14ac:dyDescent="0.25">
      <c r="A62" s="462"/>
      <c r="B62" s="358" t="s">
        <v>60</v>
      </c>
      <c r="C62" s="442">
        <v>21</v>
      </c>
      <c r="D62" s="362" t="s">
        <v>450</v>
      </c>
      <c r="E62" s="362" t="s">
        <v>451</v>
      </c>
      <c r="F62" s="364" t="s">
        <v>11</v>
      </c>
      <c r="G62" s="364" t="s">
        <v>50</v>
      </c>
      <c r="H62" s="362" t="s">
        <v>452</v>
      </c>
      <c r="I62" s="345" t="s">
        <v>46</v>
      </c>
      <c r="J62" s="345"/>
      <c r="K62" s="208" t="s">
        <v>453</v>
      </c>
      <c r="L62" s="208" t="s">
        <v>454</v>
      </c>
      <c r="M62" s="363" t="str">
        <f>IF(F62="gestion","impacto",IF(F62="corrupcion","impactocorrupcion",IF(F62="seguridad_de_la_informacion","impacto","")))</f>
        <v>impacto</v>
      </c>
      <c r="N62" s="364" t="s">
        <v>15</v>
      </c>
      <c r="O62" s="364" t="s">
        <v>17</v>
      </c>
      <c r="P62" s="363" t="str">
        <f>N62&amp;O62</f>
        <v>Rara vezModerado</v>
      </c>
      <c r="Q62" s="365" t="str">
        <f>IFERROR(VLOOKUP(P62,[2]FORMULAS!$B$38:$C$62,2,FALSE),"")</f>
        <v>Riesgo moderado</v>
      </c>
      <c r="R62" s="443" t="s">
        <v>455</v>
      </c>
      <c r="S62" s="444"/>
      <c r="T62" s="209" t="s">
        <v>147</v>
      </c>
      <c r="U62" s="210">
        <f t="shared" ref="U62:U63" si="107">IF(T62="Asignado",15,0)</f>
        <v>15</v>
      </c>
      <c r="V62" s="209" t="s">
        <v>148</v>
      </c>
      <c r="W62" s="210">
        <f t="shared" ref="W62:W63" si="108">IF(V62="Adecuado",15,0)</f>
        <v>15</v>
      </c>
      <c r="X62" s="209" t="s">
        <v>149</v>
      </c>
      <c r="Y62" s="210">
        <f t="shared" ref="Y62:Y63" si="109">IF(X62="Oportuna",15,0)</f>
        <v>15</v>
      </c>
      <c r="Z62" s="209" t="s">
        <v>150</v>
      </c>
      <c r="AA62" s="210">
        <f t="shared" ref="AA62:AA63" si="110">IF(Z62="Prevenir",15,IF(Z62="Detectar",10,0))</f>
        <v>15</v>
      </c>
      <c r="AB62" s="209" t="s">
        <v>151</v>
      </c>
      <c r="AC62" s="210">
        <f t="shared" ref="AC62:AC63" si="111">IF(AB62="Confiable",15,0)</f>
        <v>15</v>
      </c>
      <c r="AD62" s="209" t="s">
        <v>152</v>
      </c>
      <c r="AE62" s="210">
        <f t="shared" ref="AE62:AE63" si="112">IF(AD62="Se investigan y resuelven oportunamente",15,0)</f>
        <v>15</v>
      </c>
      <c r="AF62" s="209" t="s">
        <v>153</v>
      </c>
      <c r="AG62" s="210">
        <f t="shared" ref="AG62:AG63" si="113">IF(AF62="Completa",10,IF(AF62="incompleta",5,0))</f>
        <v>10</v>
      </c>
      <c r="AH62" s="212">
        <f t="shared" ref="AH62:AH63" si="114">U62+W62+Y62+AA62+AC62+AE62+AG62</f>
        <v>100</v>
      </c>
      <c r="AI62" s="212" t="str">
        <f t="shared" ref="AI62:AI63" si="115">IF(AH62&gt;=96,"Fuerte",IF(AH62&gt;=86,"Moderado",IF(AH62&gt;=1,"Débil","")))</f>
        <v>Fuerte</v>
      </c>
      <c r="AJ62" s="211" t="s">
        <v>154</v>
      </c>
      <c r="AK62" s="212" t="str">
        <f t="shared" ref="AK62:AK63" si="116">IF(AJ62="Siempre se ejecuta","Fuerte",IF(AJ62="Algunas veces","Moderado",IF(AJ62="no se ejecuta","Débil","")))</f>
        <v>Fuerte</v>
      </c>
      <c r="AL62" s="212" t="str">
        <f t="shared" ref="AL62:AL63" si="117">AI62&amp;AK62</f>
        <v>FuerteFuerte</v>
      </c>
      <c r="AM62" s="212" t="str">
        <f>IFERROR(VLOOKUP(AL62,[2]FORMULAS!$B$69:$D$77,3,FALSE),"")</f>
        <v>Fuerte</v>
      </c>
      <c r="AN62" s="212">
        <f t="shared" ref="AN62:AN63" si="118">IF(AM62="fuerte",100,IF(AM62="Moderado",50,IF(AM62="débil",0,"")))</f>
        <v>100</v>
      </c>
      <c r="AO62" s="507"/>
      <c r="AP62" s="346">
        <f>IFERROR(AVERAGE(AN62:AN63),0)</f>
        <v>100</v>
      </c>
      <c r="AQ62" s="347" t="str">
        <f>IF(AP62&gt;=100,"Fuerte",IF(AP62&gt;=50,"Moderado",IF(AP62&gt;=1,"Débil","")))</f>
        <v>Fuerte</v>
      </c>
      <c r="AR62" s="353" t="s">
        <v>92</v>
      </c>
      <c r="AS62" s="353" t="s">
        <v>92</v>
      </c>
      <c r="AT62" s="212" t="str">
        <f>+AQ62&amp;AR62&amp;AS62</f>
        <v>FuerteDirectamenteDirectamente</v>
      </c>
      <c r="AU62" s="347">
        <f>IFERROR(VLOOKUP(AT62,[2]FORMULAS!$B$95:$D$102,2,FALSE),0)</f>
        <v>2</v>
      </c>
      <c r="AV62" s="347">
        <f>IFERROR(VLOOKUP(AT62,[2]FORMULAS!$B$95:$D$102,3,FALSE),0)</f>
        <v>2</v>
      </c>
      <c r="AW62" s="349" t="s">
        <v>15</v>
      </c>
      <c r="AX62" s="349" t="s">
        <v>17</v>
      </c>
      <c r="AY62" s="210" t="str">
        <f>AW62&amp;AX62</f>
        <v>Rara vezModerado</v>
      </c>
      <c r="AZ62" s="351" t="str">
        <f>IFERROR(VLOOKUP(AY62,[2]FORMULAS!$B$37:$C$61,2,FALSE),"")</f>
        <v>Riesgo moderado</v>
      </c>
      <c r="BA62" s="505" t="s">
        <v>29</v>
      </c>
      <c r="BB62" s="213" t="s">
        <v>456</v>
      </c>
      <c r="BC62" s="213" t="s">
        <v>457</v>
      </c>
      <c r="BD62" s="213" t="s">
        <v>458</v>
      </c>
      <c r="BE62" s="214">
        <v>44561</v>
      </c>
      <c r="BF62" s="214" t="s">
        <v>459</v>
      </c>
      <c r="BG62" s="213" t="s">
        <v>460</v>
      </c>
      <c r="BH62" s="213" t="s">
        <v>461</v>
      </c>
      <c r="BI62" s="213" t="s">
        <v>462</v>
      </c>
      <c r="BJ62" s="214" t="s">
        <v>463</v>
      </c>
      <c r="BK62" s="207"/>
    </row>
    <row r="63" spans="1:63" s="215" customFormat="1" ht="204.75" customHeight="1" x14ac:dyDescent="0.25">
      <c r="A63" s="463"/>
      <c r="B63" s="296"/>
      <c r="C63" s="442"/>
      <c r="D63" s="362"/>
      <c r="E63" s="362"/>
      <c r="F63" s="364"/>
      <c r="G63" s="364"/>
      <c r="H63" s="362"/>
      <c r="I63" s="299"/>
      <c r="J63" s="299"/>
      <c r="K63" s="208" t="s">
        <v>464</v>
      </c>
      <c r="L63" s="208" t="s">
        <v>465</v>
      </c>
      <c r="M63" s="363"/>
      <c r="N63" s="364"/>
      <c r="O63" s="364"/>
      <c r="P63" s="363"/>
      <c r="Q63" s="365"/>
      <c r="R63" s="443" t="s">
        <v>466</v>
      </c>
      <c r="S63" s="444"/>
      <c r="T63" s="209" t="s">
        <v>147</v>
      </c>
      <c r="U63" s="210">
        <f t="shared" si="107"/>
        <v>15</v>
      </c>
      <c r="V63" s="209" t="s">
        <v>148</v>
      </c>
      <c r="W63" s="210">
        <f t="shared" si="108"/>
        <v>15</v>
      </c>
      <c r="X63" s="209" t="s">
        <v>149</v>
      </c>
      <c r="Y63" s="210">
        <f t="shared" si="109"/>
        <v>15</v>
      </c>
      <c r="Z63" s="209" t="s">
        <v>150</v>
      </c>
      <c r="AA63" s="210">
        <f t="shared" si="110"/>
        <v>15</v>
      </c>
      <c r="AB63" s="209" t="s">
        <v>151</v>
      </c>
      <c r="AC63" s="210">
        <f t="shared" si="111"/>
        <v>15</v>
      </c>
      <c r="AD63" s="209" t="s">
        <v>152</v>
      </c>
      <c r="AE63" s="210">
        <f t="shared" si="112"/>
        <v>15</v>
      </c>
      <c r="AF63" s="209" t="s">
        <v>153</v>
      </c>
      <c r="AG63" s="210">
        <f t="shared" si="113"/>
        <v>10</v>
      </c>
      <c r="AH63" s="212">
        <f t="shared" si="114"/>
        <v>100</v>
      </c>
      <c r="AI63" s="212" t="str">
        <f t="shared" si="115"/>
        <v>Fuerte</v>
      </c>
      <c r="AJ63" s="211" t="s">
        <v>154</v>
      </c>
      <c r="AK63" s="212" t="str">
        <f t="shared" si="116"/>
        <v>Fuerte</v>
      </c>
      <c r="AL63" s="212" t="str">
        <f t="shared" si="117"/>
        <v>FuerteFuerte</v>
      </c>
      <c r="AM63" s="212" t="str">
        <f>IFERROR(VLOOKUP(AL63,[2]FORMULAS!$B$69:$D$77,3,FALSE),"")</f>
        <v>Fuerte</v>
      </c>
      <c r="AN63" s="212">
        <f t="shared" si="118"/>
        <v>100</v>
      </c>
      <c r="AO63" s="507"/>
      <c r="AP63" s="346"/>
      <c r="AQ63" s="348"/>
      <c r="AR63" s="354"/>
      <c r="AS63" s="354"/>
      <c r="AT63" s="212"/>
      <c r="AU63" s="348"/>
      <c r="AV63" s="348"/>
      <c r="AW63" s="350"/>
      <c r="AX63" s="350"/>
      <c r="AY63" s="210"/>
      <c r="AZ63" s="352"/>
      <c r="BA63" s="506"/>
      <c r="BB63" s="213" t="s">
        <v>467</v>
      </c>
      <c r="BC63" s="213" t="s">
        <v>468</v>
      </c>
      <c r="BD63" s="213" t="s">
        <v>458</v>
      </c>
      <c r="BE63" s="214">
        <v>44561</v>
      </c>
      <c r="BF63" s="214" t="s">
        <v>469</v>
      </c>
      <c r="BG63" s="213"/>
      <c r="BH63" s="213"/>
      <c r="BI63" s="213"/>
      <c r="BJ63" s="214"/>
      <c r="BK63" s="207"/>
    </row>
    <row r="64" spans="1:63" s="215" customFormat="1" ht="215.25" customHeight="1" x14ac:dyDescent="0.25">
      <c r="A64" s="293"/>
      <c r="B64" s="358" t="s">
        <v>60</v>
      </c>
      <c r="C64" s="341">
        <v>22</v>
      </c>
      <c r="D64" s="383" t="s">
        <v>470</v>
      </c>
      <c r="E64" s="383" t="s">
        <v>471</v>
      </c>
      <c r="F64" s="341" t="s">
        <v>11</v>
      </c>
      <c r="G64" s="341" t="s">
        <v>45</v>
      </c>
      <c r="H64" s="344" t="s">
        <v>472</v>
      </c>
      <c r="I64" s="345"/>
      <c r="J64" s="345"/>
      <c r="K64" s="208" t="s">
        <v>473</v>
      </c>
      <c r="L64" s="288" t="s">
        <v>474</v>
      </c>
      <c r="M64" s="342" t="str">
        <f>IF(F64="gestion","impacto",IF(F64="corrupcion","impactocorrupcion",IF(F64="seguridad_de_la_informacion","impacto","")))</f>
        <v>impacto</v>
      </c>
      <c r="N64" s="341" t="s">
        <v>15</v>
      </c>
      <c r="O64" s="341" t="s">
        <v>17</v>
      </c>
      <c r="P64" s="342" t="str">
        <f>N64&amp;O64</f>
        <v>Rara vezModerado</v>
      </c>
      <c r="Q64" s="343" t="str">
        <f>IFERROR(VLOOKUP(P64,FORMULAS!$B$37:$C$61,2,FALSE),"")</f>
        <v>Riesgo moderado</v>
      </c>
      <c r="R64" s="443" t="s">
        <v>475</v>
      </c>
      <c r="S64" s="444"/>
      <c r="T64" s="209" t="s">
        <v>147</v>
      </c>
      <c r="U64" s="210">
        <f t="shared" ref="U64:U66" si="119">IF(T64="Asignado",15,0)</f>
        <v>15</v>
      </c>
      <c r="V64" s="209" t="s">
        <v>148</v>
      </c>
      <c r="W64" s="210">
        <f t="shared" ref="W64:W66" si="120">IF(V64="Adecuado",15,0)</f>
        <v>15</v>
      </c>
      <c r="X64" s="209" t="s">
        <v>149</v>
      </c>
      <c r="Y64" s="210">
        <f t="shared" ref="Y64:Y66" si="121">IF(X64="Oportuna",15,0)</f>
        <v>15</v>
      </c>
      <c r="Z64" s="209" t="s">
        <v>150</v>
      </c>
      <c r="AA64" s="210">
        <f t="shared" ref="AA64:AA66" si="122">IF(Z64="Prevenir",15,IF(Z64="Detectar",10,0))</f>
        <v>15</v>
      </c>
      <c r="AB64" s="209" t="s">
        <v>151</v>
      </c>
      <c r="AC64" s="210">
        <f t="shared" ref="AC64:AC66" si="123">IF(AB64="Confiable",15,0)</f>
        <v>15</v>
      </c>
      <c r="AD64" s="209" t="s">
        <v>152</v>
      </c>
      <c r="AE64" s="210">
        <f t="shared" ref="AE64:AE66" si="124">IF(AD64="Se investigan y resuelven oportunamente",15,0)</f>
        <v>15</v>
      </c>
      <c r="AF64" s="209" t="s">
        <v>153</v>
      </c>
      <c r="AG64" s="210">
        <f>IF(AF64="Completa",10,IF(AF64="incompleta",5,0))</f>
        <v>10</v>
      </c>
      <c r="AH64" s="212">
        <f t="shared" ref="AH64:AH66" si="125">U64+W64+Y64+AA64+AC64+AE64+AG64</f>
        <v>100</v>
      </c>
      <c r="AI64" s="212" t="str">
        <f t="shared" ref="AI64:AI66" si="126">IF(AH64&gt;=96,"Fuerte",IF(AH64&gt;=86,"Moderado",IF(AH64&gt;=1,"Débil","")))</f>
        <v>Fuerte</v>
      </c>
      <c r="AJ64" s="211" t="s">
        <v>154</v>
      </c>
      <c r="AK64" s="212" t="str">
        <f t="shared" ref="AK64:AK66" si="127">IF(AJ64="Siempre se ejecuta","Fuerte",IF(AJ64="Algunas veces","Moderado",IF(AJ64="no se ejecuta","Débil","")))</f>
        <v>Fuerte</v>
      </c>
      <c r="AL64" s="212" t="str">
        <f t="shared" ref="AL64:AL66" si="128">AI64&amp;AK64</f>
        <v>FuerteFuerte</v>
      </c>
      <c r="AM64" s="212" t="str">
        <f>IFERROR(VLOOKUP(AL64,[2]FORMULAS!$B$69:$D$77,3,FALSE),"")</f>
        <v>Fuerte</v>
      </c>
      <c r="AN64" s="212">
        <f t="shared" ref="AN64:AN66" si="129">IF(AM64="fuerte",100,IF(AM64="Moderado",50,IF(AM64="débil",0,"")))</f>
        <v>100</v>
      </c>
      <c r="AO64" s="507"/>
      <c r="AP64" s="306">
        <f>IFERROR(AVERAGE(AM64:AM65),0)</f>
        <v>0</v>
      </c>
      <c r="AQ64" s="255" t="s">
        <v>476</v>
      </c>
      <c r="AR64" s="272" t="s">
        <v>92</v>
      </c>
      <c r="AS64" s="272" t="s">
        <v>92</v>
      </c>
      <c r="AT64" s="127" t="str">
        <f>+AQ64&amp;AR64&amp;AS64</f>
        <v>fuerteDirectamenteDirectamente</v>
      </c>
      <c r="AU64" s="255">
        <f>IFERROR(VLOOKUP(AT64,FORMULAS!$B$94:$D$101,2,FALSE),0)</f>
        <v>2</v>
      </c>
      <c r="AV64" s="255">
        <f>IFERROR(VLOOKUP(AT64,FORMULAS!$B$94:$D$101,3,FALSE),0)</f>
        <v>2</v>
      </c>
      <c r="AW64" s="257" t="s">
        <v>15</v>
      </c>
      <c r="AX64" s="257" t="s">
        <v>17</v>
      </c>
      <c r="AY64" s="123" t="str">
        <f>AW64&amp;AX64</f>
        <v>Rara vezModerado</v>
      </c>
      <c r="AZ64" s="302" t="str">
        <f>IFERROR(VLOOKUP(AY64,FORMULAS!$B$37:$C$61,2,FALSE),"")</f>
        <v>Riesgo moderado</v>
      </c>
      <c r="BA64" s="502" t="s">
        <v>29</v>
      </c>
      <c r="BB64" s="213" t="s">
        <v>477</v>
      </c>
      <c r="BC64" s="213" t="s">
        <v>478</v>
      </c>
      <c r="BD64" s="213" t="s">
        <v>479</v>
      </c>
      <c r="BE64" s="214">
        <v>44561</v>
      </c>
      <c r="BF64" s="214" t="s">
        <v>480</v>
      </c>
      <c r="BG64" s="90" t="s">
        <v>481</v>
      </c>
      <c r="BH64" s="149" t="s">
        <v>482</v>
      </c>
      <c r="BI64" s="213" t="s">
        <v>483</v>
      </c>
      <c r="BJ64" s="214" t="s">
        <v>463</v>
      </c>
      <c r="BK64" s="216"/>
    </row>
    <row r="65" spans="1:63" s="215" customFormat="1" ht="211.5" customHeight="1" thickBot="1" x14ac:dyDescent="0.3">
      <c r="A65" s="293"/>
      <c r="B65" s="296"/>
      <c r="C65" s="297"/>
      <c r="D65" s="446"/>
      <c r="E65" s="446"/>
      <c r="F65" s="297"/>
      <c r="G65" s="297"/>
      <c r="H65" s="298"/>
      <c r="I65" s="299"/>
      <c r="J65" s="299"/>
      <c r="K65" s="208" t="s">
        <v>484</v>
      </c>
      <c r="L65" s="289"/>
      <c r="M65" s="254"/>
      <c r="N65" s="297"/>
      <c r="O65" s="297"/>
      <c r="P65" s="254"/>
      <c r="Q65" s="317"/>
      <c r="R65" s="443" t="s">
        <v>485</v>
      </c>
      <c r="S65" s="444"/>
      <c r="T65" s="209" t="s">
        <v>147</v>
      </c>
      <c r="U65" s="210">
        <f t="shared" si="119"/>
        <v>15</v>
      </c>
      <c r="V65" s="209" t="s">
        <v>148</v>
      </c>
      <c r="W65" s="210">
        <f t="shared" si="120"/>
        <v>15</v>
      </c>
      <c r="X65" s="209" t="s">
        <v>149</v>
      </c>
      <c r="Y65" s="210">
        <f t="shared" si="121"/>
        <v>15</v>
      </c>
      <c r="Z65" s="209" t="s">
        <v>150</v>
      </c>
      <c r="AA65" s="210">
        <f t="shared" si="122"/>
        <v>15</v>
      </c>
      <c r="AB65" s="209" t="s">
        <v>151</v>
      </c>
      <c r="AC65" s="210">
        <f t="shared" si="123"/>
        <v>15</v>
      </c>
      <c r="AD65" s="209" t="s">
        <v>152</v>
      </c>
      <c r="AE65" s="210">
        <f t="shared" si="124"/>
        <v>15</v>
      </c>
      <c r="AF65" s="209" t="s">
        <v>153</v>
      </c>
      <c r="AG65" s="210">
        <f>IF(AF65="Completa",10,IF(AF65="incompleta",5,0))</f>
        <v>10</v>
      </c>
      <c r="AH65" s="212">
        <f t="shared" si="125"/>
        <v>100</v>
      </c>
      <c r="AI65" s="212" t="str">
        <f t="shared" si="126"/>
        <v>Fuerte</v>
      </c>
      <c r="AJ65" s="211" t="s">
        <v>154</v>
      </c>
      <c r="AK65" s="212" t="str">
        <f t="shared" si="127"/>
        <v>Fuerte</v>
      </c>
      <c r="AL65" s="212" t="str">
        <f t="shared" si="128"/>
        <v>FuerteFuerte</v>
      </c>
      <c r="AM65" s="212" t="str">
        <f>IFERROR(VLOOKUP(AL65,[2]FORMULAS!$B$69:$D$77,3,FALSE),"")</f>
        <v>Fuerte</v>
      </c>
      <c r="AN65" s="212">
        <f t="shared" si="129"/>
        <v>100</v>
      </c>
      <c r="AO65" s="507"/>
      <c r="AP65" s="271"/>
      <c r="AQ65" s="322"/>
      <c r="AR65" s="453"/>
      <c r="AS65" s="453"/>
      <c r="AT65" s="128"/>
      <c r="AU65" s="322"/>
      <c r="AV65" s="322"/>
      <c r="AW65" s="321"/>
      <c r="AX65" s="321"/>
      <c r="AY65" s="135"/>
      <c r="AZ65" s="455"/>
      <c r="BA65" s="503"/>
      <c r="BB65" s="213" t="s">
        <v>486</v>
      </c>
      <c r="BC65" s="213" t="s">
        <v>487</v>
      </c>
      <c r="BD65" s="213" t="s">
        <v>488</v>
      </c>
      <c r="BE65" s="214">
        <v>44561</v>
      </c>
      <c r="BF65" s="214" t="s">
        <v>489</v>
      </c>
      <c r="BG65" s="132" t="s">
        <v>490</v>
      </c>
      <c r="BH65" s="132" t="s">
        <v>491</v>
      </c>
      <c r="BI65" s="213"/>
      <c r="BJ65" s="214"/>
      <c r="BK65" s="216"/>
    </row>
    <row r="66" spans="1:63" s="59" customFormat="1" ht="203.25" customHeight="1" x14ac:dyDescent="0.25">
      <c r="A66" s="294"/>
      <c r="B66" s="358" t="s">
        <v>62</v>
      </c>
      <c r="C66" s="331">
        <v>23</v>
      </c>
      <c r="D66" s="333" t="s">
        <v>492</v>
      </c>
      <c r="E66" s="333" t="s">
        <v>493</v>
      </c>
      <c r="F66" s="331" t="s">
        <v>11</v>
      </c>
      <c r="G66" s="331" t="s">
        <v>39</v>
      </c>
      <c r="H66" s="333" t="s">
        <v>143</v>
      </c>
      <c r="I66" s="134" t="s">
        <v>46</v>
      </c>
      <c r="J66" s="134" t="s">
        <v>61</v>
      </c>
      <c r="K66" s="200" t="s">
        <v>494</v>
      </c>
      <c r="L66" s="333" t="s">
        <v>495</v>
      </c>
      <c r="M66" s="135" t="str">
        <f>IF(F66="gestion","impacto",IF(F66="corrupcion","impactocorrupcion",IF(F66="seguridad_de_la_informacion","impacto","")))</f>
        <v>impacto</v>
      </c>
      <c r="N66" s="331" t="s">
        <v>35</v>
      </c>
      <c r="O66" s="249" t="s">
        <v>17</v>
      </c>
      <c r="P66" s="135" t="str">
        <f>N66&amp;O66</f>
        <v>PosibleModerado</v>
      </c>
      <c r="Q66" s="337" t="str">
        <f>IFERROR(VLOOKUP(P66,[9]FORMULAS!$B$38:$C$62,2,FALSE),"")</f>
        <v>Riesgo alto</v>
      </c>
      <c r="R66" s="616" t="s">
        <v>496</v>
      </c>
      <c r="S66" s="616"/>
      <c r="T66" s="611" t="s">
        <v>147</v>
      </c>
      <c r="U66" s="614">
        <f t="shared" si="119"/>
        <v>15</v>
      </c>
      <c r="V66" s="611" t="s">
        <v>148</v>
      </c>
      <c r="W66" s="614">
        <f t="shared" si="120"/>
        <v>15</v>
      </c>
      <c r="X66" s="611" t="s">
        <v>149</v>
      </c>
      <c r="Y66" s="614">
        <f t="shared" si="121"/>
        <v>15</v>
      </c>
      <c r="Z66" s="249" t="s">
        <v>150</v>
      </c>
      <c r="AA66" s="614">
        <f t="shared" si="122"/>
        <v>15</v>
      </c>
      <c r="AB66" s="611" t="s">
        <v>151</v>
      </c>
      <c r="AC66" s="614">
        <f t="shared" si="123"/>
        <v>15</v>
      </c>
      <c r="AD66" s="249" t="s">
        <v>152</v>
      </c>
      <c r="AE66" s="614">
        <f t="shared" si="124"/>
        <v>15</v>
      </c>
      <c r="AF66" s="611" t="s">
        <v>153</v>
      </c>
      <c r="AG66" s="614">
        <f t="shared" ref="AG66:AG67" si="130">IF(AF66="Completa",10,IF(AF66="incompleta",5,0))</f>
        <v>10</v>
      </c>
      <c r="AH66" s="300">
        <f t="shared" si="125"/>
        <v>100</v>
      </c>
      <c r="AI66" s="300" t="str">
        <f t="shared" si="126"/>
        <v>Fuerte</v>
      </c>
      <c r="AJ66" s="301" t="s">
        <v>154</v>
      </c>
      <c r="AK66" s="300" t="str">
        <f t="shared" si="127"/>
        <v>Fuerte</v>
      </c>
      <c r="AL66" s="235" t="str">
        <f t="shared" si="128"/>
        <v>FuerteFuerte</v>
      </c>
      <c r="AM66" s="300" t="str">
        <f>IFERROR(VLOOKUP(AL66,[15]FORMULAS!$B$70:$D$78,3,FALSE),"")</f>
        <v>Fuerte</v>
      </c>
      <c r="AN66" s="300">
        <f t="shared" si="129"/>
        <v>100</v>
      </c>
      <c r="AO66" s="300">
        <f>IFERROR(AVERAGE(AN66:AN66),0)</f>
        <v>100</v>
      </c>
      <c r="AP66" s="300" t="str">
        <f t="shared" ref="AP66:AP67" si="131">IF(AO66&gt;=100,"Fuerte",IF(AO66&gt;=50,"Moderado",IF(AO66&gt;=1,"Débil","")))</f>
        <v>Fuerte</v>
      </c>
      <c r="AQ66" s="301" t="s">
        <v>92</v>
      </c>
      <c r="AR66" s="301" t="s">
        <v>92</v>
      </c>
      <c r="AS66" s="255" t="str">
        <f t="shared" ref="AS66:AS67" si="132">+AP66&amp;AQ66&amp;AR66</f>
        <v>FuerteDirectamenteDirectamente</v>
      </c>
      <c r="AT66" s="339">
        <f>IFERROR(VLOOKUP(AS66,[15]FORMULAS!$B$95:$D$102,2,FALSE),0)</f>
        <v>2</v>
      </c>
      <c r="AU66" s="339">
        <f>IFERROR(VLOOKUP(AS66,[15]FORMULAS!$B$95:$D$102,3,FALSE),0)</f>
        <v>2</v>
      </c>
      <c r="AV66" s="339">
        <f>IFERROR(VLOOKUP(AT66,[9]FORMULAS!$B$95:$D$102,3,FALSE),0)</f>
        <v>0</v>
      </c>
      <c r="AW66" s="249" t="s">
        <v>15</v>
      </c>
      <c r="AX66" s="249" t="s">
        <v>18</v>
      </c>
      <c r="AY66" s="135" t="str">
        <f t="shared" ref="AY66" si="133">AW66&amp;AX66</f>
        <v>Rara vezInsignificante</v>
      </c>
      <c r="AZ66" s="336" t="str">
        <f>IFERROR(VLOOKUP(AY66,[9]FORMULAS!$B$38:$C$62,2,FALSE),"")</f>
        <v>Riesgo bajo</v>
      </c>
      <c r="BA66" s="337" t="s">
        <v>19</v>
      </c>
      <c r="BB66" s="475" t="s">
        <v>497</v>
      </c>
      <c r="BC66" s="470" t="s">
        <v>498</v>
      </c>
      <c r="BD66" s="470" t="s">
        <v>499</v>
      </c>
      <c r="BE66" s="472" t="s">
        <v>500</v>
      </c>
      <c r="BF66" s="472" t="s">
        <v>501</v>
      </c>
      <c r="BG66" s="475" t="s">
        <v>502</v>
      </c>
      <c r="BH66" s="470" t="s">
        <v>503</v>
      </c>
      <c r="BI66" s="470" t="s">
        <v>504</v>
      </c>
      <c r="BJ66" s="472" t="s">
        <v>505</v>
      </c>
    </row>
    <row r="67" spans="1:63" s="59" customFormat="1" ht="157.5" customHeight="1" x14ac:dyDescent="0.25">
      <c r="A67" s="295"/>
      <c r="B67" s="359"/>
      <c r="C67" s="258"/>
      <c r="D67" s="334"/>
      <c r="E67" s="334"/>
      <c r="F67" s="258"/>
      <c r="G67" s="258"/>
      <c r="H67" s="334"/>
      <c r="I67" s="134"/>
      <c r="J67" s="134"/>
      <c r="K67" s="200" t="s">
        <v>506</v>
      </c>
      <c r="L67" s="334"/>
      <c r="M67" s="135"/>
      <c r="N67" s="258"/>
      <c r="O67" s="335"/>
      <c r="P67" s="135"/>
      <c r="Q67" s="338"/>
      <c r="R67" s="616" t="s">
        <v>507</v>
      </c>
      <c r="S67" s="616"/>
      <c r="T67" s="620"/>
      <c r="U67" s="614"/>
      <c r="V67" s="620"/>
      <c r="W67" s="614"/>
      <c r="X67" s="620"/>
      <c r="Y67" s="614"/>
      <c r="Z67" s="335"/>
      <c r="AA67" s="614"/>
      <c r="AB67" s="620"/>
      <c r="AC67" s="614"/>
      <c r="AD67" s="335"/>
      <c r="AE67" s="614"/>
      <c r="AF67" s="620"/>
      <c r="AG67" s="614"/>
      <c r="AH67" s="256"/>
      <c r="AI67" s="256"/>
      <c r="AJ67" s="273"/>
      <c r="AK67" s="256"/>
      <c r="AL67" s="235"/>
      <c r="AM67" s="256"/>
      <c r="AN67" s="256"/>
      <c r="AO67" s="256"/>
      <c r="AP67" s="256"/>
      <c r="AQ67" s="273"/>
      <c r="AR67" s="273"/>
      <c r="AS67" s="256"/>
      <c r="AT67" s="340"/>
      <c r="AU67" s="340"/>
      <c r="AV67" s="340"/>
      <c r="AW67" s="335"/>
      <c r="AX67" s="335"/>
      <c r="AY67" s="135"/>
      <c r="AZ67" s="303"/>
      <c r="BA67" s="338"/>
      <c r="BB67" s="476"/>
      <c r="BC67" s="471"/>
      <c r="BD67" s="471"/>
      <c r="BE67" s="473"/>
      <c r="BF67" s="473"/>
      <c r="BG67" s="476"/>
      <c r="BH67" s="471"/>
      <c r="BI67" s="471"/>
      <c r="BJ67" s="473"/>
    </row>
    <row r="68" spans="1:63" s="59" customFormat="1" ht="108.75" customHeight="1" x14ac:dyDescent="0.25">
      <c r="A68" s="295"/>
      <c r="B68" s="358" t="s">
        <v>62</v>
      </c>
      <c r="C68" s="331">
        <v>24</v>
      </c>
      <c r="D68" s="449" t="s">
        <v>508</v>
      </c>
      <c r="E68" s="333" t="s">
        <v>509</v>
      </c>
      <c r="F68" s="331" t="s">
        <v>11</v>
      </c>
      <c r="G68" s="331" t="s">
        <v>39</v>
      </c>
      <c r="H68" s="333" t="s">
        <v>143</v>
      </c>
      <c r="I68" s="134" t="s">
        <v>46</v>
      </c>
      <c r="J68" s="134" t="s">
        <v>61</v>
      </c>
      <c r="K68" s="331" t="s">
        <v>510</v>
      </c>
      <c r="L68" s="333" t="s">
        <v>511</v>
      </c>
      <c r="M68" s="135" t="str">
        <f>IF(F68="gestion","impacto",IF(F68="corrupcion","impactocorrupcion",IF(F68="seguridad_de_la_informacion","impacto","")))</f>
        <v>impacto</v>
      </c>
      <c r="N68" s="331" t="s">
        <v>35</v>
      </c>
      <c r="O68" s="331" t="s">
        <v>17</v>
      </c>
      <c r="P68" s="135" t="str">
        <f>N68&amp;O68</f>
        <v>PosibleModerado</v>
      </c>
      <c r="Q68" s="337" t="str">
        <f>IFERROR(VLOOKUP(P68,[9]FORMULAS!$B$38:$C$62,2,FALSE),"")</f>
        <v>Riesgo alto</v>
      </c>
      <c r="R68" s="510" t="s">
        <v>1341</v>
      </c>
      <c r="S68" s="511"/>
      <c r="T68" s="611" t="s">
        <v>147</v>
      </c>
      <c r="U68" s="614">
        <f t="shared" ref="U68:U69" si="134">IF(T68="Asignado",15,0)</f>
        <v>15</v>
      </c>
      <c r="V68" s="611" t="s">
        <v>148</v>
      </c>
      <c r="W68" s="614">
        <f t="shared" ref="W68:W69" si="135">IF(V68="Adecuado",15,0)</f>
        <v>15</v>
      </c>
      <c r="X68" s="611" t="s">
        <v>149</v>
      </c>
      <c r="Y68" s="614">
        <f t="shared" ref="Y68:Y69" si="136">IF(X68="Oportuna",15,0)</f>
        <v>15</v>
      </c>
      <c r="Z68" s="611" t="s">
        <v>150</v>
      </c>
      <c r="AA68" s="614">
        <f t="shared" ref="AA68:AA69" si="137">IF(Z68="Prevenir",15,IF(Z68="Detectar",10,0))</f>
        <v>15</v>
      </c>
      <c r="AB68" s="611" t="s">
        <v>151</v>
      </c>
      <c r="AC68" s="614">
        <f t="shared" ref="AC68:AC69" si="138">IF(AB68="Confiable",15,0)</f>
        <v>15</v>
      </c>
      <c r="AD68" s="611" t="s">
        <v>152</v>
      </c>
      <c r="AE68" s="614">
        <f t="shared" ref="AE68:AE69" si="139">IF(AD68="Se investigan y resuelven oportunamente",15,0)</f>
        <v>15</v>
      </c>
      <c r="AF68" s="611" t="s">
        <v>153</v>
      </c>
      <c r="AG68" s="614">
        <f t="shared" ref="AG68:AG69" si="140">IF(AF68="Completa",10,IF(AF68="incompleta",5,0))</f>
        <v>10</v>
      </c>
      <c r="AH68" s="300">
        <f t="shared" ref="AH68:AH69" si="141">U68+W68+Y68+AA68+AC68+AE68+AG68</f>
        <v>100</v>
      </c>
      <c r="AI68" s="300" t="str">
        <f t="shared" ref="AI68:AI69" si="142">IF(AH68&gt;=96,"Fuerte",IF(AH68&gt;=86,"Moderado",IF(AH68&gt;=1,"Débil","")))</f>
        <v>Fuerte</v>
      </c>
      <c r="AJ68" s="301" t="s">
        <v>154</v>
      </c>
      <c r="AK68" s="300" t="str">
        <f t="shared" ref="AK68:AK69" si="143">IF(AJ68="Siempre se ejecuta","Fuerte",IF(AJ68="Algunas veces","Moderado",IF(AJ68="no se ejecuta","Débil","")))</f>
        <v>Fuerte</v>
      </c>
      <c r="AL68" s="235" t="str">
        <f t="shared" ref="AL68:AL69" si="144">AI68&amp;AK68</f>
        <v>FuerteFuerte</v>
      </c>
      <c r="AM68" s="300" t="str">
        <f>IFERROR(VLOOKUP(AL68,[15]FORMULAS!$B$70:$D$78,3,FALSE),"")</f>
        <v>Fuerte</v>
      </c>
      <c r="AN68" s="300">
        <f t="shared" ref="AN68:AN69" si="145">IF(AM68="fuerte",100,IF(AM68="Moderado",50,IF(AM68="débil",0,"")))</f>
        <v>100</v>
      </c>
      <c r="AO68" s="300">
        <f>IFERROR(AVERAGE(AN68:AN68),0)</f>
        <v>100</v>
      </c>
      <c r="AP68" s="300" t="str">
        <f t="shared" ref="AP68:AP69" si="146">IF(AO68&gt;=100,"Fuerte",IF(AO68&gt;=50,"Moderado",IF(AO68&gt;=1,"Débil","")))</f>
        <v>Fuerte</v>
      </c>
      <c r="AQ68" s="301" t="s">
        <v>92</v>
      </c>
      <c r="AR68" s="301" t="s">
        <v>92</v>
      </c>
      <c r="AS68" s="300" t="str">
        <f t="shared" ref="AS68:AS69" si="147">+AP68&amp;AQ68&amp;AR68</f>
        <v>FuerteDirectamenteDirectamente</v>
      </c>
      <c r="AT68" s="300">
        <f>IFERROR(VLOOKUP(AS68,[15]FORMULAS!$B$95:$D$102,2,FALSE),0)</f>
        <v>2</v>
      </c>
      <c r="AU68" s="300">
        <f>IFERROR(VLOOKUP(AS68,[15]FORMULAS!$B$95:$D$102,3,FALSE),0)</f>
        <v>2</v>
      </c>
      <c r="AV68" s="300">
        <f>IFERROR(VLOOKUP(AT68,[9]FORMULAS!$B$95:$D$102,3,FALSE),0)</f>
        <v>0</v>
      </c>
      <c r="AW68" s="331" t="s">
        <v>15</v>
      </c>
      <c r="AX68" s="331" t="s">
        <v>18</v>
      </c>
      <c r="AY68" s="135" t="str">
        <f t="shared" ref="AY68" si="148">AW68&amp;AX68</f>
        <v>Rara vezInsignificante</v>
      </c>
      <c r="AZ68" s="336" t="str">
        <f>IFERROR(VLOOKUP(AY68,[9]FORMULAS!$B$38:$C$62,2,FALSE),"")</f>
        <v>Riesgo bajo</v>
      </c>
      <c r="BA68" s="337" t="s">
        <v>19</v>
      </c>
      <c r="BB68" s="475" t="s">
        <v>512</v>
      </c>
      <c r="BC68" s="470" t="s">
        <v>513</v>
      </c>
      <c r="BD68" s="470" t="s">
        <v>514</v>
      </c>
      <c r="BE68" s="477" t="s">
        <v>515</v>
      </c>
      <c r="BF68" s="472" t="s">
        <v>516</v>
      </c>
      <c r="BG68" s="475" t="s">
        <v>517</v>
      </c>
      <c r="BH68" s="475" t="s">
        <v>518</v>
      </c>
      <c r="BI68" s="470" t="s">
        <v>514</v>
      </c>
      <c r="BJ68" s="477" t="s">
        <v>505</v>
      </c>
    </row>
    <row r="69" spans="1:63" s="59" customFormat="1" ht="93" customHeight="1" x14ac:dyDescent="0.25">
      <c r="A69" s="295"/>
      <c r="B69" s="359"/>
      <c r="C69" s="258"/>
      <c r="D69" s="448"/>
      <c r="E69" s="334"/>
      <c r="F69" s="258"/>
      <c r="G69" s="258"/>
      <c r="H69" s="334"/>
      <c r="I69" s="134"/>
      <c r="J69" s="134"/>
      <c r="K69" s="258"/>
      <c r="L69" s="334"/>
      <c r="M69" s="135"/>
      <c r="N69" s="258"/>
      <c r="O69" s="258"/>
      <c r="P69" s="135"/>
      <c r="Q69" s="338"/>
      <c r="R69" s="626" t="s">
        <v>519</v>
      </c>
      <c r="S69" s="627"/>
      <c r="T69" s="620"/>
      <c r="U69" s="614"/>
      <c r="V69" s="620"/>
      <c r="W69" s="614"/>
      <c r="X69" s="620"/>
      <c r="Y69" s="614"/>
      <c r="Z69" s="620"/>
      <c r="AA69" s="614"/>
      <c r="AB69" s="620"/>
      <c r="AC69" s="614"/>
      <c r="AD69" s="620"/>
      <c r="AE69" s="614"/>
      <c r="AF69" s="620"/>
      <c r="AG69" s="614"/>
      <c r="AH69" s="256"/>
      <c r="AI69" s="256"/>
      <c r="AJ69" s="273"/>
      <c r="AK69" s="256"/>
      <c r="AL69" s="235"/>
      <c r="AM69" s="256"/>
      <c r="AN69" s="256"/>
      <c r="AO69" s="256"/>
      <c r="AP69" s="256"/>
      <c r="AQ69" s="273"/>
      <c r="AR69" s="273"/>
      <c r="AS69" s="256"/>
      <c r="AT69" s="256"/>
      <c r="AU69" s="256"/>
      <c r="AV69" s="256"/>
      <c r="AW69" s="258"/>
      <c r="AX69" s="258"/>
      <c r="AY69" s="135"/>
      <c r="AZ69" s="303"/>
      <c r="BA69" s="338"/>
      <c r="BB69" s="476"/>
      <c r="BC69" s="471"/>
      <c r="BD69" s="471"/>
      <c r="BE69" s="478"/>
      <c r="BF69" s="473"/>
      <c r="BG69" s="476"/>
      <c r="BH69" s="476"/>
      <c r="BI69" s="471"/>
      <c r="BJ69" s="478"/>
    </row>
    <row r="70" spans="1:63" s="59" customFormat="1" ht="100.5" customHeight="1" x14ac:dyDescent="0.25">
      <c r="A70" s="295"/>
      <c r="B70" s="358" t="s">
        <v>62</v>
      </c>
      <c r="C70" s="331">
        <v>25</v>
      </c>
      <c r="D70" s="447" t="s">
        <v>520</v>
      </c>
      <c r="E70" s="251" t="s">
        <v>521</v>
      </c>
      <c r="F70" s="331" t="s">
        <v>11</v>
      </c>
      <c r="G70" s="331" t="s">
        <v>39</v>
      </c>
      <c r="H70" s="333" t="s">
        <v>143</v>
      </c>
      <c r="I70" s="134" t="s">
        <v>23</v>
      </c>
      <c r="J70" s="134" t="s">
        <v>64</v>
      </c>
      <c r="K70" s="249" t="s">
        <v>522</v>
      </c>
      <c r="L70" s="251" t="s">
        <v>523</v>
      </c>
      <c r="M70" s="219" t="str">
        <f>IF(F70="gestion","impacto",IF(F70="corrupcion","impactocorrupcion",IF(F70="seguridad_de_la_informacion","impacto","")))</f>
        <v>impacto</v>
      </c>
      <c r="N70" s="249" t="s">
        <v>35</v>
      </c>
      <c r="O70" s="331" t="s">
        <v>27</v>
      </c>
      <c r="P70" s="135" t="str">
        <f>N70&amp;O70</f>
        <v>PosibleMayor</v>
      </c>
      <c r="Q70" s="337" t="str">
        <f>IFERROR(VLOOKUP(P70,[9]FORMULAS!$B$38:$C$62,2,FALSE),"")</f>
        <v>Riesgo extremo</v>
      </c>
      <c r="R70" s="508" t="s">
        <v>524</v>
      </c>
      <c r="S70" s="508"/>
      <c r="T70" s="611" t="s">
        <v>147</v>
      </c>
      <c r="U70" s="614">
        <f t="shared" ref="U70:U71" si="149">IF(T70="Asignado",15,0)</f>
        <v>15</v>
      </c>
      <c r="V70" s="611" t="s">
        <v>148</v>
      </c>
      <c r="W70" s="614">
        <f t="shared" ref="W70:W71" si="150">IF(V70="Adecuado",15,0)</f>
        <v>15</v>
      </c>
      <c r="X70" s="611" t="s">
        <v>149</v>
      </c>
      <c r="Y70" s="614">
        <f t="shared" ref="Y70:Y71" si="151">IF(X70="Oportuna",15,0)</f>
        <v>15</v>
      </c>
      <c r="Z70" s="611" t="s">
        <v>150</v>
      </c>
      <c r="AA70" s="614">
        <f t="shared" ref="AA70:AA71" si="152">IF(Z70="Prevenir",15,IF(Z70="Detectar",10,0))</f>
        <v>15</v>
      </c>
      <c r="AB70" s="611" t="s">
        <v>151</v>
      </c>
      <c r="AC70" s="614">
        <f t="shared" ref="AC70:AC71" si="153">IF(AB70="Confiable",15,0)</f>
        <v>15</v>
      </c>
      <c r="AD70" s="611" t="s">
        <v>152</v>
      </c>
      <c r="AE70" s="614">
        <f t="shared" ref="AE70:AE71" si="154">IF(AD70="Se investigan y resuelven oportunamente",15,0)</f>
        <v>15</v>
      </c>
      <c r="AF70" s="611" t="s">
        <v>153</v>
      </c>
      <c r="AG70" s="614">
        <f t="shared" ref="AG70:AG71" si="155">IF(AF70="Completa",10,IF(AF70="incompleta",5,0))</f>
        <v>10</v>
      </c>
      <c r="AH70" s="300">
        <f t="shared" ref="AH70:AH71" si="156">U70+W70+Y70+AA70+AC70+AE70+AG70</f>
        <v>100</v>
      </c>
      <c r="AI70" s="300" t="str">
        <f t="shared" ref="AI70:AI71" si="157">IF(AH70&gt;=96,"Fuerte",IF(AH70&gt;=86,"Moderado",IF(AH70&gt;=1,"Débil","")))</f>
        <v>Fuerte</v>
      </c>
      <c r="AJ70" s="301" t="s">
        <v>154</v>
      </c>
      <c r="AK70" s="300" t="str">
        <f t="shared" ref="AK70:AK71" si="158">IF(AJ70="Siempre se ejecuta","Fuerte",IF(AJ70="Algunas veces","Moderado",IF(AJ70="no se ejecuta","Débil","")))</f>
        <v>Fuerte</v>
      </c>
      <c r="AL70" s="235" t="str">
        <f t="shared" ref="AL70:AL71" si="159">AI70&amp;AK70</f>
        <v>FuerteFuerte</v>
      </c>
      <c r="AM70" s="300" t="str">
        <f>IFERROR(VLOOKUP(AL70,[15]FORMULAS!$B$70:$D$78,3,FALSE),"")</f>
        <v>Fuerte</v>
      </c>
      <c r="AN70" s="300">
        <f t="shared" ref="AN70:AN71" si="160">IF(AM70="fuerte",100,IF(AM70="Moderado",50,IF(AM70="débil",0,"")))</f>
        <v>100</v>
      </c>
      <c r="AO70" s="300">
        <f>IFERROR(AVERAGE(AN70:AN70),0)</f>
        <v>100</v>
      </c>
      <c r="AP70" s="300" t="str">
        <f t="shared" ref="AP70:AP71" si="161">IF(AO70&gt;=100,"Fuerte",IF(AO70&gt;=50,"Moderado",IF(AO70&gt;=1,"Débil","")))</f>
        <v>Fuerte</v>
      </c>
      <c r="AQ70" s="301" t="s">
        <v>92</v>
      </c>
      <c r="AR70" s="301" t="s">
        <v>92</v>
      </c>
      <c r="AS70" s="300" t="str">
        <f t="shared" ref="AS70:AS71" si="162">+AP70&amp;AQ70&amp;AR70</f>
        <v>FuerteDirectamenteDirectamente</v>
      </c>
      <c r="AT70" s="300">
        <f>IFERROR(VLOOKUP(AS70,[15]FORMULAS!$B$95:$D$102,2,FALSE),0)</f>
        <v>2</v>
      </c>
      <c r="AU70" s="339">
        <f>IFERROR(VLOOKUP(AS70,[15]FORMULAS!$B$95:$D$102,3,FALSE),0)</f>
        <v>2</v>
      </c>
      <c r="AV70" s="339">
        <f>IFERROR(VLOOKUP(AT70,[9]FORMULAS!$B$95:$D$102,3,FALSE),0)</f>
        <v>0</v>
      </c>
      <c r="AW70" s="249" t="s">
        <v>15</v>
      </c>
      <c r="AX70" s="249" t="s">
        <v>28</v>
      </c>
      <c r="AY70" s="135" t="str">
        <f t="shared" ref="AY70:AY71" si="163">AW70&amp;AX70</f>
        <v>Rara vezMenor</v>
      </c>
      <c r="AZ70" s="336" t="str">
        <f>IFERROR(VLOOKUP(AY70,[9]FORMULAS!$B$38:$C$62,2,FALSE),"")</f>
        <v>Riesgo bajo</v>
      </c>
      <c r="BA70" s="337" t="s">
        <v>19</v>
      </c>
      <c r="BB70" s="220" t="s">
        <v>525</v>
      </c>
      <c r="BC70" s="202" t="s">
        <v>526</v>
      </c>
      <c r="BD70" s="202" t="s">
        <v>499</v>
      </c>
      <c r="BE70" s="192" t="s">
        <v>527</v>
      </c>
      <c r="BF70" s="203" t="s">
        <v>528</v>
      </c>
      <c r="BG70" s="220" t="s">
        <v>529</v>
      </c>
      <c r="BH70" s="220" t="s">
        <v>530</v>
      </c>
      <c r="BI70" s="202" t="s">
        <v>504</v>
      </c>
      <c r="BJ70" s="221" t="s">
        <v>505</v>
      </c>
    </row>
    <row r="71" spans="1:63" s="59" customFormat="1" ht="132" customHeight="1" thickBot="1" x14ac:dyDescent="0.3">
      <c r="A71" s="466"/>
      <c r="B71" s="359"/>
      <c r="C71" s="258"/>
      <c r="D71" s="448"/>
      <c r="E71" s="448"/>
      <c r="F71" s="258"/>
      <c r="G71" s="258"/>
      <c r="H71" s="334"/>
      <c r="I71" s="134"/>
      <c r="J71" s="134"/>
      <c r="K71" s="335"/>
      <c r="L71" s="448"/>
      <c r="M71" s="219" t="str">
        <f>IF(F71="gestion","impacto",IF(F71="corrupcion","impactocorrupcion",IF(F71="seguridad_de_la_informacion","impacto","")))</f>
        <v/>
      </c>
      <c r="N71" s="335"/>
      <c r="O71" s="258"/>
      <c r="P71" s="135" t="str">
        <f>N71&amp;O71</f>
        <v/>
      </c>
      <c r="Q71" s="338" t="str">
        <f>IFERROR(VLOOKUP(P71,[9]FORMULAS!$B$38:$C$62,2,FALSE),"")</f>
        <v/>
      </c>
      <c r="R71" s="508" t="s">
        <v>531</v>
      </c>
      <c r="S71" s="509"/>
      <c r="T71" s="620"/>
      <c r="U71" s="614">
        <f t="shared" si="149"/>
        <v>0</v>
      </c>
      <c r="V71" s="620"/>
      <c r="W71" s="614">
        <f t="shared" si="150"/>
        <v>0</v>
      </c>
      <c r="X71" s="620"/>
      <c r="Y71" s="614">
        <f t="shared" si="151"/>
        <v>0</v>
      </c>
      <c r="Z71" s="620"/>
      <c r="AA71" s="614">
        <f t="shared" si="152"/>
        <v>0</v>
      </c>
      <c r="AB71" s="620"/>
      <c r="AC71" s="614">
        <f t="shared" si="153"/>
        <v>0</v>
      </c>
      <c r="AD71" s="620"/>
      <c r="AE71" s="614">
        <f t="shared" si="154"/>
        <v>0</v>
      </c>
      <c r="AF71" s="620"/>
      <c r="AG71" s="629">
        <f t="shared" si="155"/>
        <v>0</v>
      </c>
      <c r="AH71" s="256"/>
      <c r="AI71" s="256"/>
      <c r="AJ71" s="273"/>
      <c r="AK71" s="256"/>
      <c r="AL71" s="222" t="str">
        <f t="shared" si="159"/>
        <v/>
      </c>
      <c r="AM71" s="256"/>
      <c r="AN71" s="256"/>
      <c r="AO71" s="256"/>
      <c r="AP71" s="256"/>
      <c r="AQ71" s="273"/>
      <c r="AR71" s="273"/>
      <c r="AS71" s="322"/>
      <c r="AT71" s="256"/>
      <c r="AU71" s="340"/>
      <c r="AV71" s="340"/>
      <c r="AW71" s="335"/>
      <c r="AX71" s="335"/>
      <c r="AY71" s="135" t="str">
        <f t="shared" si="163"/>
        <v/>
      </c>
      <c r="AZ71" s="303"/>
      <c r="BA71" s="338"/>
      <c r="BB71" s="223" t="s">
        <v>532</v>
      </c>
      <c r="BC71" s="224" t="s">
        <v>533</v>
      </c>
      <c r="BD71" s="225" t="s">
        <v>534</v>
      </c>
      <c r="BE71" s="226" t="s">
        <v>527</v>
      </c>
      <c r="BF71" s="227" t="s">
        <v>535</v>
      </c>
      <c r="BG71" s="223" t="s">
        <v>536</v>
      </c>
      <c r="BH71" s="223" t="s">
        <v>537</v>
      </c>
      <c r="BI71" s="225" t="s">
        <v>538</v>
      </c>
      <c r="BJ71" s="228" t="s">
        <v>505</v>
      </c>
    </row>
    <row r="72" spans="1:63" ht="12" x14ac:dyDescent="0.25">
      <c r="A72" s="293"/>
      <c r="B72" s="358" t="s">
        <v>65</v>
      </c>
      <c r="C72" s="341">
        <v>26</v>
      </c>
      <c r="D72" s="274" t="s">
        <v>539</v>
      </c>
      <c r="E72" s="274" t="s">
        <v>540</v>
      </c>
      <c r="F72" s="341" t="s">
        <v>11</v>
      </c>
      <c r="G72" s="341" t="s">
        <v>32</v>
      </c>
      <c r="H72" s="344" t="s">
        <v>143</v>
      </c>
      <c r="I72" s="345"/>
      <c r="J72" s="345"/>
      <c r="K72" s="380" t="s">
        <v>541</v>
      </c>
      <c r="L72" s="288" t="s">
        <v>542</v>
      </c>
      <c r="M72" s="342" t="str">
        <f>IF(F72="gestion","impacto",IF(F72="corrupcion","impactocorrupcion",IF(F72="seguridad_de_la_informacion","impacto","")))</f>
        <v>impacto</v>
      </c>
      <c r="N72" s="341" t="s">
        <v>42</v>
      </c>
      <c r="O72" s="341" t="s">
        <v>17</v>
      </c>
      <c r="P72" s="342" t="str">
        <f>N72&amp;O72</f>
        <v>ProbableModerado</v>
      </c>
      <c r="Q72" s="343" t="str">
        <f>IFERROR(VLOOKUP(P72,FORMULAS!$B$37:$C$61,2,FALSE),"")</f>
        <v>Riesgo alto</v>
      </c>
      <c r="R72" s="482" t="s">
        <v>543</v>
      </c>
      <c r="S72" s="482"/>
      <c r="T72" s="121" t="s">
        <v>147</v>
      </c>
      <c r="U72" s="67">
        <f>IF(T72="Asignado",15,0)</f>
        <v>15</v>
      </c>
      <c r="V72" s="121" t="s">
        <v>148</v>
      </c>
      <c r="W72" s="67">
        <f>IF(V72="Adecuado",15,0)</f>
        <v>15</v>
      </c>
      <c r="X72" s="121" t="s">
        <v>149</v>
      </c>
      <c r="Y72" s="67">
        <f>IF(X72="Oportuna",15,0)</f>
        <v>15</v>
      </c>
      <c r="Z72" s="121" t="s">
        <v>150</v>
      </c>
      <c r="AA72" s="67">
        <f>IF(Z72="Prevenir",15,IF(Z72="Detectar",10,0))</f>
        <v>15</v>
      </c>
      <c r="AB72" s="121" t="s">
        <v>151</v>
      </c>
      <c r="AC72" s="67">
        <f>IF(AB72="Confiable",15,0)</f>
        <v>15</v>
      </c>
      <c r="AD72" s="121" t="s">
        <v>152</v>
      </c>
      <c r="AE72" s="67">
        <f>IF(AD72="Se investigan y resuelven oportunamente",15,0)</f>
        <v>15</v>
      </c>
      <c r="AF72" s="121" t="s">
        <v>153</v>
      </c>
      <c r="AG72" s="123">
        <f t="shared" ref="AG72:AG104" si="164">IF(AF72="Completa",10,IF(AF72="incompleta",5,0))</f>
        <v>10</v>
      </c>
      <c r="AH72" s="127">
        <f t="shared" ref="AH72:AH104" si="165">U72+W72+Y72+AA72+AC72+AE72+AG72</f>
        <v>100</v>
      </c>
      <c r="AI72" s="127" t="str">
        <f t="shared" ref="AI72:AI104" si="166">IF(AH72&gt;=96,"Fuerte",IF(AH72&gt;=86,"Moderado",IF(AH72&gt;=1,"Débil","")))</f>
        <v>Fuerte</v>
      </c>
      <c r="AJ72" s="119" t="s">
        <v>154</v>
      </c>
      <c r="AK72" s="127" t="str">
        <f t="shared" ref="AK72:AK104" si="167">IF(AJ72="Siempre se ejecuta","Fuerte",IF(AJ72="Algunas veces","Moderado",IF(AJ72="no se ejecuta","Débil","")))</f>
        <v>Fuerte</v>
      </c>
      <c r="AL72" s="127" t="str">
        <f t="shared" ref="AL72:AL104" si="168">AI72&amp;AK72</f>
        <v>FuerteFuerte</v>
      </c>
      <c r="AM72" s="127" t="str">
        <f>IFERROR(VLOOKUP(AL72,FORMULAS!$B$69:$D$77,3,FALSE),"")</f>
        <v>Fuerte</v>
      </c>
      <c r="AN72" s="127">
        <f t="shared" ref="AN72:AN104" si="169">IF(AM72="fuerte",100,IF(AM72="Moderado",50,IF(AM72="débil",0,"")))</f>
        <v>100</v>
      </c>
      <c r="AO72" s="127" t="str">
        <f>IFERROR(VLOOKUP(AL72,FORMULAS!$B$69:$D$77,2,FALSE),"")</f>
        <v>No</v>
      </c>
      <c r="AP72" s="306">
        <f>IFERROR(AVERAGE(AN72:AN78),0)</f>
        <v>100</v>
      </c>
      <c r="AQ72" s="306" t="str">
        <f>IF(AP72&gt;=100,"Fuerte",IF(AP72&gt;=50,"Moderado",IF(AP72&gt;=1,"Débil","")))</f>
        <v>Fuerte</v>
      </c>
      <c r="AR72" s="308" t="s">
        <v>92</v>
      </c>
      <c r="AS72" s="308" t="s">
        <v>93</v>
      </c>
      <c r="AT72" s="306" t="str">
        <f>+AQ72&amp;AR72&amp;AS72</f>
        <v>FuerteDirectamenteNo disminuye</v>
      </c>
      <c r="AU72" s="306">
        <f>IFERROR(VLOOKUP(AT72,FORMULAS!$B$94:$D$101,2,FALSE),0)</f>
        <v>2</v>
      </c>
      <c r="AV72" s="306">
        <f>IFERROR(VLOOKUP(AT72,FORMULAS!$B$94:$D$101,3,FALSE),0)</f>
        <v>0</v>
      </c>
      <c r="AW72" s="341" t="s">
        <v>15</v>
      </c>
      <c r="AX72" s="341" t="s">
        <v>17</v>
      </c>
      <c r="AY72" s="342" t="str">
        <f>AW72&amp;AX72</f>
        <v>Rara vezModerado</v>
      </c>
      <c r="AZ72" s="356" t="str">
        <f>IFERROR(VLOOKUP(AY72,FORMULAS!$B$37:$C$61,2,FALSE),"")</f>
        <v>Riesgo moderado</v>
      </c>
      <c r="BA72" s="343" t="s">
        <v>29</v>
      </c>
      <c r="BB72" s="265" t="s">
        <v>544</v>
      </c>
      <c r="BC72" s="265" t="s">
        <v>545</v>
      </c>
      <c r="BD72" s="265" t="s">
        <v>546</v>
      </c>
      <c r="BE72" s="323" t="s">
        <v>547</v>
      </c>
      <c r="BF72" s="323" t="s">
        <v>548</v>
      </c>
      <c r="BG72" s="265" t="s">
        <v>549</v>
      </c>
      <c r="BH72" s="265" t="s">
        <v>550</v>
      </c>
      <c r="BI72" s="265" t="s">
        <v>551</v>
      </c>
      <c r="BJ72" s="479" t="s">
        <v>552</v>
      </c>
    </row>
    <row r="73" spans="1:63" ht="42" customHeight="1" x14ac:dyDescent="0.25">
      <c r="A73" s="293"/>
      <c r="B73" s="359"/>
      <c r="C73" s="297"/>
      <c r="D73" s="397"/>
      <c r="E73" s="397"/>
      <c r="F73" s="297"/>
      <c r="G73" s="297"/>
      <c r="H73" s="298"/>
      <c r="I73" s="299"/>
      <c r="J73" s="299"/>
      <c r="K73" s="374"/>
      <c r="L73" s="289"/>
      <c r="M73" s="254"/>
      <c r="N73" s="297"/>
      <c r="O73" s="297"/>
      <c r="P73" s="254"/>
      <c r="Q73" s="317"/>
      <c r="R73" s="291" t="s">
        <v>553</v>
      </c>
      <c r="S73" s="291"/>
      <c r="T73" s="133" t="s">
        <v>147</v>
      </c>
      <c r="U73" s="66">
        <f t="shared" ref="U73:U78" si="170">IF(T73="Asignado",15,0)</f>
        <v>15</v>
      </c>
      <c r="V73" s="133" t="s">
        <v>148</v>
      </c>
      <c r="W73" s="66">
        <f t="shared" ref="W73:W78" si="171">IF(V73="Adecuado",15,0)</f>
        <v>15</v>
      </c>
      <c r="X73" s="133" t="s">
        <v>149</v>
      </c>
      <c r="Y73" s="66">
        <f t="shared" ref="Y73:Y78" si="172">IF(X73="Oportuna",15,0)</f>
        <v>15</v>
      </c>
      <c r="Z73" s="133" t="s">
        <v>150</v>
      </c>
      <c r="AA73" s="66">
        <f t="shared" ref="AA73:AA78" si="173">IF(Z73="Prevenir",15,IF(Z73="Detectar",10,0))</f>
        <v>15</v>
      </c>
      <c r="AB73" s="133" t="s">
        <v>151</v>
      </c>
      <c r="AC73" s="66">
        <f t="shared" ref="AC73:AC78" si="174">IF(AB73="Confiable",15,0)</f>
        <v>15</v>
      </c>
      <c r="AD73" s="133" t="s">
        <v>152</v>
      </c>
      <c r="AE73" s="66">
        <f t="shared" ref="AE73:AE78" si="175">IF(AD73="Se investigan y resuelven oportunamente",15,0)</f>
        <v>15</v>
      </c>
      <c r="AF73" s="133" t="s">
        <v>153</v>
      </c>
      <c r="AG73" s="135">
        <f t="shared" si="164"/>
        <v>10</v>
      </c>
      <c r="AH73" s="128">
        <f t="shared" si="165"/>
        <v>100</v>
      </c>
      <c r="AI73" s="128" t="str">
        <f t="shared" si="166"/>
        <v>Fuerte</v>
      </c>
      <c r="AJ73" s="139" t="s">
        <v>154</v>
      </c>
      <c r="AK73" s="128" t="str">
        <f t="shared" si="167"/>
        <v>Fuerte</v>
      </c>
      <c r="AL73" s="128" t="str">
        <f t="shared" si="168"/>
        <v>FuerteFuerte</v>
      </c>
      <c r="AM73" s="128" t="str">
        <f>IFERROR(VLOOKUP(AL73,FORMULAS!$B$69:$D$77,3,FALSE),"")</f>
        <v>Fuerte</v>
      </c>
      <c r="AN73" s="128">
        <f t="shared" si="169"/>
        <v>100</v>
      </c>
      <c r="AO73" s="128" t="str">
        <f>IFERROR(VLOOKUP(AL73,FORMULAS!$B$69:$C$77,2,FALSE),"")</f>
        <v>No</v>
      </c>
      <c r="AP73" s="271"/>
      <c r="AQ73" s="271"/>
      <c r="AR73" s="304"/>
      <c r="AS73" s="304"/>
      <c r="AT73" s="271"/>
      <c r="AU73" s="271"/>
      <c r="AV73" s="271"/>
      <c r="AW73" s="297"/>
      <c r="AX73" s="297"/>
      <c r="AY73" s="254"/>
      <c r="AZ73" s="316"/>
      <c r="BA73" s="317"/>
      <c r="BB73" s="266"/>
      <c r="BC73" s="266"/>
      <c r="BD73" s="266"/>
      <c r="BE73" s="324"/>
      <c r="BF73" s="324"/>
      <c r="BG73" s="266"/>
      <c r="BH73" s="266"/>
      <c r="BI73" s="266"/>
      <c r="BJ73" s="480"/>
    </row>
    <row r="74" spans="1:63" ht="29.25" customHeight="1" x14ac:dyDescent="0.25">
      <c r="A74" s="293"/>
      <c r="B74" s="359"/>
      <c r="C74" s="297"/>
      <c r="D74" s="397"/>
      <c r="E74" s="397"/>
      <c r="F74" s="297"/>
      <c r="G74" s="297"/>
      <c r="H74" s="298"/>
      <c r="I74" s="299"/>
      <c r="J74" s="299"/>
      <c r="K74" s="374" t="s">
        <v>554</v>
      </c>
      <c r="L74" s="289"/>
      <c r="M74" s="254"/>
      <c r="N74" s="297"/>
      <c r="O74" s="297"/>
      <c r="P74" s="254"/>
      <c r="Q74" s="317"/>
      <c r="R74" s="291" t="s">
        <v>555</v>
      </c>
      <c r="S74" s="291"/>
      <c r="T74" s="133" t="s">
        <v>147</v>
      </c>
      <c r="U74" s="66">
        <f t="shared" si="170"/>
        <v>15</v>
      </c>
      <c r="V74" s="133" t="s">
        <v>148</v>
      </c>
      <c r="W74" s="66">
        <f t="shared" si="171"/>
        <v>15</v>
      </c>
      <c r="X74" s="133" t="s">
        <v>149</v>
      </c>
      <c r="Y74" s="66">
        <f t="shared" si="172"/>
        <v>15</v>
      </c>
      <c r="Z74" s="133" t="s">
        <v>150</v>
      </c>
      <c r="AA74" s="66">
        <f t="shared" si="173"/>
        <v>15</v>
      </c>
      <c r="AB74" s="133" t="s">
        <v>151</v>
      </c>
      <c r="AC74" s="66">
        <f t="shared" si="174"/>
        <v>15</v>
      </c>
      <c r="AD74" s="133" t="s">
        <v>152</v>
      </c>
      <c r="AE74" s="66">
        <f t="shared" si="175"/>
        <v>15</v>
      </c>
      <c r="AF74" s="133" t="s">
        <v>153</v>
      </c>
      <c r="AG74" s="135">
        <f t="shared" si="164"/>
        <v>10</v>
      </c>
      <c r="AH74" s="128">
        <f t="shared" si="165"/>
        <v>100</v>
      </c>
      <c r="AI74" s="128" t="str">
        <f>IF(AH74&gt;=96,"Fuerte",IF(AH74&gt;=86,"Moderado",IF(AH74&gt;=1,"Débil","")))</f>
        <v>Fuerte</v>
      </c>
      <c r="AJ74" s="139" t="s">
        <v>154</v>
      </c>
      <c r="AK74" s="128" t="str">
        <f t="shared" si="167"/>
        <v>Fuerte</v>
      </c>
      <c r="AL74" s="128" t="str">
        <f t="shared" si="168"/>
        <v>FuerteFuerte</v>
      </c>
      <c r="AM74" s="128"/>
      <c r="AN74" s="128"/>
      <c r="AO74" s="128"/>
      <c r="AP74" s="271"/>
      <c r="AQ74" s="271"/>
      <c r="AR74" s="304"/>
      <c r="AS74" s="304"/>
      <c r="AT74" s="271"/>
      <c r="AU74" s="271"/>
      <c r="AV74" s="271"/>
      <c r="AW74" s="297"/>
      <c r="AX74" s="297"/>
      <c r="AY74" s="254"/>
      <c r="AZ74" s="316"/>
      <c r="BA74" s="317"/>
      <c r="BB74" s="266"/>
      <c r="BC74" s="266"/>
      <c r="BD74" s="266"/>
      <c r="BE74" s="324"/>
      <c r="BF74" s="324"/>
      <c r="BG74" s="266"/>
      <c r="BH74" s="266"/>
      <c r="BI74" s="266"/>
      <c r="BJ74" s="480"/>
    </row>
    <row r="75" spans="1:63" ht="36" customHeight="1" x14ac:dyDescent="0.25">
      <c r="A75" s="293"/>
      <c r="B75" s="359"/>
      <c r="C75" s="297"/>
      <c r="D75" s="397"/>
      <c r="E75" s="397"/>
      <c r="F75" s="297"/>
      <c r="G75" s="297"/>
      <c r="H75" s="298"/>
      <c r="I75" s="299"/>
      <c r="J75" s="299"/>
      <c r="K75" s="374"/>
      <c r="L75" s="289"/>
      <c r="M75" s="254"/>
      <c r="N75" s="297"/>
      <c r="O75" s="297"/>
      <c r="P75" s="254"/>
      <c r="Q75" s="317"/>
      <c r="R75" s="291" t="s">
        <v>556</v>
      </c>
      <c r="S75" s="291"/>
      <c r="T75" s="133" t="s">
        <v>147</v>
      </c>
      <c r="U75" s="66">
        <f t="shared" si="170"/>
        <v>15</v>
      </c>
      <c r="V75" s="133" t="s">
        <v>148</v>
      </c>
      <c r="W75" s="66">
        <f t="shared" si="171"/>
        <v>15</v>
      </c>
      <c r="X75" s="133" t="s">
        <v>149</v>
      </c>
      <c r="Y75" s="66">
        <f t="shared" si="172"/>
        <v>15</v>
      </c>
      <c r="Z75" s="133" t="s">
        <v>150</v>
      </c>
      <c r="AA75" s="66">
        <f t="shared" si="173"/>
        <v>15</v>
      </c>
      <c r="AB75" s="133" t="s">
        <v>151</v>
      </c>
      <c r="AC75" s="66">
        <f t="shared" si="174"/>
        <v>15</v>
      </c>
      <c r="AD75" s="133" t="s">
        <v>152</v>
      </c>
      <c r="AE75" s="66">
        <f t="shared" si="175"/>
        <v>15</v>
      </c>
      <c r="AF75" s="133" t="s">
        <v>153</v>
      </c>
      <c r="AG75" s="135">
        <f t="shared" si="164"/>
        <v>10</v>
      </c>
      <c r="AH75" s="128">
        <f>U75+W75+Y75+AA75+AC75+AE75+AG75</f>
        <v>100</v>
      </c>
      <c r="AI75" s="128" t="str">
        <f>IF(AH75&gt;=96,"Fuerte",IF(AH75&gt;=86,"Moderado",IF(AH75&gt;=1,"Débil","")))</f>
        <v>Fuerte</v>
      </c>
      <c r="AJ75" s="139" t="s">
        <v>154</v>
      </c>
      <c r="AK75" s="128" t="str">
        <f t="shared" si="167"/>
        <v>Fuerte</v>
      </c>
      <c r="AL75" s="128" t="str">
        <f t="shared" si="168"/>
        <v>FuerteFuerte</v>
      </c>
      <c r="AM75" s="128"/>
      <c r="AN75" s="128"/>
      <c r="AO75" s="128"/>
      <c r="AP75" s="271"/>
      <c r="AQ75" s="271"/>
      <c r="AR75" s="304"/>
      <c r="AS75" s="304"/>
      <c r="AT75" s="271"/>
      <c r="AU75" s="271"/>
      <c r="AV75" s="271"/>
      <c r="AW75" s="297"/>
      <c r="AX75" s="297"/>
      <c r="AY75" s="254"/>
      <c r="AZ75" s="316"/>
      <c r="BA75" s="317"/>
      <c r="BB75" s="266"/>
      <c r="BC75" s="266"/>
      <c r="BD75" s="266"/>
      <c r="BE75" s="324"/>
      <c r="BF75" s="324"/>
      <c r="BG75" s="266"/>
      <c r="BH75" s="266"/>
      <c r="BI75" s="266"/>
      <c r="BJ75" s="480"/>
    </row>
    <row r="76" spans="1:63" ht="12" x14ac:dyDescent="0.25">
      <c r="A76" s="293"/>
      <c r="B76" s="359"/>
      <c r="C76" s="297"/>
      <c r="D76" s="397"/>
      <c r="E76" s="397"/>
      <c r="F76" s="297"/>
      <c r="G76" s="297"/>
      <c r="H76" s="298"/>
      <c r="I76" s="299"/>
      <c r="J76" s="299"/>
      <c r="K76" s="374" t="s">
        <v>557</v>
      </c>
      <c r="L76" s="289"/>
      <c r="M76" s="254"/>
      <c r="N76" s="297"/>
      <c r="O76" s="297"/>
      <c r="P76" s="254"/>
      <c r="Q76" s="317"/>
      <c r="R76" s="291" t="s">
        <v>558</v>
      </c>
      <c r="S76" s="291"/>
      <c r="T76" s="133" t="s">
        <v>147</v>
      </c>
      <c r="U76" s="66">
        <f t="shared" si="170"/>
        <v>15</v>
      </c>
      <c r="V76" s="133" t="s">
        <v>148</v>
      </c>
      <c r="W76" s="66">
        <f t="shared" si="171"/>
        <v>15</v>
      </c>
      <c r="X76" s="133" t="s">
        <v>149</v>
      </c>
      <c r="Y76" s="66">
        <f t="shared" si="172"/>
        <v>15</v>
      </c>
      <c r="Z76" s="133" t="s">
        <v>150</v>
      </c>
      <c r="AA76" s="66">
        <f t="shared" si="173"/>
        <v>15</v>
      </c>
      <c r="AB76" s="133" t="s">
        <v>151</v>
      </c>
      <c r="AC76" s="66">
        <f t="shared" si="174"/>
        <v>15</v>
      </c>
      <c r="AD76" s="133" t="s">
        <v>152</v>
      </c>
      <c r="AE76" s="66">
        <f t="shared" si="175"/>
        <v>15</v>
      </c>
      <c r="AF76" s="133" t="s">
        <v>153</v>
      </c>
      <c r="AG76" s="135">
        <f t="shared" si="164"/>
        <v>10</v>
      </c>
      <c r="AH76" s="128">
        <f t="shared" si="165"/>
        <v>100</v>
      </c>
      <c r="AI76" s="128" t="str">
        <f>IF(AH76&gt;=96,"Fuerte",IF(AH76&gt;=86,"Moderado",IF(AH76&gt;=1,"Débil","")))</f>
        <v>Fuerte</v>
      </c>
      <c r="AJ76" s="139" t="s">
        <v>154</v>
      </c>
      <c r="AK76" s="128" t="str">
        <f t="shared" si="167"/>
        <v>Fuerte</v>
      </c>
      <c r="AL76" s="128" t="str">
        <f t="shared" si="168"/>
        <v>FuerteFuerte</v>
      </c>
      <c r="AM76" s="128"/>
      <c r="AN76" s="128"/>
      <c r="AO76" s="128"/>
      <c r="AP76" s="271"/>
      <c r="AQ76" s="271"/>
      <c r="AR76" s="304"/>
      <c r="AS76" s="304"/>
      <c r="AT76" s="271"/>
      <c r="AU76" s="271"/>
      <c r="AV76" s="271"/>
      <c r="AW76" s="297"/>
      <c r="AX76" s="297"/>
      <c r="AY76" s="254"/>
      <c r="AZ76" s="316"/>
      <c r="BA76" s="317"/>
      <c r="BB76" s="266"/>
      <c r="BC76" s="266"/>
      <c r="BD76" s="266"/>
      <c r="BE76" s="324"/>
      <c r="BF76" s="324"/>
      <c r="BG76" s="266"/>
      <c r="BH76" s="266"/>
      <c r="BI76" s="266"/>
      <c r="BJ76" s="480"/>
    </row>
    <row r="77" spans="1:63" ht="27" customHeight="1" x14ac:dyDescent="0.25">
      <c r="A77" s="293"/>
      <c r="B77" s="359"/>
      <c r="C77" s="297"/>
      <c r="D77" s="397"/>
      <c r="E77" s="397"/>
      <c r="F77" s="297"/>
      <c r="G77" s="297"/>
      <c r="H77" s="298"/>
      <c r="I77" s="299"/>
      <c r="J77" s="299"/>
      <c r="K77" s="374"/>
      <c r="L77" s="289"/>
      <c r="M77" s="254"/>
      <c r="N77" s="297"/>
      <c r="O77" s="297"/>
      <c r="P77" s="254"/>
      <c r="Q77" s="317"/>
      <c r="R77" s="291" t="s">
        <v>559</v>
      </c>
      <c r="S77" s="291"/>
      <c r="T77" s="133" t="s">
        <v>147</v>
      </c>
      <c r="U77" s="66">
        <f t="shared" si="170"/>
        <v>15</v>
      </c>
      <c r="V77" s="133" t="s">
        <v>148</v>
      </c>
      <c r="W77" s="66">
        <f t="shared" si="171"/>
        <v>15</v>
      </c>
      <c r="X77" s="133" t="s">
        <v>149</v>
      </c>
      <c r="Y77" s="66">
        <f t="shared" si="172"/>
        <v>15</v>
      </c>
      <c r="Z77" s="133" t="s">
        <v>150</v>
      </c>
      <c r="AA77" s="66">
        <f t="shared" si="173"/>
        <v>15</v>
      </c>
      <c r="AB77" s="133" t="s">
        <v>151</v>
      </c>
      <c r="AC77" s="66">
        <f t="shared" si="174"/>
        <v>15</v>
      </c>
      <c r="AD77" s="133" t="s">
        <v>152</v>
      </c>
      <c r="AE77" s="66">
        <f t="shared" si="175"/>
        <v>15</v>
      </c>
      <c r="AF77" s="133" t="s">
        <v>153</v>
      </c>
      <c r="AG77" s="135">
        <f t="shared" si="164"/>
        <v>10</v>
      </c>
      <c r="AH77" s="128">
        <f t="shared" si="165"/>
        <v>100</v>
      </c>
      <c r="AI77" s="128" t="str">
        <f t="shared" si="166"/>
        <v>Fuerte</v>
      </c>
      <c r="AJ77" s="139" t="s">
        <v>154</v>
      </c>
      <c r="AK77" s="128" t="str">
        <f t="shared" si="167"/>
        <v>Fuerte</v>
      </c>
      <c r="AL77" s="128" t="str">
        <f t="shared" si="168"/>
        <v>FuerteFuerte</v>
      </c>
      <c r="AM77" s="128" t="str">
        <f>IFERROR(VLOOKUP(AL77,FORMULAS!$B$69:$D$77,3,FALSE),"")</f>
        <v>Fuerte</v>
      </c>
      <c r="AN77" s="128">
        <f t="shared" si="169"/>
        <v>100</v>
      </c>
      <c r="AO77" s="128" t="str">
        <f>IFERROR(VLOOKUP(AL77,FORMULAS!$B$69:$C$77,2,FALSE),"")</f>
        <v>No</v>
      </c>
      <c r="AP77" s="271"/>
      <c r="AQ77" s="271"/>
      <c r="AR77" s="304"/>
      <c r="AS77" s="304"/>
      <c r="AT77" s="271"/>
      <c r="AU77" s="271"/>
      <c r="AV77" s="271"/>
      <c r="AW77" s="297"/>
      <c r="AX77" s="297"/>
      <c r="AY77" s="254"/>
      <c r="AZ77" s="316"/>
      <c r="BA77" s="317"/>
      <c r="BB77" s="266"/>
      <c r="BC77" s="266"/>
      <c r="BD77" s="266"/>
      <c r="BE77" s="324"/>
      <c r="BF77" s="324"/>
      <c r="BG77" s="266"/>
      <c r="BH77" s="266"/>
      <c r="BI77" s="266"/>
      <c r="BJ77" s="480"/>
    </row>
    <row r="78" spans="1:63" ht="35.25" customHeight="1" x14ac:dyDescent="0.25">
      <c r="A78" s="293"/>
      <c r="B78" s="248"/>
      <c r="C78" s="368"/>
      <c r="D78" s="275"/>
      <c r="E78" s="275"/>
      <c r="F78" s="368"/>
      <c r="G78" s="368"/>
      <c r="H78" s="366"/>
      <c r="I78" s="367"/>
      <c r="J78" s="367"/>
      <c r="K78" s="379"/>
      <c r="L78" s="315"/>
      <c r="M78" s="355"/>
      <c r="N78" s="368"/>
      <c r="O78" s="368"/>
      <c r="P78" s="355"/>
      <c r="Q78" s="369"/>
      <c r="R78" s="378" t="s">
        <v>560</v>
      </c>
      <c r="S78" s="378"/>
      <c r="T78" s="122" t="s">
        <v>147</v>
      </c>
      <c r="U78" s="69">
        <f t="shared" si="170"/>
        <v>15</v>
      </c>
      <c r="V78" s="122" t="s">
        <v>148</v>
      </c>
      <c r="W78" s="69">
        <f t="shared" si="171"/>
        <v>15</v>
      </c>
      <c r="X78" s="122" t="s">
        <v>149</v>
      </c>
      <c r="Y78" s="69">
        <f t="shared" si="172"/>
        <v>15</v>
      </c>
      <c r="Z78" s="122" t="s">
        <v>150</v>
      </c>
      <c r="AA78" s="69">
        <f t="shared" si="173"/>
        <v>15</v>
      </c>
      <c r="AB78" s="122" t="s">
        <v>151</v>
      </c>
      <c r="AC78" s="69">
        <f t="shared" si="174"/>
        <v>15</v>
      </c>
      <c r="AD78" s="122" t="s">
        <v>152</v>
      </c>
      <c r="AE78" s="69">
        <f t="shared" si="175"/>
        <v>15</v>
      </c>
      <c r="AF78" s="122" t="s">
        <v>153</v>
      </c>
      <c r="AG78" s="124">
        <f t="shared" si="164"/>
        <v>10</v>
      </c>
      <c r="AH78" s="129">
        <f t="shared" si="165"/>
        <v>100</v>
      </c>
      <c r="AI78" s="129" t="str">
        <f t="shared" si="166"/>
        <v>Fuerte</v>
      </c>
      <c r="AJ78" s="120" t="s">
        <v>154</v>
      </c>
      <c r="AK78" s="129" t="str">
        <f t="shared" si="167"/>
        <v>Fuerte</v>
      </c>
      <c r="AL78" s="129" t="str">
        <f t="shared" si="168"/>
        <v>FuerteFuerte</v>
      </c>
      <c r="AM78" s="129" t="str">
        <f>IFERROR(VLOOKUP(AL78,FORMULAS!$B$69:$D$77,3,FALSE),"")</f>
        <v>Fuerte</v>
      </c>
      <c r="AN78" s="129">
        <f t="shared" si="169"/>
        <v>100</v>
      </c>
      <c r="AO78" s="129" t="str">
        <f>IFERROR(VLOOKUP(AL78,FORMULAS!$B$69:$C$77,2,FALSE),"")</f>
        <v>No</v>
      </c>
      <c r="AP78" s="307"/>
      <c r="AQ78" s="307"/>
      <c r="AR78" s="305"/>
      <c r="AS78" s="305"/>
      <c r="AT78" s="307"/>
      <c r="AU78" s="307"/>
      <c r="AV78" s="307"/>
      <c r="AW78" s="368"/>
      <c r="AX78" s="368"/>
      <c r="AY78" s="355"/>
      <c r="AZ78" s="357"/>
      <c r="BA78" s="369"/>
      <c r="BB78" s="267"/>
      <c r="BC78" s="267"/>
      <c r="BD78" s="267"/>
      <c r="BE78" s="326"/>
      <c r="BF78" s="326"/>
      <c r="BG78" s="267"/>
      <c r="BH78" s="267"/>
      <c r="BI78" s="267"/>
      <c r="BJ78" s="481"/>
    </row>
    <row r="79" spans="1:63" ht="96.75" customHeight="1" x14ac:dyDescent="0.25">
      <c r="A79" s="293"/>
      <c r="B79" s="358" t="s">
        <v>65</v>
      </c>
      <c r="C79" s="341">
        <v>27</v>
      </c>
      <c r="D79" s="450" t="s">
        <v>561</v>
      </c>
      <c r="E79" s="383" t="s">
        <v>562</v>
      </c>
      <c r="F79" s="341" t="s">
        <v>11</v>
      </c>
      <c r="G79" s="341" t="s">
        <v>32</v>
      </c>
      <c r="H79" s="344" t="s">
        <v>143</v>
      </c>
      <c r="I79" s="345"/>
      <c r="J79" s="345"/>
      <c r="K79" s="138" t="s">
        <v>563</v>
      </c>
      <c r="L79" s="288" t="s">
        <v>564</v>
      </c>
      <c r="M79" s="342" t="str">
        <f>IF(F79="gestion","impacto",IF(F79="corrupcion","impactocorrupcion",IF(F79="seguridad_de_la_informacion","impacto","")))</f>
        <v>impacto</v>
      </c>
      <c r="N79" s="341" t="s">
        <v>35</v>
      </c>
      <c r="O79" s="341" t="s">
        <v>28</v>
      </c>
      <c r="P79" s="342" t="str">
        <f>N79&amp;O79</f>
        <v>PosibleMenor</v>
      </c>
      <c r="Q79" s="343" t="str">
        <f>IFERROR(VLOOKUP(P79,FORMULAS!$B$37:$C$61,2,FALSE),"")</f>
        <v>Riesgo moderado</v>
      </c>
      <c r="R79" s="377" t="s">
        <v>565</v>
      </c>
      <c r="S79" s="377"/>
      <c r="T79" s="121" t="s">
        <v>147</v>
      </c>
      <c r="U79" s="67">
        <f t="shared" ref="U79:U81" si="176">IF(T79="Asignado",15,0)</f>
        <v>15</v>
      </c>
      <c r="V79" s="121" t="s">
        <v>148</v>
      </c>
      <c r="W79" s="67">
        <f t="shared" ref="W79:W81" si="177">IF(V79="Adecuado",15,0)</f>
        <v>15</v>
      </c>
      <c r="X79" s="121" t="s">
        <v>149</v>
      </c>
      <c r="Y79" s="67">
        <f t="shared" ref="Y79:Y81" si="178">IF(X79="Oportuna",15,0)</f>
        <v>15</v>
      </c>
      <c r="Z79" s="121" t="s">
        <v>150</v>
      </c>
      <c r="AA79" s="67">
        <f t="shared" ref="AA79:AA81" si="179">IF(Z79="Prevenir",15,IF(Z79="Detectar",10,0))</f>
        <v>15</v>
      </c>
      <c r="AB79" s="121" t="s">
        <v>151</v>
      </c>
      <c r="AC79" s="67">
        <f t="shared" ref="AC79:AC81" si="180">IF(AB79="Confiable",15,0)</f>
        <v>15</v>
      </c>
      <c r="AD79" s="121" t="s">
        <v>152</v>
      </c>
      <c r="AE79" s="67">
        <f t="shared" ref="AE79:AE81" si="181">IF(AD79="Se investigan y resuelven oportunamente",15,0)</f>
        <v>15</v>
      </c>
      <c r="AF79" s="121" t="s">
        <v>153</v>
      </c>
      <c r="AG79" s="123">
        <f t="shared" si="164"/>
        <v>10</v>
      </c>
      <c r="AH79" s="127">
        <f t="shared" si="165"/>
        <v>100</v>
      </c>
      <c r="AI79" s="127" t="str">
        <f t="shared" si="166"/>
        <v>Fuerte</v>
      </c>
      <c r="AJ79" s="119" t="s">
        <v>154</v>
      </c>
      <c r="AK79" s="127" t="str">
        <f t="shared" si="167"/>
        <v>Fuerte</v>
      </c>
      <c r="AL79" s="127" t="str">
        <f t="shared" si="168"/>
        <v>FuerteFuerte</v>
      </c>
      <c r="AM79" s="127" t="str">
        <f>IFERROR(VLOOKUP(AL79,FORMULAS!$B$69:$D$77,3,FALSE),"")</f>
        <v>Fuerte</v>
      </c>
      <c r="AN79" s="127">
        <f t="shared" si="169"/>
        <v>100</v>
      </c>
      <c r="AO79" s="127" t="str">
        <f>IFERROR(VLOOKUP(AL79,FORMULAS!$B$69:$D$77,2,FALSE),"")</f>
        <v>No</v>
      </c>
      <c r="AP79" s="306">
        <f>IFERROR(AVERAGE(AN79:AN81),0)</f>
        <v>100</v>
      </c>
      <c r="AQ79" s="306" t="str">
        <f>IF(AP79&gt;=100,"Fuerte",IF(AP79&gt;=50,"Moderado",IF(AP79&gt;=1,"Débil","")))</f>
        <v>Fuerte</v>
      </c>
      <c r="AR79" s="308" t="s">
        <v>92</v>
      </c>
      <c r="AS79" s="308" t="s">
        <v>92</v>
      </c>
      <c r="AT79" s="306" t="str">
        <f>+AQ79&amp;AR79&amp;AS79</f>
        <v>FuerteDirectamenteDirectamente</v>
      </c>
      <c r="AU79" s="306">
        <f>IFERROR(VLOOKUP(AT79,FORMULAS!$B$94:$D$101,2,FALSE),0)</f>
        <v>2</v>
      </c>
      <c r="AV79" s="306">
        <f>IFERROR(VLOOKUP(AT79,FORMULAS!$B$94:$D$101,3,FALSE),0)</f>
        <v>2</v>
      </c>
      <c r="AW79" s="341" t="s">
        <v>15</v>
      </c>
      <c r="AX79" s="341" t="s">
        <v>18</v>
      </c>
      <c r="AY79" s="342" t="str">
        <f>AW79&amp;AX79</f>
        <v>Rara vezInsignificante</v>
      </c>
      <c r="AZ79" s="356" t="str">
        <f>IFERROR(VLOOKUP(AY79,FORMULAS!$B$37:$C$61,2,FALSE),"")</f>
        <v>Riesgo bajo</v>
      </c>
      <c r="BA79" s="343" t="s">
        <v>19</v>
      </c>
      <c r="BB79" s="282"/>
      <c r="BC79" s="282"/>
      <c r="BD79" s="282"/>
      <c r="BE79" s="285"/>
      <c r="BF79" s="285"/>
      <c r="BG79" s="282" t="s">
        <v>549</v>
      </c>
      <c r="BH79" s="282" t="s">
        <v>550</v>
      </c>
      <c r="BI79" s="282" t="s">
        <v>551</v>
      </c>
      <c r="BJ79" s="318" t="s">
        <v>566</v>
      </c>
    </row>
    <row r="80" spans="1:63" ht="83.25" customHeight="1" x14ac:dyDescent="0.25">
      <c r="A80" s="293"/>
      <c r="B80" s="359"/>
      <c r="C80" s="297"/>
      <c r="D80" s="451"/>
      <c r="E80" s="446"/>
      <c r="F80" s="297"/>
      <c r="G80" s="297"/>
      <c r="H80" s="298"/>
      <c r="I80" s="299"/>
      <c r="J80" s="299"/>
      <c r="K80" s="152" t="s">
        <v>567</v>
      </c>
      <c r="L80" s="289"/>
      <c r="M80" s="254"/>
      <c r="N80" s="297"/>
      <c r="O80" s="297"/>
      <c r="P80" s="254"/>
      <c r="Q80" s="317"/>
      <c r="R80" s="291" t="s">
        <v>568</v>
      </c>
      <c r="S80" s="291"/>
      <c r="T80" s="133" t="s">
        <v>147</v>
      </c>
      <c r="U80" s="66">
        <f t="shared" si="176"/>
        <v>15</v>
      </c>
      <c r="V80" s="133" t="s">
        <v>148</v>
      </c>
      <c r="W80" s="66">
        <f t="shared" si="177"/>
        <v>15</v>
      </c>
      <c r="X80" s="133" t="s">
        <v>149</v>
      </c>
      <c r="Y80" s="66">
        <f t="shared" si="178"/>
        <v>15</v>
      </c>
      <c r="Z80" s="133" t="s">
        <v>150</v>
      </c>
      <c r="AA80" s="66">
        <f t="shared" si="179"/>
        <v>15</v>
      </c>
      <c r="AB80" s="133" t="s">
        <v>151</v>
      </c>
      <c r="AC80" s="66">
        <f t="shared" si="180"/>
        <v>15</v>
      </c>
      <c r="AD80" s="133" t="s">
        <v>152</v>
      </c>
      <c r="AE80" s="66">
        <f t="shared" si="181"/>
        <v>15</v>
      </c>
      <c r="AF80" s="133" t="s">
        <v>153</v>
      </c>
      <c r="AG80" s="135">
        <f t="shared" si="164"/>
        <v>10</v>
      </c>
      <c r="AH80" s="128">
        <f t="shared" si="165"/>
        <v>100</v>
      </c>
      <c r="AI80" s="128" t="str">
        <f t="shared" si="166"/>
        <v>Fuerte</v>
      </c>
      <c r="AJ80" s="139" t="s">
        <v>154</v>
      </c>
      <c r="AK80" s="128" t="str">
        <f t="shared" si="167"/>
        <v>Fuerte</v>
      </c>
      <c r="AL80" s="128" t="str">
        <f t="shared" si="168"/>
        <v>FuerteFuerte</v>
      </c>
      <c r="AM80" s="128" t="str">
        <f>IFERROR(VLOOKUP(AL80,FORMULAS!$B$69:$D$77,3,FALSE),"")</f>
        <v>Fuerte</v>
      </c>
      <c r="AN80" s="128">
        <f t="shared" si="169"/>
        <v>100</v>
      </c>
      <c r="AO80" s="128" t="str">
        <f>IFERROR(VLOOKUP(AL80,FORMULAS!$B$69:$C$77,2,FALSE),"")</f>
        <v>No</v>
      </c>
      <c r="AP80" s="271"/>
      <c r="AQ80" s="271"/>
      <c r="AR80" s="304"/>
      <c r="AS80" s="304"/>
      <c r="AT80" s="271"/>
      <c r="AU80" s="271"/>
      <c r="AV80" s="271"/>
      <c r="AW80" s="297"/>
      <c r="AX80" s="297"/>
      <c r="AY80" s="254"/>
      <c r="AZ80" s="316"/>
      <c r="BA80" s="317"/>
      <c r="BB80" s="283"/>
      <c r="BC80" s="283"/>
      <c r="BD80" s="283"/>
      <c r="BE80" s="286"/>
      <c r="BF80" s="286"/>
      <c r="BG80" s="283"/>
      <c r="BH80" s="283"/>
      <c r="BI80" s="283"/>
      <c r="BJ80" s="319"/>
    </row>
    <row r="81" spans="1:62" ht="84.75" thickBot="1" x14ac:dyDescent="0.3">
      <c r="A81" s="293"/>
      <c r="B81" s="359"/>
      <c r="C81" s="368"/>
      <c r="D81" s="452"/>
      <c r="E81" s="384"/>
      <c r="F81" s="368"/>
      <c r="G81" s="368"/>
      <c r="H81" s="366"/>
      <c r="I81" s="367"/>
      <c r="J81" s="367"/>
      <c r="K81" s="137" t="s">
        <v>569</v>
      </c>
      <c r="L81" s="315"/>
      <c r="M81" s="355"/>
      <c r="N81" s="368"/>
      <c r="O81" s="368"/>
      <c r="P81" s="355"/>
      <c r="Q81" s="369"/>
      <c r="R81" s="378" t="s">
        <v>570</v>
      </c>
      <c r="S81" s="378"/>
      <c r="T81" s="122" t="s">
        <v>147</v>
      </c>
      <c r="U81" s="69">
        <f t="shared" si="176"/>
        <v>15</v>
      </c>
      <c r="V81" s="122" t="s">
        <v>148</v>
      </c>
      <c r="W81" s="69">
        <f t="shared" si="177"/>
        <v>15</v>
      </c>
      <c r="X81" s="122" t="s">
        <v>149</v>
      </c>
      <c r="Y81" s="69">
        <f t="shared" si="178"/>
        <v>15</v>
      </c>
      <c r="Z81" s="122" t="s">
        <v>150</v>
      </c>
      <c r="AA81" s="69">
        <f t="shared" si="179"/>
        <v>15</v>
      </c>
      <c r="AB81" s="122" t="s">
        <v>151</v>
      </c>
      <c r="AC81" s="69">
        <f t="shared" si="180"/>
        <v>15</v>
      </c>
      <c r="AD81" s="122" t="s">
        <v>152</v>
      </c>
      <c r="AE81" s="69">
        <f t="shared" si="181"/>
        <v>15</v>
      </c>
      <c r="AF81" s="122" t="s">
        <v>153</v>
      </c>
      <c r="AG81" s="124">
        <f t="shared" si="164"/>
        <v>10</v>
      </c>
      <c r="AH81" s="129">
        <f t="shared" si="165"/>
        <v>100</v>
      </c>
      <c r="AI81" s="129" t="str">
        <f t="shared" si="166"/>
        <v>Fuerte</v>
      </c>
      <c r="AJ81" s="120" t="s">
        <v>154</v>
      </c>
      <c r="AK81" s="129" t="str">
        <f t="shared" si="167"/>
        <v>Fuerte</v>
      </c>
      <c r="AL81" s="129" t="str">
        <f t="shared" si="168"/>
        <v>FuerteFuerte</v>
      </c>
      <c r="AM81" s="129" t="str">
        <f>IFERROR(VLOOKUP(AL81,FORMULAS!$B$69:$D$77,3,FALSE),"")</f>
        <v>Fuerte</v>
      </c>
      <c r="AN81" s="129">
        <f t="shared" si="169"/>
        <v>100</v>
      </c>
      <c r="AO81" s="159" t="str">
        <f>IFERROR(VLOOKUP(AL81,FORMULAS!$B$69:$C$77,2,FALSE),"")</f>
        <v>No</v>
      </c>
      <c r="AP81" s="307"/>
      <c r="AQ81" s="307"/>
      <c r="AR81" s="305"/>
      <c r="AS81" s="305"/>
      <c r="AT81" s="307"/>
      <c r="AU81" s="307"/>
      <c r="AV81" s="307"/>
      <c r="AW81" s="368"/>
      <c r="AX81" s="368"/>
      <c r="AY81" s="355"/>
      <c r="AZ81" s="357"/>
      <c r="BA81" s="369"/>
      <c r="BB81" s="284"/>
      <c r="BC81" s="284"/>
      <c r="BD81" s="284"/>
      <c r="BE81" s="287"/>
      <c r="BF81" s="287"/>
      <c r="BG81" s="284"/>
      <c r="BH81" s="284"/>
      <c r="BI81" s="284"/>
      <c r="BJ81" s="320"/>
    </row>
    <row r="82" spans="1:62" s="59" customFormat="1" ht="231" customHeight="1" x14ac:dyDescent="0.25">
      <c r="A82" s="294"/>
      <c r="B82" s="358" t="s">
        <v>68</v>
      </c>
      <c r="C82" s="297">
        <v>28</v>
      </c>
      <c r="D82" s="612" t="s">
        <v>571</v>
      </c>
      <c r="E82" s="612" t="s">
        <v>572</v>
      </c>
      <c r="F82" s="630" t="s">
        <v>11</v>
      </c>
      <c r="G82" s="630" t="s">
        <v>32</v>
      </c>
      <c r="H82" s="631" t="s">
        <v>218</v>
      </c>
      <c r="I82" s="299" t="s">
        <v>46</v>
      </c>
      <c r="J82" s="299"/>
      <c r="K82" s="632" t="s">
        <v>573</v>
      </c>
      <c r="L82" s="633" t="s">
        <v>574</v>
      </c>
      <c r="M82" s="634" t="str">
        <f>IF(F82="gestion","impacto",IF(F82="corrupcion","impactocorrupcion",IF(F82="seguridad_de_la_informacion","impacto","")))</f>
        <v>impacto</v>
      </c>
      <c r="N82" s="630" t="s">
        <v>15</v>
      </c>
      <c r="O82" s="630" t="s">
        <v>17</v>
      </c>
      <c r="P82" s="634" t="str">
        <f>N82&amp;O82</f>
        <v>Rara vezModerado</v>
      </c>
      <c r="Q82" s="635" t="str">
        <f>IFERROR(VLOOKUP(P82,[14]FORMULAS!$B$38:$C$62,2,FALSE),"")</f>
        <v>Riesgo moderado</v>
      </c>
      <c r="R82" s="454" t="s">
        <v>1342</v>
      </c>
      <c r="S82" s="454"/>
      <c r="T82" s="636" t="s">
        <v>147</v>
      </c>
      <c r="U82" s="614">
        <f>IF(T82="Asignado",15,0)</f>
        <v>15</v>
      </c>
      <c r="V82" s="636" t="s">
        <v>148</v>
      </c>
      <c r="W82" s="614">
        <f>IF(V82="Adecuado",15,0)</f>
        <v>15</v>
      </c>
      <c r="X82" s="636" t="s">
        <v>149</v>
      </c>
      <c r="Y82" s="614">
        <f>IF(X82="Oportuna",15,0)</f>
        <v>15</v>
      </c>
      <c r="Z82" s="636" t="s">
        <v>150</v>
      </c>
      <c r="AA82" s="614">
        <f>IF(Z82="Prevenir",15,IF(Z82="Detectar",10,0))</f>
        <v>15</v>
      </c>
      <c r="AB82" s="636" t="s">
        <v>151</v>
      </c>
      <c r="AC82" s="614">
        <f>IF(AB82="Confiable",15,0)</f>
        <v>15</v>
      </c>
      <c r="AD82" s="636" t="s">
        <v>152</v>
      </c>
      <c r="AE82" s="614">
        <f>IF(AD82="Se investigan y resuelven oportunamente",15,0)</f>
        <v>15</v>
      </c>
      <c r="AF82" s="636" t="s">
        <v>153</v>
      </c>
      <c r="AG82" s="614">
        <f>IF(AF82="Completa",10,IF(AF82="incompleta",5,0))</f>
        <v>10</v>
      </c>
      <c r="AH82" s="235">
        <f t="shared" si="165"/>
        <v>100</v>
      </c>
      <c r="AI82" s="235" t="str">
        <f t="shared" si="166"/>
        <v>Fuerte</v>
      </c>
      <c r="AJ82" s="237" t="s">
        <v>154</v>
      </c>
      <c r="AK82" s="235" t="str">
        <f>IF(AJ82="Siempre se ejecuta","Fuerte",IF(AJ82="Algunas veces","Moderado",IF(AJ82="no se ejecuta","Débil","")))</f>
        <v>Fuerte</v>
      </c>
      <c r="AL82" s="235" t="str">
        <f>AI82&amp;AK82</f>
        <v>FuerteFuerte</v>
      </c>
      <c r="AM82" s="235" t="str">
        <f>IFERROR(VLOOKUP(AL82,[14]FORMULAS!$B$70:$D$78,3,FALSE),"")</f>
        <v>Fuerte</v>
      </c>
      <c r="AN82" s="235">
        <f>IF(AM82="fuerte",100,IF(AM82="Moderado",50,IF(AM82="débil",0,"")))</f>
        <v>100</v>
      </c>
      <c r="AO82" s="271">
        <f>IFERROR(AVERAGE(AN82:AN83),0)</f>
        <v>100</v>
      </c>
      <c r="AP82" s="271" t="str">
        <f>IF(AO82&gt;=100,"Fuerte",IF(AO82&gt;=50,"Moderado",IF(AO82&gt;=1,"Débil","")))</f>
        <v>Fuerte</v>
      </c>
      <c r="AQ82" s="304" t="s">
        <v>92</v>
      </c>
      <c r="AR82" s="304" t="s">
        <v>94</v>
      </c>
      <c r="AS82" s="271" t="str">
        <f>+AP82&amp;AQ82&amp;AR82</f>
        <v>FuerteDirectamenteIndirectamente</v>
      </c>
      <c r="AT82" s="271">
        <f>IFERROR(VLOOKUP(AS82,[14]FORMULAS!$B$95:$D$102,2,FALSE),0)</f>
        <v>2</v>
      </c>
      <c r="AU82" s="271">
        <f>IFERROR(VLOOKUP(AS82,[14]FORMULAS!$B$95:$D$102,3,FALSE),0)</f>
        <v>1</v>
      </c>
      <c r="AV82" s="271">
        <f>IFERROR(VLOOKUP(AT82,[14]FORMULAS!$B$95:$D$102,3,FALSE),0)</f>
        <v>0</v>
      </c>
      <c r="AW82" s="630" t="s">
        <v>15</v>
      </c>
      <c r="AX82" s="630" t="s">
        <v>28</v>
      </c>
      <c r="AY82" s="634" t="str">
        <f>AW82&amp;AX82</f>
        <v>Rara vezMenor</v>
      </c>
      <c r="AZ82" s="637" t="str">
        <f>IFERROR(VLOOKUP(AY82,[14]FORMULAS!$B$38:$C$62,2,FALSE),"")</f>
        <v>Riesgo bajo</v>
      </c>
      <c r="BA82" s="635" t="s">
        <v>19</v>
      </c>
      <c r="BB82" s="100" t="s">
        <v>1343</v>
      </c>
      <c r="BC82" s="638" t="s">
        <v>575</v>
      </c>
      <c r="BD82" s="639" t="s">
        <v>576</v>
      </c>
      <c r="BE82" s="639" t="s">
        <v>577</v>
      </c>
      <c r="BF82" s="192" t="s">
        <v>578</v>
      </c>
      <c r="BG82" s="638" t="s">
        <v>579</v>
      </c>
      <c r="BH82" s="638" t="s">
        <v>580</v>
      </c>
      <c r="BI82" s="639" t="s">
        <v>581</v>
      </c>
      <c r="BJ82" s="638" t="s">
        <v>505</v>
      </c>
    </row>
    <row r="83" spans="1:62" s="59" customFormat="1" ht="190.5" customHeight="1" x14ac:dyDescent="0.25">
      <c r="A83" s="295"/>
      <c r="B83" s="359"/>
      <c r="C83" s="297"/>
      <c r="D83" s="640"/>
      <c r="E83" s="640"/>
      <c r="F83" s="630"/>
      <c r="G83" s="630"/>
      <c r="H83" s="631"/>
      <c r="I83" s="299"/>
      <c r="J83" s="299"/>
      <c r="K83" s="231" t="s">
        <v>582</v>
      </c>
      <c r="L83" s="641"/>
      <c r="M83" s="634"/>
      <c r="N83" s="630"/>
      <c r="O83" s="630"/>
      <c r="P83" s="634"/>
      <c r="Q83" s="635"/>
      <c r="R83" s="454" t="s">
        <v>583</v>
      </c>
      <c r="S83" s="454"/>
      <c r="T83" s="636" t="s">
        <v>147</v>
      </c>
      <c r="U83" s="614">
        <f t="shared" ref="U83" si="182">IF(T83="Asignado",15,0)</f>
        <v>15</v>
      </c>
      <c r="V83" s="636" t="s">
        <v>148</v>
      </c>
      <c r="W83" s="614">
        <f t="shared" ref="W83" si="183">IF(V83="Adecuado",15,0)</f>
        <v>15</v>
      </c>
      <c r="X83" s="636" t="s">
        <v>149</v>
      </c>
      <c r="Y83" s="614">
        <f t="shared" ref="Y83" si="184">IF(X83="Oportuna",15,0)</f>
        <v>15</v>
      </c>
      <c r="Z83" s="636" t="s">
        <v>150</v>
      </c>
      <c r="AA83" s="614">
        <f t="shared" ref="AA83" si="185">IF(Z83="Prevenir",15,IF(Z83="Detectar",10,0))</f>
        <v>15</v>
      </c>
      <c r="AB83" s="636" t="s">
        <v>151</v>
      </c>
      <c r="AC83" s="614">
        <f t="shared" ref="AC83" si="186">IF(AB83="Confiable",15,0)</f>
        <v>15</v>
      </c>
      <c r="AD83" s="636" t="s">
        <v>152</v>
      </c>
      <c r="AE83" s="614">
        <f t="shared" ref="AE83" si="187">IF(AD83="Se investigan y resuelven oportunamente",15,0)</f>
        <v>15</v>
      </c>
      <c r="AF83" s="636" t="s">
        <v>153</v>
      </c>
      <c r="AG83" s="614">
        <f t="shared" ref="AG83" si="188">IF(AF83="Completa",10,IF(AF83="incompleta",5,0))</f>
        <v>10</v>
      </c>
      <c r="AH83" s="235">
        <f t="shared" si="165"/>
        <v>100</v>
      </c>
      <c r="AI83" s="235" t="str">
        <f t="shared" si="166"/>
        <v>Fuerte</v>
      </c>
      <c r="AJ83" s="237" t="s">
        <v>154</v>
      </c>
      <c r="AK83" s="235" t="str">
        <f t="shared" ref="AK83" si="189">IF(AJ83="Siempre se ejecuta","Fuerte",IF(AJ83="Algunas veces","Moderado",IF(AJ83="no se ejecuta","Débil","")))</f>
        <v>Fuerte</v>
      </c>
      <c r="AL83" s="235" t="str">
        <f t="shared" ref="AL83" si="190">AI83&amp;AK83</f>
        <v>FuerteFuerte</v>
      </c>
      <c r="AM83" s="235" t="str">
        <f>IFERROR(VLOOKUP(AL83,[14]FORMULAS!$B$70:$D$78,3,FALSE),"")</f>
        <v>Fuerte</v>
      </c>
      <c r="AN83" s="235">
        <f t="shared" ref="AN83" si="191">IF(AM83="fuerte",100,IF(AM83="Moderado",50,IF(AM83="débil",0,"")))</f>
        <v>100</v>
      </c>
      <c r="AO83" s="271"/>
      <c r="AP83" s="271"/>
      <c r="AQ83" s="304"/>
      <c r="AR83" s="304"/>
      <c r="AS83" s="271"/>
      <c r="AT83" s="271"/>
      <c r="AU83" s="271"/>
      <c r="AV83" s="271"/>
      <c r="AW83" s="630"/>
      <c r="AX83" s="630"/>
      <c r="AY83" s="634"/>
      <c r="AZ83" s="637"/>
      <c r="BA83" s="635"/>
      <c r="BB83" s="100" t="s">
        <v>1344</v>
      </c>
      <c r="BC83" s="638" t="s">
        <v>584</v>
      </c>
      <c r="BD83" s="639" t="s">
        <v>576</v>
      </c>
      <c r="BE83" s="639" t="s">
        <v>577</v>
      </c>
      <c r="BF83" s="192" t="s">
        <v>585</v>
      </c>
      <c r="BG83" s="638" t="s">
        <v>579</v>
      </c>
      <c r="BH83" s="638" t="s">
        <v>580</v>
      </c>
      <c r="BI83" s="639" t="s">
        <v>581</v>
      </c>
      <c r="BJ83" s="638" t="s">
        <v>505</v>
      </c>
    </row>
    <row r="84" spans="1:62" s="59" customFormat="1" ht="183.75" customHeight="1" x14ac:dyDescent="0.25">
      <c r="A84" s="295"/>
      <c r="B84" s="358" t="s">
        <v>68</v>
      </c>
      <c r="C84" s="297">
        <v>29</v>
      </c>
      <c r="D84" s="642" t="s">
        <v>586</v>
      </c>
      <c r="E84" s="642" t="s">
        <v>587</v>
      </c>
      <c r="F84" s="630" t="s">
        <v>11</v>
      </c>
      <c r="G84" s="630" t="s">
        <v>45</v>
      </c>
      <c r="H84" s="631" t="s">
        <v>218</v>
      </c>
      <c r="I84" s="299"/>
      <c r="J84" s="299"/>
      <c r="K84" s="643" t="s">
        <v>588</v>
      </c>
      <c r="L84" s="633" t="s">
        <v>589</v>
      </c>
      <c r="M84" s="634" t="str">
        <f t="shared" ref="M84" si="192">IF(F84="gestion","impacto",IF(F84="corrupcion","impactocorrupcion",IF(F84="seguridad_de_la_informacion","impacto","")))</f>
        <v>impacto</v>
      </c>
      <c r="N84" s="630" t="s">
        <v>35</v>
      </c>
      <c r="O84" s="630" t="s">
        <v>17</v>
      </c>
      <c r="P84" s="634" t="str">
        <f t="shared" ref="P84" si="193">N84&amp;O84</f>
        <v>PosibleModerado</v>
      </c>
      <c r="Q84" s="635" t="str">
        <f>IFERROR(VLOOKUP(P84,[14]FORMULAS!$B$38:$C$62,2,FALSE),"")</f>
        <v>Riesgo alto</v>
      </c>
      <c r="R84" s="646" t="s">
        <v>1345</v>
      </c>
      <c r="S84" s="646"/>
      <c r="T84" s="636" t="s">
        <v>147</v>
      </c>
      <c r="U84" s="614">
        <f>IF(T84="Asignado",15,0)</f>
        <v>15</v>
      </c>
      <c r="V84" s="636" t="s">
        <v>148</v>
      </c>
      <c r="W84" s="614">
        <f>IF(V84="Adecuado",15,0)</f>
        <v>15</v>
      </c>
      <c r="X84" s="636" t="s">
        <v>149</v>
      </c>
      <c r="Y84" s="614">
        <f>IF(X84="Oportuna",15,0)</f>
        <v>15</v>
      </c>
      <c r="Z84" s="636" t="s">
        <v>150</v>
      </c>
      <c r="AA84" s="614">
        <f>IF(Z84="Prevenir",15,IF(Z84="Detectar",10,0))</f>
        <v>15</v>
      </c>
      <c r="AB84" s="636" t="s">
        <v>151</v>
      </c>
      <c r="AC84" s="614">
        <f>IF(AB84="Confiable",15,0)</f>
        <v>15</v>
      </c>
      <c r="AD84" s="636" t="s">
        <v>152</v>
      </c>
      <c r="AE84" s="614">
        <f>IF(AD84="Se investigan y resuelven oportunamente",15,0)</f>
        <v>15</v>
      </c>
      <c r="AF84" s="636" t="s">
        <v>153</v>
      </c>
      <c r="AG84" s="614">
        <f>IF(AF84="Completa",10,IF(AF84="incompleta",5,0))</f>
        <v>10</v>
      </c>
      <c r="AH84" s="235">
        <f t="shared" si="165"/>
        <v>100</v>
      </c>
      <c r="AI84" s="235" t="str">
        <f t="shared" si="166"/>
        <v>Fuerte</v>
      </c>
      <c r="AJ84" s="237" t="s">
        <v>250</v>
      </c>
      <c r="AK84" s="235" t="str">
        <f>IF(AJ84="Siempre se ejecuta","Fuerte",IF(AJ84="Algunas veces","Moderado",IF(AJ84="no se ejecuta","Débil","")))</f>
        <v>Moderado</v>
      </c>
      <c r="AL84" s="235" t="str">
        <f>AI84&amp;AK84</f>
        <v>FuerteModerado</v>
      </c>
      <c r="AM84" s="235" t="str">
        <f>IFERROR(VLOOKUP(AL84,[14]FORMULAS!$B$70:$D$78,3,FALSE),"")</f>
        <v>Moderado</v>
      </c>
      <c r="AN84" s="235">
        <f>IF(AM84="fuerte",100,IF(AM84="Moderado",50,IF(AM84="débil",0,"")))</f>
        <v>50</v>
      </c>
      <c r="AO84" s="271">
        <f>IFERROR(AVERAGE(AN84:AN85),0)</f>
        <v>50</v>
      </c>
      <c r="AP84" s="271" t="str">
        <f>IF(AO84&gt;=100,"Fuerte",IF(AO84&gt;=50,"Moderado",IF(AO84&gt;=1,"Débil","")))</f>
        <v>Moderado</v>
      </c>
      <c r="AQ84" s="304" t="s">
        <v>92</v>
      </c>
      <c r="AR84" s="304" t="s">
        <v>92</v>
      </c>
      <c r="AS84" s="271" t="str">
        <f>+AP84&amp;AQ84&amp;AR84</f>
        <v>ModeradoDirectamenteDirectamente</v>
      </c>
      <c r="AT84" s="271">
        <f>IFERROR(VLOOKUP(AS84,[14]FORMULAS!$B$95:$D$102,2,FALSE),0)</f>
        <v>1</v>
      </c>
      <c r="AU84" s="271">
        <f>IFERROR(VLOOKUP(AS84,[14]FORMULAS!$B$95:$D$102,3,FALSE),0)</f>
        <v>1</v>
      </c>
      <c r="AV84" s="271">
        <f>IFERROR(VLOOKUP(AT84,[14]FORMULAS!$B$95:$D$102,3,FALSE),0)</f>
        <v>0</v>
      </c>
      <c r="AW84" s="630" t="s">
        <v>25</v>
      </c>
      <c r="AX84" s="630" t="s">
        <v>28</v>
      </c>
      <c r="AY84" s="634" t="str">
        <f>AW84&amp;AX84</f>
        <v>ImprobableMenor</v>
      </c>
      <c r="AZ84" s="637" t="str">
        <f>IFERROR(VLOOKUP(AY84,[14]FORMULAS!$B$38:$C$62,2,FALSE),"")</f>
        <v>Riesgo bajo</v>
      </c>
      <c r="BA84" s="635" t="s">
        <v>19</v>
      </c>
      <c r="BB84" s="638" t="s">
        <v>1346</v>
      </c>
      <c r="BC84" s="638" t="s">
        <v>590</v>
      </c>
      <c r="BD84" s="638" t="s">
        <v>1347</v>
      </c>
      <c r="BE84" s="639" t="s">
        <v>591</v>
      </c>
      <c r="BF84" s="639" t="s">
        <v>592</v>
      </c>
      <c r="BG84" s="638" t="s">
        <v>593</v>
      </c>
      <c r="BH84" s="638" t="s">
        <v>594</v>
      </c>
      <c r="BI84" s="638" t="s">
        <v>1347</v>
      </c>
      <c r="BJ84" s="639" t="s">
        <v>505</v>
      </c>
    </row>
    <row r="85" spans="1:62" s="59" customFormat="1" ht="164.25" customHeight="1" x14ac:dyDescent="0.25">
      <c r="A85" s="295"/>
      <c r="B85" s="359"/>
      <c r="C85" s="297"/>
      <c r="D85" s="642"/>
      <c r="E85" s="642"/>
      <c r="F85" s="630"/>
      <c r="G85" s="630"/>
      <c r="H85" s="631"/>
      <c r="I85" s="299"/>
      <c r="J85" s="299"/>
      <c r="K85" s="232" t="s">
        <v>595</v>
      </c>
      <c r="L85" s="641"/>
      <c r="M85" s="634"/>
      <c r="N85" s="630"/>
      <c r="O85" s="630"/>
      <c r="P85" s="634"/>
      <c r="Q85" s="635"/>
      <c r="R85" s="646" t="s">
        <v>1348</v>
      </c>
      <c r="S85" s="646"/>
      <c r="T85" s="636" t="s">
        <v>147</v>
      </c>
      <c r="U85" s="614">
        <f t="shared" ref="U85" si="194">IF(T85="Asignado",15,0)</f>
        <v>15</v>
      </c>
      <c r="V85" s="636" t="s">
        <v>148</v>
      </c>
      <c r="W85" s="614">
        <f t="shared" ref="W85" si="195">IF(V85="Adecuado",15,0)</f>
        <v>15</v>
      </c>
      <c r="X85" s="636" t="s">
        <v>149</v>
      </c>
      <c r="Y85" s="614">
        <f t="shared" ref="Y85" si="196">IF(X85="Oportuna",15,0)</f>
        <v>15</v>
      </c>
      <c r="Z85" s="636" t="s">
        <v>150</v>
      </c>
      <c r="AA85" s="614">
        <f t="shared" ref="AA85" si="197">IF(Z85="Prevenir",15,IF(Z85="Detectar",10,0))</f>
        <v>15</v>
      </c>
      <c r="AB85" s="636" t="s">
        <v>151</v>
      </c>
      <c r="AC85" s="614">
        <f t="shared" ref="AC85" si="198">IF(AB85="Confiable",15,0)</f>
        <v>15</v>
      </c>
      <c r="AD85" s="636" t="s">
        <v>152</v>
      </c>
      <c r="AE85" s="614">
        <f t="shared" ref="AE85" si="199">IF(AD85="Se investigan y resuelven oportunamente",15,0)</f>
        <v>15</v>
      </c>
      <c r="AF85" s="636" t="s">
        <v>153</v>
      </c>
      <c r="AG85" s="614">
        <f t="shared" ref="AG85" si="200">IF(AF85="Completa",10,IF(AF85="incompleta",5,0))</f>
        <v>10</v>
      </c>
      <c r="AH85" s="235">
        <f t="shared" si="165"/>
        <v>100</v>
      </c>
      <c r="AI85" s="235" t="str">
        <f t="shared" si="166"/>
        <v>Fuerte</v>
      </c>
      <c r="AJ85" s="237" t="s">
        <v>250</v>
      </c>
      <c r="AK85" s="235" t="str">
        <f t="shared" ref="AK85" si="201">IF(AJ85="Siempre se ejecuta","Fuerte",IF(AJ85="Algunas veces","Moderado",IF(AJ85="no se ejecuta","Débil","")))</f>
        <v>Moderado</v>
      </c>
      <c r="AL85" s="235" t="str">
        <f t="shared" ref="AL85" si="202">AI85&amp;AK85</f>
        <v>FuerteModerado</v>
      </c>
      <c r="AM85" s="235" t="str">
        <f>IFERROR(VLOOKUP(AL85,[14]FORMULAS!$B$70:$D$78,3,FALSE),"")</f>
        <v>Moderado</v>
      </c>
      <c r="AN85" s="235">
        <f t="shared" ref="AN85" si="203">IF(AM85="fuerte",100,IF(AM85="Moderado",50,IF(AM85="débil",0,"")))</f>
        <v>50</v>
      </c>
      <c r="AO85" s="271"/>
      <c r="AP85" s="271"/>
      <c r="AQ85" s="304"/>
      <c r="AR85" s="304"/>
      <c r="AS85" s="271"/>
      <c r="AT85" s="271"/>
      <c r="AU85" s="271"/>
      <c r="AV85" s="271"/>
      <c r="AW85" s="630"/>
      <c r="AX85" s="630"/>
      <c r="AY85" s="634"/>
      <c r="AZ85" s="637"/>
      <c r="BA85" s="635"/>
      <c r="BB85" s="638" t="s">
        <v>1349</v>
      </c>
      <c r="BC85" s="638" t="s">
        <v>596</v>
      </c>
      <c r="BD85" s="638" t="s">
        <v>1347</v>
      </c>
      <c r="BE85" s="639" t="s">
        <v>591</v>
      </c>
      <c r="BF85" s="639" t="s">
        <v>597</v>
      </c>
      <c r="BG85" s="638" t="s">
        <v>598</v>
      </c>
      <c r="BH85" s="638" t="s">
        <v>590</v>
      </c>
      <c r="BI85" s="638" t="s">
        <v>1347</v>
      </c>
      <c r="BJ85" s="639" t="s">
        <v>505</v>
      </c>
    </row>
    <row r="86" spans="1:62" s="59" customFormat="1" ht="162.75" customHeight="1" x14ac:dyDescent="0.25">
      <c r="A86" s="295"/>
      <c r="B86" s="358" t="s">
        <v>68</v>
      </c>
      <c r="C86" s="297">
        <v>30</v>
      </c>
      <c r="D86" s="631" t="s">
        <v>599</v>
      </c>
      <c r="E86" s="631" t="s">
        <v>600</v>
      </c>
      <c r="F86" s="630" t="s">
        <v>11</v>
      </c>
      <c r="G86" s="630" t="s">
        <v>45</v>
      </c>
      <c r="H86" s="631" t="s">
        <v>218</v>
      </c>
      <c r="I86" s="299"/>
      <c r="J86" s="299"/>
      <c r="K86" s="643" t="s">
        <v>601</v>
      </c>
      <c r="L86" s="633" t="s">
        <v>602</v>
      </c>
      <c r="M86" s="634" t="str">
        <f t="shared" ref="M86" si="204">IF(F86="gestion","impacto",IF(F86="corrupcion","impactocorrupcion",IF(F86="seguridad_de_la_informacion","impacto","")))</f>
        <v>impacto</v>
      </c>
      <c r="N86" s="630" t="s">
        <v>25</v>
      </c>
      <c r="O86" s="630" t="s">
        <v>28</v>
      </c>
      <c r="P86" s="634" t="str">
        <f t="shared" ref="P86" si="205">N86&amp;O86</f>
        <v>ImprobableMenor</v>
      </c>
      <c r="Q86" s="635" t="str">
        <f>IFERROR(VLOOKUP(P86,[14]FORMULAS!$B$38:$C$62,2,FALSE),"")</f>
        <v>Riesgo bajo</v>
      </c>
      <c r="R86" s="644" t="s">
        <v>603</v>
      </c>
      <c r="S86" s="644"/>
      <c r="T86" s="636" t="s">
        <v>147</v>
      </c>
      <c r="U86" s="614">
        <f>IF(T86="Asignado",15,0)</f>
        <v>15</v>
      </c>
      <c r="V86" s="636" t="s">
        <v>148</v>
      </c>
      <c r="W86" s="614">
        <f>IF(V86="Adecuado",15,0)</f>
        <v>15</v>
      </c>
      <c r="X86" s="636" t="s">
        <v>149</v>
      </c>
      <c r="Y86" s="614">
        <f>IF(X86="Oportuna",15,0)</f>
        <v>15</v>
      </c>
      <c r="Z86" s="636" t="s">
        <v>150</v>
      </c>
      <c r="AA86" s="614">
        <f>IF(Z86="Prevenir",15,IF(Z86="Detectar",10,0))</f>
        <v>15</v>
      </c>
      <c r="AB86" s="636" t="s">
        <v>151</v>
      </c>
      <c r="AC86" s="614">
        <f>IF(AB86="Confiable",15,0)</f>
        <v>15</v>
      </c>
      <c r="AD86" s="636" t="s">
        <v>152</v>
      </c>
      <c r="AE86" s="614">
        <f>IF(AD86="Se investigan y resuelven oportunamente",15,0)</f>
        <v>15</v>
      </c>
      <c r="AF86" s="636" t="s">
        <v>153</v>
      </c>
      <c r="AG86" s="614">
        <f>IF(AF86="Completa",10,IF(AF86="incompleta",5,0))</f>
        <v>10</v>
      </c>
      <c r="AH86" s="235">
        <f t="shared" si="165"/>
        <v>100</v>
      </c>
      <c r="AI86" s="235" t="str">
        <f t="shared" si="166"/>
        <v>Fuerte</v>
      </c>
      <c r="AJ86" s="237" t="s">
        <v>154</v>
      </c>
      <c r="AK86" s="235" t="str">
        <f>IF(AJ86="Siempre se ejecuta","Fuerte",IF(AJ86="Algunas veces","Moderado",IF(AJ86="no se ejecuta","Débil","")))</f>
        <v>Fuerte</v>
      </c>
      <c r="AL86" s="235" t="str">
        <f>AI86&amp;AK86</f>
        <v>FuerteFuerte</v>
      </c>
      <c r="AM86" s="235" t="str">
        <f>IFERROR(VLOOKUP(AL86,[14]FORMULAS!$B$70:$D$78,3,FALSE),"")</f>
        <v>Fuerte</v>
      </c>
      <c r="AN86" s="235">
        <f>IF(AM86="fuerte",100,IF(AM86="Moderado",50,IF(AM86="débil",0,"")))</f>
        <v>100</v>
      </c>
      <c r="AO86" s="271">
        <f>IFERROR(AVERAGE(AN86:AN87),0)</f>
        <v>100</v>
      </c>
      <c r="AP86" s="271" t="str">
        <f>IF(AO86&gt;=100,"Fuerte",IF(AO86&gt;=50,"Moderado",IF(AO86&gt;=1,"Débil","")))</f>
        <v>Fuerte</v>
      </c>
      <c r="AQ86" s="304" t="s">
        <v>92</v>
      </c>
      <c r="AR86" s="304" t="s">
        <v>94</v>
      </c>
      <c r="AS86" s="271" t="str">
        <f>+AP86&amp;AQ86&amp;AR86</f>
        <v>FuerteDirectamenteIndirectamente</v>
      </c>
      <c r="AT86" s="271">
        <f>IFERROR(VLOOKUP(AS86,[14]FORMULAS!$B$95:$D$102,2,FALSE),0)</f>
        <v>2</v>
      </c>
      <c r="AU86" s="271">
        <f>IFERROR(VLOOKUP(AS86,[14]FORMULAS!$B$95:$D$102,3,FALSE),0)</f>
        <v>1</v>
      </c>
      <c r="AV86" s="271">
        <f>IFERROR(VLOOKUP(AT86,[14]FORMULAS!$B$95:$D$102,3,FALSE),0)</f>
        <v>0</v>
      </c>
      <c r="AW86" s="630" t="s">
        <v>15</v>
      </c>
      <c r="AX86" s="630" t="s">
        <v>18</v>
      </c>
      <c r="AY86" s="634" t="str">
        <f>AW86&amp;AX86</f>
        <v>Rara vezInsignificante</v>
      </c>
      <c r="AZ86" s="637" t="str">
        <f>IFERROR(VLOOKUP(AY86,[14]FORMULAS!$B$38:$C$62,2,FALSE),"")</f>
        <v>Riesgo bajo</v>
      </c>
      <c r="BA86" s="635" t="s">
        <v>19</v>
      </c>
      <c r="BB86" s="638" t="s">
        <v>1350</v>
      </c>
      <c r="BC86" s="638" t="s">
        <v>604</v>
      </c>
      <c r="BD86" s="638" t="s">
        <v>605</v>
      </c>
      <c r="BE86" s="639" t="s">
        <v>612</v>
      </c>
      <c r="BF86" s="639" t="s">
        <v>606</v>
      </c>
      <c r="BG86" s="638" t="s">
        <v>607</v>
      </c>
      <c r="BH86" s="638" t="s">
        <v>590</v>
      </c>
      <c r="BI86" s="638" t="s">
        <v>605</v>
      </c>
      <c r="BJ86" s="639" t="s">
        <v>608</v>
      </c>
    </row>
    <row r="87" spans="1:62" s="59" customFormat="1" ht="156" customHeight="1" thickBot="1" x14ac:dyDescent="0.3">
      <c r="A87" s="466"/>
      <c r="B87" s="359"/>
      <c r="C87" s="297"/>
      <c r="D87" s="631"/>
      <c r="E87" s="631"/>
      <c r="F87" s="630"/>
      <c r="G87" s="630"/>
      <c r="H87" s="631"/>
      <c r="I87" s="299"/>
      <c r="J87" s="299"/>
      <c r="K87" s="232" t="s">
        <v>609</v>
      </c>
      <c r="L87" s="641"/>
      <c r="M87" s="634"/>
      <c r="N87" s="630"/>
      <c r="O87" s="630"/>
      <c r="P87" s="634"/>
      <c r="Q87" s="635"/>
      <c r="R87" s="645" t="s">
        <v>1351</v>
      </c>
      <c r="S87" s="645"/>
      <c r="T87" s="636" t="s">
        <v>147</v>
      </c>
      <c r="U87" s="614">
        <f t="shared" ref="U87" si="206">IF(T87="Asignado",15,0)</f>
        <v>15</v>
      </c>
      <c r="V87" s="636" t="s">
        <v>148</v>
      </c>
      <c r="W87" s="614">
        <f t="shared" ref="W87" si="207">IF(V87="Adecuado",15,0)</f>
        <v>15</v>
      </c>
      <c r="X87" s="636" t="s">
        <v>149</v>
      </c>
      <c r="Y87" s="614">
        <f t="shared" ref="Y87" si="208">IF(X87="Oportuna",15,0)</f>
        <v>15</v>
      </c>
      <c r="Z87" s="636" t="s">
        <v>150</v>
      </c>
      <c r="AA87" s="614">
        <f t="shared" ref="AA87" si="209">IF(Z87="Prevenir",15,IF(Z87="Detectar",10,0))</f>
        <v>15</v>
      </c>
      <c r="AB87" s="636" t="s">
        <v>151</v>
      </c>
      <c r="AC87" s="614">
        <f t="shared" ref="AC87" si="210">IF(AB87="Confiable",15,0)</f>
        <v>15</v>
      </c>
      <c r="AD87" s="636" t="s">
        <v>152</v>
      </c>
      <c r="AE87" s="614">
        <f t="shared" ref="AE87" si="211">IF(AD87="Se investigan y resuelven oportunamente",15,0)</f>
        <v>15</v>
      </c>
      <c r="AF87" s="636" t="s">
        <v>153</v>
      </c>
      <c r="AG87" s="614">
        <f t="shared" ref="AG87" si="212">IF(AF87="Completa",10,IF(AF87="incompleta",5,0))</f>
        <v>10</v>
      </c>
      <c r="AH87" s="235">
        <f t="shared" si="165"/>
        <v>100</v>
      </c>
      <c r="AI87" s="235" t="str">
        <f t="shared" si="166"/>
        <v>Fuerte</v>
      </c>
      <c r="AJ87" s="237" t="s">
        <v>154</v>
      </c>
      <c r="AK87" s="235" t="str">
        <f t="shared" ref="AK87" si="213">IF(AJ87="Siempre se ejecuta","Fuerte",IF(AJ87="Algunas veces","Moderado",IF(AJ87="no se ejecuta","Débil","")))</f>
        <v>Fuerte</v>
      </c>
      <c r="AL87" s="235" t="str">
        <f t="shared" ref="AL87" si="214">AI87&amp;AK87</f>
        <v>FuerteFuerte</v>
      </c>
      <c r="AM87" s="235" t="str">
        <f>IFERROR(VLOOKUP(AL87,[14]FORMULAS!$B$70:$D$78,3,FALSE),"")</f>
        <v>Fuerte</v>
      </c>
      <c r="AN87" s="235">
        <f t="shared" ref="AN87" si="215">IF(AM87="fuerte",100,IF(AM87="Moderado",50,IF(AM87="débil",0,"")))</f>
        <v>100</v>
      </c>
      <c r="AO87" s="271"/>
      <c r="AP87" s="271"/>
      <c r="AQ87" s="304"/>
      <c r="AR87" s="304"/>
      <c r="AS87" s="271"/>
      <c r="AT87" s="271"/>
      <c r="AU87" s="271"/>
      <c r="AV87" s="271"/>
      <c r="AW87" s="630"/>
      <c r="AX87" s="630"/>
      <c r="AY87" s="634"/>
      <c r="AZ87" s="637"/>
      <c r="BA87" s="635"/>
      <c r="BB87" s="638" t="s">
        <v>610</v>
      </c>
      <c r="BC87" s="638" t="s">
        <v>604</v>
      </c>
      <c r="BD87" s="638" t="s">
        <v>611</v>
      </c>
      <c r="BE87" s="639" t="s">
        <v>612</v>
      </c>
      <c r="BF87" s="639" t="s">
        <v>606</v>
      </c>
      <c r="BG87" s="638" t="s">
        <v>613</v>
      </c>
      <c r="BH87" s="638" t="s">
        <v>590</v>
      </c>
      <c r="BI87" s="638" t="s">
        <v>611</v>
      </c>
      <c r="BJ87" s="639" t="s">
        <v>608</v>
      </c>
    </row>
    <row r="88" spans="1:62" ht="72" x14ac:dyDescent="0.25">
      <c r="A88" s="293"/>
      <c r="B88" s="457" t="s">
        <v>71</v>
      </c>
      <c r="C88" s="276">
        <v>31</v>
      </c>
      <c r="D88" s="278" t="s">
        <v>614</v>
      </c>
      <c r="E88" s="278" t="s">
        <v>615</v>
      </c>
      <c r="F88" s="276" t="s">
        <v>11</v>
      </c>
      <c r="G88" s="341" t="s">
        <v>45</v>
      </c>
      <c r="H88" s="344" t="s">
        <v>143</v>
      </c>
      <c r="I88" s="345"/>
      <c r="J88" s="345"/>
      <c r="K88" s="138" t="s">
        <v>616</v>
      </c>
      <c r="L88" s="288" t="s">
        <v>617</v>
      </c>
      <c r="M88" s="342" t="str">
        <f>IF(F88="gestion","impacto",IF(F88="corrupcion","impactocorrupcion",IF(F88="seguridad_de_la_informacion","impacto","")))</f>
        <v>impacto</v>
      </c>
      <c r="N88" s="341" t="s">
        <v>42</v>
      </c>
      <c r="O88" s="341" t="s">
        <v>17</v>
      </c>
      <c r="P88" s="342" t="str">
        <f>N88&amp;O88</f>
        <v>ProbableModerado</v>
      </c>
      <c r="Q88" s="343" t="str">
        <f>IFERROR(VLOOKUP(P88,FORMULAS!$B$37:$C$61,2,FALSE),"")</f>
        <v>Riesgo alto</v>
      </c>
      <c r="R88" s="396" t="s">
        <v>618</v>
      </c>
      <c r="S88" s="396"/>
      <c r="T88" s="121" t="s">
        <v>147</v>
      </c>
      <c r="U88" s="67">
        <f t="shared" ref="U88:U104" si="216">IF(T88="Asignado",15,0)</f>
        <v>15</v>
      </c>
      <c r="V88" s="121" t="s">
        <v>148</v>
      </c>
      <c r="W88" s="67">
        <f t="shared" ref="W88:W104" si="217">IF(V88="Adecuado",15,0)</f>
        <v>15</v>
      </c>
      <c r="X88" s="121" t="s">
        <v>149</v>
      </c>
      <c r="Y88" s="67">
        <f t="shared" ref="Y88:Y104" si="218">IF(X88="Oportuna",15,0)</f>
        <v>15</v>
      </c>
      <c r="Z88" s="121" t="s">
        <v>150</v>
      </c>
      <c r="AA88" s="67">
        <f t="shared" ref="AA88:AA104" si="219">IF(Z88="Prevenir",15,IF(Z88="Detectar",10,0))</f>
        <v>15</v>
      </c>
      <c r="AB88" s="121" t="s">
        <v>151</v>
      </c>
      <c r="AC88" s="67">
        <f t="shared" ref="AC88:AC104" si="220">IF(AB88="Confiable",15,0)</f>
        <v>15</v>
      </c>
      <c r="AD88" s="121" t="s">
        <v>152</v>
      </c>
      <c r="AE88" s="67">
        <f t="shared" ref="AE88:AE104" si="221">IF(AD88="Se investigan y resuelven oportunamente",15,0)</f>
        <v>15</v>
      </c>
      <c r="AF88" s="121" t="s">
        <v>153</v>
      </c>
      <c r="AG88" s="123">
        <f t="shared" si="164"/>
        <v>10</v>
      </c>
      <c r="AH88" s="127">
        <f t="shared" si="165"/>
        <v>100</v>
      </c>
      <c r="AI88" s="127" t="str">
        <f t="shared" si="166"/>
        <v>Fuerte</v>
      </c>
      <c r="AJ88" s="119" t="s">
        <v>154</v>
      </c>
      <c r="AK88" s="127" t="str">
        <f t="shared" si="167"/>
        <v>Fuerte</v>
      </c>
      <c r="AL88" s="127" t="str">
        <f t="shared" si="168"/>
        <v>FuerteFuerte</v>
      </c>
      <c r="AM88" s="127" t="str">
        <f>IFERROR(VLOOKUP(AL88,FORMULAS!$B$69:$D$77,3,FALSE),"")</f>
        <v>Fuerte</v>
      </c>
      <c r="AN88" s="127">
        <f t="shared" si="169"/>
        <v>100</v>
      </c>
      <c r="AO88" s="173" t="str">
        <f>IFERROR(VLOOKUP(AL88,FORMULAS!$B$69:$D$77,2,FALSE),"")</f>
        <v>No</v>
      </c>
      <c r="AP88" s="306">
        <f>IFERROR(AVERAGE(AN88:AN90),0)</f>
        <v>66.666666666666671</v>
      </c>
      <c r="AQ88" s="306" t="str">
        <f>IF(AP88&gt;=100,"Fuerte",IF(AP88&gt;=50,"Moderado",IF(AP88&gt;=1,"Débil","")))</f>
        <v>Moderado</v>
      </c>
      <c r="AR88" s="308" t="s">
        <v>92</v>
      </c>
      <c r="AS88" s="308" t="s">
        <v>94</v>
      </c>
      <c r="AT88" s="306" t="str">
        <f>+AQ88&amp;AR88&amp;AS88</f>
        <v>ModeradoDirectamenteIndirectamente</v>
      </c>
      <c r="AU88" s="306">
        <f>IFERROR(VLOOKUP(AT88,FORMULAS!$B$94:$D$101,2,FALSE),0)</f>
        <v>1</v>
      </c>
      <c r="AV88" s="306">
        <f>IFERROR(VLOOKUP(AT88,FORMULAS!$B$94:$D$101,3,FALSE),0)</f>
        <v>0</v>
      </c>
      <c r="AW88" s="341" t="s">
        <v>35</v>
      </c>
      <c r="AX88" s="341" t="s">
        <v>17</v>
      </c>
      <c r="AY88" s="342" t="str">
        <f>AW88&amp;AX88</f>
        <v>PosibleModerado</v>
      </c>
      <c r="AZ88" s="356" t="str">
        <f>IFERROR(VLOOKUP(AY88,FORMULAS!$B$37:$C$61,2,FALSE),"")</f>
        <v>Riesgo alto</v>
      </c>
      <c r="BA88" s="343" t="s">
        <v>29</v>
      </c>
      <c r="BB88" s="149" t="s">
        <v>619</v>
      </c>
      <c r="BC88" s="149" t="s">
        <v>620</v>
      </c>
      <c r="BD88" s="149" t="s">
        <v>621</v>
      </c>
      <c r="BE88" s="85" t="s">
        <v>622</v>
      </c>
      <c r="BF88" s="313" t="s">
        <v>623</v>
      </c>
      <c r="BG88" s="265" t="s">
        <v>624</v>
      </c>
      <c r="BH88" s="265" t="s">
        <v>625</v>
      </c>
      <c r="BI88" s="265" t="s">
        <v>626</v>
      </c>
      <c r="BJ88" s="268" t="s">
        <v>627</v>
      </c>
    </row>
    <row r="89" spans="1:62" ht="36" x14ac:dyDescent="0.25">
      <c r="A89" s="293"/>
      <c r="B89" s="468"/>
      <c r="C89" s="360"/>
      <c r="D89" s="361"/>
      <c r="E89" s="361"/>
      <c r="F89" s="360"/>
      <c r="G89" s="297"/>
      <c r="H89" s="298"/>
      <c r="I89" s="299"/>
      <c r="J89" s="299"/>
      <c r="K89" s="152" t="s">
        <v>628</v>
      </c>
      <c r="L89" s="289"/>
      <c r="M89" s="254"/>
      <c r="N89" s="297"/>
      <c r="O89" s="297"/>
      <c r="P89" s="254"/>
      <c r="Q89" s="317"/>
      <c r="R89" s="456" t="s">
        <v>629</v>
      </c>
      <c r="S89" s="456"/>
      <c r="T89" s="133" t="s">
        <v>147</v>
      </c>
      <c r="U89" s="66">
        <f t="shared" si="216"/>
        <v>15</v>
      </c>
      <c r="V89" s="133" t="s">
        <v>148</v>
      </c>
      <c r="W89" s="66">
        <f t="shared" si="217"/>
        <v>15</v>
      </c>
      <c r="X89" s="133" t="s">
        <v>149</v>
      </c>
      <c r="Y89" s="66">
        <f t="shared" si="218"/>
        <v>15</v>
      </c>
      <c r="Z89" s="133" t="s">
        <v>182</v>
      </c>
      <c r="AA89" s="66">
        <f t="shared" si="219"/>
        <v>10</v>
      </c>
      <c r="AB89" s="133" t="s">
        <v>151</v>
      </c>
      <c r="AC89" s="66">
        <f t="shared" si="220"/>
        <v>15</v>
      </c>
      <c r="AD89" s="133" t="s">
        <v>152</v>
      </c>
      <c r="AE89" s="66">
        <f t="shared" si="221"/>
        <v>15</v>
      </c>
      <c r="AF89" s="133" t="s">
        <v>153</v>
      </c>
      <c r="AG89" s="135">
        <f t="shared" si="164"/>
        <v>10</v>
      </c>
      <c r="AH89" s="128">
        <f t="shared" si="165"/>
        <v>95</v>
      </c>
      <c r="AI89" s="128" t="str">
        <f t="shared" si="166"/>
        <v>Moderado</v>
      </c>
      <c r="AJ89" s="139" t="s">
        <v>154</v>
      </c>
      <c r="AK89" s="128" t="str">
        <f t="shared" si="167"/>
        <v>Fuerte</v>
      </c>
      <c r="AL89" s="128" t="str">
        <f t="shared" si="168"/>
        <v>ModeradoFuerte</v>
      </c>
      <c r="AM89" s="128" t="str">
        <f>IFERROR(VLOOKUP(AL89,FORMULAS!$B$69:$D$77,3,FALSE),"")</f>
        <v>Moderado</v>
      </c>
      <c r="AN89" s="128">
        <f t="shared" si="169"/>
        <v>50</v>
      </c>
      <c r="AO89" s="128" t="str">
        <f>IFERROR(VLOOKUP(AL89,FORMULAS!$B$69:$C$77,2,FALSE),"")</f>
        <v>Sí</v>
      </c>
      <c r="AP89" s="271"/>
      <c r="AQ89" s="271"/>
      <c r="AR89" s="304"/>
      <c r="AS89" s="304"/>
      <c r="AT89" s="271"/>
      <c r="AU89" s="271"/>
      <c r="AV89" s="271"/>
      <c r="AW89" s="297"/>
      <c r="AX89" s="297"/>
      <c r="AY89" s="254"/>
      <c r="AZ89" s="316"/>
      <c r="BA89" s="317"/>
      <c r="BB89" s="150"/>
      <c r="BC89" s="150"/>
      <c r="BD89" s="150"/>
      <c r="BE89" s="83"/>
      <c r="BF89" s="314"/>
      <c r="BG89" s="266"/>
      <c r="BH89" s="266"/>
      <c r="BI89" s="266"/>
      <c r="BJ89" s="312"/>
    </row>
    <row r="90" spans="1:62" ht="36" x14ac:dyDescent="0.25">
      <c r="A90" s="293"/>
      <c r="B90" s="358"/>
      <c r="C90" s="381"/>
      <c r="D90" s="389"/>
      <c r="E90" s="389"/>
      <c r="F90" s="381"/>
      <c r="G90" s="331"/>
      <c r="H90" s="333"/>
      <c r="I90" s="390"/>
      <c r="J90" s="390"/>
      <c r="K90" s="104" t="s">
        <v>630</v>
      </c>
      <c r="L90" s="289"/>
      <c r="M90" s="388"/>
      <c r="N90" s="331"/>
      <c r="O90" s="331"/>
      <c r="P90" s="388"/>
      <c r="Q90" s="337"/>
      <c r="R90" s="398" t="s">
        <v>631</v>
      </c>
      <c r="S90" s="398"/>
      <c r="T90" s="154" t="s">
        <v>147</v>
      </c>
      <c r="U90" s="72">
        <f t="shared" si="216"/>
        <v>15</v>
      </c>
      <c r="V90" s="154" t="s">
        <v>148</v>
      </c>
      <c r="W90" s="72">
        <f t="shared" si="217"/>
        <v>15</v>
      </c>
      <c r="X90" s="154" t="s">
        <v>149</v>
      </c>
      <c r="Y90" s="72">
        <f t="shared" si="218"/>
        <v>15</v>
      </c>
      <c r="Z90" s="154" t="s">
        <v>182</v>
      </c>
      <c r="AA90" s="72">
        <f t="shared" si="219"/>
        <v>10</v>
      </c>
      <c r="AB90" s="154" t="s">
        <v>151</v>
      </c>
      <c r="AC90" s="72">
        <f t="shared" si="220"/>
        <v>15</v>
      </c>
      <c r="AD90" s="154" t="s">
        <v>152</v>
      </c>
      <c r="AE90" s="72">
        <f t="shared" si="221"/>
        <v>15</v>
      </c>
      <c r="AF90" s="154" t="s">
        <v>153</v>
      </c>
      <c r="AG90" s="161">
        <f t="shared" si="164"/>
        <v>10</v>
      </c>
      <c r="AH90" s="159">
        <f t="shared" si="165"/>
        <v>95</v>
      </c>
      <c r="AI90" s="159" t="str">
        <f t="shared" si="166"/>
        <v>Moderado</v>
      </c>
      <c r="AJ90" s="160" t="s">
        <v>154</v>
      </c>
      <c r="AK90" s="159" t="str">
        <f t="shared" si="167"/>
        <v>Fuerte</v>
      </c>
      <c r="AL90" s="159" t="str">
        <f t="shared" si="168"/>
        <v>ModeradoFuerte</v>
      </c>
      <c r="AM90" s="159" t="str">
        <f>IFERROR(VLOOKUP(AL90,FORMULAS!$B$69:$D$77,3,FALSE),"")</f>
        <v>Moderado</v>
      </c>
      <c r="AN90" s="159">
        <f t="shared" si="169"/>
        <v>50</v>
      </c>
      <c r="AO90" s="159" t="str">
        <f>IFERROR(VLOOKUP(AL90,FORMULAS!$B$69:$C$77,2,FALSE),"")</f>
        <v>Sí</v>
      </c>
      <c r="AP90" s="300"/>
      <c r="AQ90" s="300"/>
      <c r="AR90" s="301"/>
      <c r="AS90" s="301"/>
      <c r="AT90" s="300"/>
      <c r="AU90" s="300"/>
      <c r="AV90" s="300"/>
      <c r="AW90" s="331"/>
      <c r="AX90" s="331"/>
      <c r="AY90" s="388"/>
      <c r="AZ90" s="336"/>
      <c r="BA90" s="337"/>
      <c r="BB90" s="132"/>
      <c r="BC90" s="132"/>
      <c r="BD90" s="132"/>
      <c r="BE90" s="147"/>
      <c r="BF90" s="314"/>
      <c r="BG90" s="266"/>
      <c r="BH90" s="266"/>
      <c r="BI90" s="266"/>
      <c r="BJ90" s="312"/>
    </row>
    <row r="91" spans="1:62" ht="36" x14ac:dyDescent="0.25">
      <c r="A91" s="293"/>
      <c r="B91" s="457" t="s">
        <v>71</v>
      </c>
      <c r="C91" s="276">
        <v>32</v>
      </c>
      <c r="D91" s="278" t="s">
        <v>632</v>
      </c>
      <c r="E91" s="278" t="s">
        <v>633</v>
      </c>
      <c r="F91" s="276" t="s">
        <v>11</v>
      </c>
      <c r="G91" s="341" t="s">
        <v>32</v>
      </c>
      <c r="H91" s="344" t="s">
        <v>143</v>
      </c>
      <c r="I91" s="345"/>
      <c r="J91" s="345"/>
      <c r="K91" s="138" t="s">
        <v>634</v>
      </c>
      <c r="L91" s="288" t="s">
        <v>635</v>
      </c>
      <c r="M91" s="342" t="str">
        <f>IF(F91="gestion","impacto",IF(F91="corrupcion","impactocorrupcion",IF(F91="seguridad_de_la_informacion","impacto","")))</f>
        <v>impacto</v>
      </c>
      <c r="N91" s="341" t="s">
        <v>42</v>
      </c>
      <c r="O91" s="341" t="s">
        <v>17</v>
      </c>
      <c r="P91" s="342" t="str">
        <f>N91&amp;O91</f>
        <v>ProbableModerado</v>
      </c>
      <c r="Q91" s="343" t="str">
        <f>IFERROR(VLOOKUP(P91,FORMULAS!$B$37:$C$61,2,FALSE),"")</f>
        <v>Riesgo alto</v>
      </c>
      <c r="R91" s="380" t="s">
        <v>636</v>
      </c>
      <c r="S91" s="380"/>
      <c r="T91" s="121" t="s">
        <v>147</v>
      </c>
      <c r="U91" s="67">
        <f t="shared" si="216"/>
        <v>15</v>
      </c>
      <c r="V91" s="121" t="s">
        <v>148</v>
      </c>
      <c r="W91" s="67">
        <f t="shared" si="217"/>
        <v>15</v>
      </c>
      <c r="X91" s="121" t="s">
        <v>149</v>
      </c>
      <c r="Y91" s="67">
        <f t="shared" si="218"/>
        <v>15</v>
      </c>
      <c r="Z91" s="121" t="s">
        <v>150</v>
      </c>
      <c r="AA91" s="67">
        <f t="shared" si="219"/>
        <v>15</v>
      </c>
      <c r="AB91" s="121" t="s">
        <v>151</v>
      </c>
      <c r="AC91" s="67">
        <f t="shared" si="220"/>
        <v>15</v>
      </c>
      <c r="AD91" s="121" t="s">
        <v>152</v>
      </c>
      <c r="AE91" s="67">
        <f t="shared" si="221"/>
        <v>15</v>
      </c>
      <c r="AF91" s="121" t="s">
        <v>153</v>
      </c>
      <c r="AG91" s="123">
        <f t="shared" si="164"/>
        <v>10</v>
      </c>
      <c r="AH91" s="127">
        <f t="shared" si="165"/>
        <v>100</v>
      </c>
      <c r="AI91" s="127" t="str">
        <f t="shared" si="166"/>
        <v>Fuerte</v>
      </c>
      <c r="AJ91" s="119" t="s">
        <v>154</v>
      </c>
      <c r="AK91" s="127" t="str">
        <f t="shared" si="167"/>
        <v>Fuerte</v>
      </c>
      <c r="AL91" s="127" t="str">
        <f t="shared" si="168"/>
        <v>FuerteFuerte</v>
      </c>
      <c r="AM91" s="127" t="str">
        <f>IFERROR(VLOOKUP(AL91,FORMULAS!$B$69:$D$77,3,FALSE),"")</f>
        <v>Fuerte</v>
      </c>
      <c r="AN91" s="127">
        <f t="shared" si="169"/>
        <v>100</v>
      </c>
      <c r="AO91" s="127" t="str">
        <f>IFERROR(VLOOKUP(AL91,FORMULAS!$B$69:$D$77,2,FALSE),"")</f>
        <v>No</v>
      </c>
      <c r="AP91" s="306">
        <f>IFERROR(AVERAGE(AN91:AN92),0)</f>
        <v>75</v>
      </c>
      <c r="AQ91" s="306" t="str">
        <f>IF(AP91&gt;=100,"Fuerte",IF(AP91&gt;=50,"Moderado",IF(AP91&gt;=1,"Débil","")))</f>
        <v>Moderado</v>
      </c>
      <c r="AR91" s="308" t="s">
        <v>92</v>
      </c>
      <c r="AS91" s="308" t="s">
        <v>94</v>
      </c>
      <c r="AT91" s="306" t="str">
        <f>+AQ91&amp;AR91&amp;AS91</f>
        <v>ModeradoDirectamenteIndirectamente</v>
      </c>
      <c r="AU91" s="306">
        <f>IFERROR(VLOOKUP(AT91,FORMULAS!$B$94:$D$101,2,FALSE),0)</f>
        <v>1</v>
      </c>
      <c r="AV91" s="306">
        <f>IFERROR(VLOOKUP(AT91,FORMULAS!$B$94:$D$101,3,FALSE),0)</f>
        <v>0</v>
      </c>
      <c r="AW91" s="341" t="s">
        <v>35</v>
      </c>
      <c r="AX91" s="341" t="s">
        <v>17</v>
      </c>
      <c r="AY91" s="342" t="str">
        <f>AW91&amp;AX91</f>
        <v>PosibleModerado</v>
      </c>
      <c r="AZ91" s="356" t="str">
        <f>IFERROR(VLOOKUP(AY91,FORMULAS!$B$37:$C$61,2,FALSE),"")</f>
        <v>Riesgo alto</v>
      </c>
      <c r="BA91" s="343" t="s">
        <v>29</v>
      </c>
      <c r="BB91" s="149" t="s">
        <v>637</v>
      </c>
      <c r="BC91" s="149" t="s">
        <v>166</v>
      </c>
      <c r="BD91" s="149" t="s">
        <v>621</v>
      </c>
      <c r="BE91" s="85" t="s">
        <v>312</v>
      </c>
      <c r="BF91" s="313" t="s">
        <v>623</v>
      </c>
      <c r="BG91" s="265" t="s">
        <v>638</v>
      </c>
      <c r="BH91" s="265" t="s">
        <v>639</v>
      </c>
      <c r="BI91" s="265" t="s">
        <v>640</v>
      </c>
      <c r="BJ91" s="268" t="s">
        <v>641</v>
      </c>
    </row>
    <row r="92" spans="1:62" ht="60" x14ac:dyDescent="0.25">
      <c r="A92" s="293"/>
      <c r="B92" s="458"/>
      <c r="C92" s="277"/>
      <c r="D92" s="279"/>
      <c r="E92" s="279"/>
      <c r="F92" s="277"/>
      <c r="G92" s="368"/>
      <c r="H92" s="366"/>
      <c r="I92" s="367"/>
      <c r="J92" s="367"/>
      <c r="K92" s="137" t="s">
        <v>642</v>
      </c>
      <c r="L92" s="315"/>
      <c r="M92" s="355"/>
      <c r="N92" s="368"/>
      <c r="O92" s="368"/>
      <c r="P92" s="355"/>
      <c r="Q92" s="369"/>
      <c r="R92" s="379" t="s">
        <v>643</v>
      </c>
      <c r="S92" s="379"/>
      <c r="T92" s="122" t="s">
        <v>147</v>
      </c>
      <c r="U92" s="69">
        <f t="shared" si="216"/>
        <v>15</v>
      </c>
      <c r="V92" s="122" t="s">
        <v>148</v>
      </c>
      <c r="W92" s="69">
        <f t="shared" si="217"/>
        <v>15</v>
      </c>
      <c r="X92" s="122" t="s">
        <v>149</v>
      </c>
      <c r="Y92" s="69">
        <f t="shared" si="218"/>
        <v>15</v>
      </c>
      <c r="Z92" s="122" t="s">
        <v>182</v>
      </c>
      <c r="AA92" s="69">
        <f t="shared" si="219"/>
        <v>10</v>
      </c>
      <c r="AB92" s="122" t="s">
        <v>151</v>
      </c>
      <c r="AC92" s="69">
        <f t="shared" si="220"/>
        <v>15</v>
      </c>
      <c r="AD92" s="122" t="s">
        <v>152</v>
      </c>
      <c r="AE92" s="69">
        <f t="shared" si="221"/>
        <v>15</v>
      </c>
      <c r="AF92" s="122" t="s">
        <v>153</v>
      </c>
      <c r="AG92" s="124">
        <f t="shared" si="164"/>
        <v>10</v>
      </c>
      <c r="AH92" s="129">
        <f t="shared" si="165"/>
        <v>95</v>
      </c>
      <c r="AI92" s="129" t="str">
        <f t="shared" si="166"/>
        <v>Moderado</v>
      </c>
      <c r="AJ92" s="120" t="s">
        <v>154</v>
      </c>
      <c r="AK92" s="129" t="str">
        <f t="shared" si="167"/>
        <v>Fuerte</v>
      </c>
      <c r="AL92" s="129" t="str">
        <f t="shared" si="168"/>
        <v>ModeradoFuerte</v>
      </c>
      <c r="AM92" s="129" t="str">
        <f>IFERROR(VLOOKUP(AL92,FORMULAS!$B$69:$D$77,3,FALSE),"")</f>
        <v>Moderado</v>
      </c>
      <c r="AN92" s="129">
        <f t="shared" si="169"/>
        <v>50</v>
      </c>
      <c r="AO92" s="159" t="str">
        <f>IFERROR(VLOOKUP(AL92,FORMULAS!$B$69:$C$77,2,FALSE),"")</f>
        <v>Sí</v>
      </c>
      <c r="AP92" s="307"/>
      <c r="AQ92" s="307"/>
      <c r="AR92" s="305"/>
      <c r="AS92" s="305"/>
      <c r="AT92" s="307"/>
      <c r="AU92" s="307"/>
      <c r="AV92" s="307"/>
      <c r="AW92" s="368"/>
      <c r="AX92" s="368"/>
      <c r="AY92" s="355"/>
      <c r="AZ92" s="357"/>
      <c r="BA92" s="369"/>
      <c r="BB92" s="151"/>
      <c r="BC92" s="151"/>
      <c r="BD92" s="151"/>
      <c r="BE92" s="86"/>
      <c r="BF92" s="314"/>
      <c r="BG92" s="267"/>
      <c r="BH92" s="267"/>
      <c r="BI92" s="267"/>
      <c r="BJ92" s="269"/>
    </row>
    <row r="93" spans="1:62" s="59" customFormat="1" ht="212.25" customHeight="1" x14ac:dyDescent="0.25">
      <c r="A93" s="294"/>
      <c r="B93" s="457" t="s">
        <v>73</v>
      </c>
      <c r="C93" s="297">
        <v>33</v>
      </c>
      <c r="D93" s="298" t="s">
        <v>644</v>
      </c>
      <c r="E93" s="298" t="s">
        <v>645</v>
      </c>
      <c r="F93" s="297" t="s">
        <v>11</v>
      </c>
      <c r="G93" s="297" t="s">
        <v>45</v>
      </c>
      <c r="H93" s="298"/>
      <c r="I93" s="299" t="s">
        <v>46</v>
      </c>
      <c r="J93" s="299"/>
      <c r="K93" s="62" t="s">
        <v>646</v>
      </c>
      <c r="L93" s="333" t="s">
        <v>647</v>
      </c>
      <c r="M93" s="254" t="str">
        <f>IF(F93="gestion","impacto",IF(F93="corrupcion","impactocorrupcion",IF(F93="seguridad_de_la_informacion","impacto","")))</f>
        <v>impacto</v>
      </c>
      <c r="N93" s="297" t="s">
        <v>35</v>
      </c>
      <c r="O93" s="297" t="s">
        <v>17</v>
      </c>
      <c r="P93" s="254" t="str">
        <f>N93&amp;O93</f>
        <v>PosibleModerado</v>
      </c>
      <c r="Q93" s="317" t="str">
        <f>IFERROR(VLOOKUP(P93,#REF!,2,FALSE),"")</f>
        <v/>
      </c>
      <c r="R93" s="298" t="s">
        <v>648</v>
      </c>
      <c r="S93" s="298"/>
      <c r="T93" s="126" t="s">
        <v>147</v>
      </c>
      <c r="U93" s="135">
        <f t="shared" ref="U93:U98" si="222">IF(T93="Asignado",15,0)</f>
        <v>15</v>
      </c>
      <c r="V93" s="126" t="s">
        <v>148</v>
      </c>
      <c r="W93" s="135">
        <f t="shared" ref="W93:W98" si="223">IF(V93="Adecuado",15,0)</f>
        <v>15</v>
      </c>
      <c r="X93" s="126" t="s">
        <v>149</v>
      </c>
      <c r="Y93" s="135">
        <f t="shared" ref="Y93:Y98" si="224">IF(X93="Oportuna",15,0)</f>
        <v>15</v>
      </c>
      <c r="Z93" s="126" t="s">
        <v>150</v>
      </c>
      <c r="AA93" s="135">
        <f t="shared" ref="AA93:AA98" si="225">IF(Z93="Prevenir",15,IF(Z93="Detectar",10,0))</f>
        <v>15</v>
      </c>
      <c r="AB93" s="126" t="s">
        <v>151</v>
      </c>
      <c r="AC93" s="135">
        <f t="shared" ref="AC93:AC98" si="226">IF(AB93="Confiable",15,0)</f>
        <v>15</v>
      </c>
      <c r="AD93" s="126" t="s">
        <v>152</v>
      </c>
      <c r="AE93" s="135">
        <f t="shared" ref="AE93:AE98" si="227">IF(AD93="Se investigan y resuelven oportunamente",15,0)</f>
        <v>15</v>
      </c>
      <c r="AF93" s="126" t="s">
        <v>153</v>
      </c>
      <c r="AG93" s="135">
        <f>IF(AF93="Completa",10,IF(AF93="incompleta",5,0))</f>
        <v>10</v>
      </c>
      <c r="AH93" s="128">
        <f t="shared" ref="AH93:AH98" si="228">U93+W93+Y93+AA93+AC93+AE93+AG93</f>
        <v>100</v>
      </c>
      <c r="AI93" s="128" t="str">
        <f>IF(AH93&gt;=96,"Fuerte",IF(AH93&gt;=86,"Moderado",IF(AH93&gt;=1,"Débil","")))</f>
        <v>Fuerte</v>
      </c>
      <c r="AJ93" s="139" t="s">
        <v>154</v>
      </c>
      <c r="AK93" s="128" t="str">
        <f>IF(AJ93="Siempre se ejecuta","Fuerte",IF(AJ93="Algunas veces","Moderado",IF(AJ93="no se ejecuta","Débil","")))</f>
        <v>Fuerte</v>
      </c>
      <c r="AL93" s="128" t="str">
        <f>AI93&amp;AK93</f>
        <v>FuerteFuerte</v>
      </c>
      <c r="AM93" s="128" t="str">
        <f>IFERROR(VLOOKUP(AL93,#REF!,3,FALSE),"")</f>
        <v/>
      </c>
      <c r="AN93" s="128" t="str">
        <f>IF(AM93="fuerte",100,IF(AM93="Moderado",50,IF(AM93="débil",0,"")))</f>
        <v/>
      </c>
      <c r="AO93" s="461"/>
      <c r="AP93" s="271">
        <f>IFERROR(AVERAGE(AN93:AN94),0)</f>
        <v>0</v>
      </c>
      <c r="AQ93" s="255" t="str">
        <f>IF(AP93&gt;=100,"Fuerte",IF(AP93&gt;=50,"Moderado",IF(AP93&gt;=1,"Débil","")))</f>
        <v/>
      </c>
      <c r="AR93" s="272" t="s">
        <v>92</v>
      </c>
      <c r="AS93" s="272" t="s">
        <v>92</v>
      </c>
      <c r="AT93" s="128" t="str">
        <f>+AQ93&amp;AR93&amp;AS93</f>
        <v>DirectamenteDirectamente</v>
      </c>
      <c r="AU93" s="255">
        <f>IFERROR(VLOOKUP(AT93,#REF!,2,FALSE),0)</f>
        <v>0</v>
      </c>
      <c r="AV93" s="255">
        <f>IFERROR(VLOOKUP(AT93,#REF!,3,FALSE),0)</f>
        <v>0</v>
      </c>
      <c r="AW93" s="257" t="s">
        <v>15</v>
      </c>
      <c r="AX93" s="257" t="s">
        <v>18</v>
      </c>
      <c r="AY93" s="135" t="str">
        <f>AW93&amp;AX93</f>
        <v>Rara vezInsignificante</v>
      </c>
      <c r="AZ93" s="302" t="s">
        <v>85</v>
      </c>
      <c r="BA93" s="502" t="s">
        <v>19</v>
      </c>
      <c r="BB93" s="100" t="s">
        <v>649</v>
      </c>
      <c r="BC93" s="100" t="s">
        <v>650</v>
      </c>
      <c r="BD93" s="100" t="s">
        <v>651</v>
      </c>
      <c r="BE93" s="192">
        <v>44560</v>
      </c>
      <c r="BF93" s="512" t="s">
        <v>652</v>
      </c>
      <c r="BG93" s="182" t="s">
        <v>653</v>
      </c>
      <c r="BH93" s="182" t="s">
        <v>654</v>
      </c>
      <c r="BI93" s="182" t="s">
        <v>483</v>
      </c>
      <c r="BJ93" s="183" t="s">
        <v>655</v>
      </c>
    </row>
    <row r="94" spans="1:62" s="59" customFormat="1" ht="232.5" customHeight="1" thickBot="1" x14ac:dyDescent="0.3">
      <c r="A94" s="295"/>
      <c r="B94" s="458"/>
      <c r="C94" s="297"/>
      <c r="D94" s="298"/>
      <c r="E94" s="298"/>
      <c r="F94" s="297"/>
      <c r="G94" s="297"/>
      <c r="H94" s="298"/>
      <c r="I94" s="299"/>
      <c r="J94" s="299"/>
      <c r="K94" s="62" t="s">
        <v>656</v>
      </c>
      <c r="L94" s="289"/>
      <c r="M94" s="254"/>
      <c r="N94" s="297"/>
      <c r="O94" s="297"/>
      <c r="P94" s="254"/>
      <c r="Q94" s="317"/>
      <c r="R94" s="298" t="s">
        <v>657</v>
      </c>
      <c r="S94" s="298"/>
      <c r="T94" s="126" t="s">
        <v>147</v>
      </c>
      <c r="U94" s="135">
        <f t="shared" si="222"/>
        <v>15</v>
      </c>
      <c r="V94" s="126" t="s">
        <v>148</v>
      </c>
      <c r="W94" s="135">
        <f t="shared" si="223"/>
        <v>15</v>
      </c>
      <c r="X94" s="126" t="s">
        <v>149</v>
      </c>
      <c r="Y94" s="135">
        <f t="shared" si="224"/>
        <v>15</v>
      </c>
      <c r="Z94" s="126" t="s">
        <v>150</v>
      </c>
      <c r="AA94" s="135">
        <f t="shared" si="225"/>
        <v>15</v>
      </c>
      <c r="AB94" s="126" t="s">
        <v>151</v>
      </c>
      <c r="AC94" s="135">
        <f t="shared" si="226"/>
        <v>15</v>
      </c>
      <c r="AD94" s="126" t="s">
        <v>152</v>
      </c>
      <c r="AE94" s="135">
        <f t="shared" si="227"/>
        <v>15</v>
      </c>
      <c r="AF94" s="126" t="s">
        <v>153</v>
      </c>
      <c r="AG94" s="135">
        <f t="shared" ref="AG94" si="229">IF(AF94="Completa",10,IF(AF94="incompleta",5,0))</f>
        <v>10</v>
      </c>
      <c r="AH94" s="128">
        <f t="shared" si="228"/>
        <v>100</v>
      </c>
      <c r="AI94" s="128" t="str">
        <f>IF(AH94&gt;=96,"Fuerte",IF(AH94&gt;=86,"Moderado",IF(AH94&gt;=1,"Débil","")))</f>
        <v>Fuerte</v>
      </c>
      <c r="AJ94" s="139" t="s">
        <v>154</v>
      </c>
      <c r="AK94" s="128" t="str">
        <f t="shared" ref="AK94" si="230">IF(AJ94="Siempre se ejecuta","Fuerte",IF(AJ94="Algunas veces","Moderado",IF(AJ94="no se ejecuta","Débil","")))</f>
        <v>Fuerte</v>
      </c>
      <c r="AL94" s="128" t="str">
        <f t="shared" ref="AL94" si="231">AI94&amp;AK94</f>
        <v>FuerteFuerte</v>
      </c>
      <c r="AM94" s="128" t="str">
        <f>IFERROR(VLOOKUP(AL94,#REF!,3,FALSE),"")</f>
        <v/>
      </c>
      <c r="AN94" s="128" t="str">
        <f t="shared" ref="AN94" si="232">IF(AM94="fuerte",100,IF(AM94="Moderado",50,IF(AM94="débil",0,"")))</f>
        <v/>
      </c>
      <c r="AO94" s="461"/>
      <c r="AP94" s="271"/>
      <c r="AQ94" s="256"/>
      <c r="AR94" s="273"/>
      <c r="AS94" s="273"/>
      <c r="AT94" s="128"/>
      <c r="AU94" s="256"/>
      <c r="AV94" s="256"/>
      <c r="AW94" s="258"/>
      <c r="AX94" s="258"/>
      <c r="AY94" s="135"/>
      <c r="AZ94" s="303"/>
      <c r="BA94" s="338"/>
      <c r="BB94" s="100" t="s">
        <v>658</v>
      </c>
      <c r="BC94" s="100" t="s">
        <v>659</v>
      </c>
      <c r="BD94" s="100" t="s">
        <v>651</v>
      </c>
      <c r="BE94" s="192">
        <v>44560</v>
      </c>
      <c r="BF94" s="512"/>
      <c r="BG94" s="182" t="s">
        <v>660</v>
      </c>
      <c r="BH94" s="182" t="s">
        <v>661</v>
      </c>
      <c r="BI94" s="182" t="s">
        <v>662</v>
      </c>
      <c r="BJ94" s="183" t="s">
        <v>655</v>
      </c>
    </row>
    <row r="95" spans="1:62" s="59" customFormat="1" ht="160.5" customHeight="1" x14ac:dyDescent="0.25">
      <c r="A95" s="295"/>
      <c r="B95" s="457" t="s">
        <v>73</v>
      </c>
      <c r="C95" s="297">
        <v>34</v>
      </c>
      <c r="D95" s="298" t="s">
        <v>663</v>
      </c>
      <c r="E95" s="298" t="s">
        <v>664</v>
      </c>
      <c r="F95" s="297" t="s">
        <v>11</v>
      </c>
      <c r="G95" s="297" t="s">
        <v>32</v>
      </c>
      <c r="H95" s="298"/>
      <c r="I95" s="299"/>
      <c r="J95" s="299"/>
      <c r="K95" s="62" t="s">
        <v>665</v>
      </c>
      <c r="L95" s="333" t="s">
        <v>666</v>
      </c>
      <c r="M95" s="254" t="str">
        <f t="shared" ref="M95" si="233">IF(F95="gestion","impacto",IF(F95="corrupcion","impactocorrupcion",IF(F95="seguridad_de_la_informacion","impacto","")))</f>
        <v>impacto</v>
      </c>
      <c r="N95" s="297" t="s">
        <v>25</v>
      </c>
      <c r="O95" s="297" t="s">
        <v>36</v>
      </c>
      <c r="P95" s="254" t="str">
        <f t="shared" ref="P95" si="234">N95&amp;O95</f>
        <v>ImprobableCatastrófico</v>
      </c>
      <c r="Q95" s="317" t="str">
        <f>IFERROR(VLOOKUP(P95,#REF!,2,FALSE),"")</f>
        <v/>
      </c>
      <c r="R95" s="513" t="s">
        <v>667</v>
      </c>
      <c r="S95" s="513"/>
      <c r="T95" s="636" t="s">
        <v>147</v>
      </c>
      <c r="U95" s="614">
        <f t="shared" si="222"/>
        <v>15</v>
      </c>
      <c r="V95" s="636" t="s">
        <v>148</v>
      </c>
      <c r="W95" s="614">
        <f t="shared" si="223"/>
        <v>15</v>
      </c>
      <c r="X95" s="636" t="s">
        <v>149</v>
      </c>
      <c r="Y95" s="614">
        <f t="shared" si="224"/>
        <v>15</v>
      </c>
      <c r="Z95" s="636" t="s">
        <v>150</v>
      </c>
      <c r="AA95" s="614">
        <f t="shared" si="225"/>
        <v>15</v>
      </c>
      <c r="AB95" s="636" t="s">
        <v>151</v>
      </c>
      <c r="AC95" s="614">
        <f t="shared" si="226"/>
        <v>15</v>
      </c>
      <c r="AD95" s="636" t="s">
        <v>152</v>
      </c>
      <c r="AE95" s="614">
        <f t="shared" si="227"/>
        <v>15</v>
      </c>
      <c r="AF95" s="636" t="s">
        <v>153</v>
      </c>
      <c r="AG95" s="614">
        <f>IF(AF95="Completa",10,IF(AF95="incompleta",5,0))</f>
        <v>10</v>
      </c>
      <c r="AH95" s="235">
        <f t="shared" si="228"/>
        <v>100</v>
      </c>
      <c r="AI95" s="235" t="str">
        <f>IF(AH95&gt;=96,"Fuerte",IF(AH95&gt;=86,"Moderado",IF(AH95&gt;=1,"Débil","")))</f>
        <v>Fuerte</v>
      </c>
      <c r="AJ95" s="237" t="s">
        <v>154</v>
      </c>
      <c r="AK95" s="235" t="str">
        <f>IF(AJ95="Siempre se ejecuta","Fuerte",IF(AJ95="Algunas veces","Moderado",IF(AJ95="no se ejecuta","Débil","")))</f>
        <v>Fuerte</v>
      </c>
      <c r="AL95" s="235" t="str">
        <f>AI95&amp;AK95</f>
        <v>FuerteFuerte</v>
      </c>
      <c r="AM95" s="235" t="str">
        <f>IFERROR(VLOOKUP(AL95,[16]FORMULAS!$B$70:$D$78,3,FALSE),"")</f>
        <v>Fuerte</v>
      </c>
      <c r="AN95" s="235">
        <f>IF(AM95="fuerte",100,IF(AM95="Moderado",50,IF(AM95="débil",0,"")))</f>
        <v>100</v>
      </c>
      <c r="AO95" s="271">
        <f>IFERROR(AVERAGE(AN95:AN98),0)</f>
        <v>100</v>
      </c>
      <c r="AP95" s="271" t="str">
        <f>IF(AO95&gt;=100,"Fuerte",IF(AO95&gt;=50,"Moderado",IF(AO95&gt;=1,"Débil","")))</f>
        <v>Fuerte</v>
      </c>
      <c r="AQ95" s="304" t="s">
        <v>92</v>
      </c>
      <c r="AR95" s="304" t="s">
        <v>92</v>
      </c>
      <c r="AS95" s="271" t="str">
        <f>+AP95&amp;AQ95&amp;AR95</f>
        <v>FuerteDirectamenteDirectamente</v>
      </c>
      <c r="AT95" s="271">
        <f>IFERROR(VLOOKUP(AS95,[16]FORMULAS!$B$95:$D$102,2,FALSE),0)</f>
        <v>2</v>
      </c>
      <c r="AU95" s="271">
        <f>IFERROR(VLOOKUP(AS95,[16]FORMULAS!$B$95:$D$102,3,FALSE),0)</f>
        <v>2</v>
      </c>
      <c r="AV95" s="271">
        <f>IFERROR(VLOOKUP(AT95,#REF!,3,FALSE),0)</f>
        <v>0</v>
      </c>
      <c r="AW95" s="297" t="s">
        <v>15</v>
      </c>
      <c r="AX95" s="297" t="s">
        <v>17</v>
      </c>
      <c r="AY95" s="254" t="str">
        <f>AW95&amp;AX95</f>
        <v>Rara vezModerado</v>
      </c>
      <c r="AZ95" s="316" t="s">
        <v>85</v>
      </c>
      <c r="BA95" s="317" t="s">
        <v>29</v>
      </c>
      <c r="BB95" s="100" t="s">
        <v>668</v>
      </c>
      <c r="BC95" s="100" t="s">
        <v>669</v>
      </c>
      <c r="BD95" s="100" t="s">
        <v>670</v>
      </c>
      <c r="BE95" s="192">
        <v>44560</v>
      </c>
      <c r="BF95" s="514" t="s">
        <v>652</v>
      </c>
      <c r="BG95" s="182" t="s">
        <v>671</v>
      </c>
      <c r="BH95" s="182" t="s">
        <v>672</v>
      </c>
      <c r="BI95" s="182" t="s">
        <v>673</v>
      </c>
      <c r="BJ95" s="183" t="s">
        <v>655</v>
      </c>
    </row>
    <row r="96" spans="1:62" s="59" customFormat="1" ht="185.25" customHeight="1" thickBot="1" x14ac:dyDescent="0.3">
      <c r="A96" s="295"/>
      <c r="B96" s="458"/>
      <c r="C96" s="297"/>
      <c r="D96" s="298"/>
      <c r="E96" s="298"/>
      <c r="F96" s="297"/>
      <c r="G96" s="297"/>
      <c r="H96" s="298"/>
      <c r="I96" s="299"/>
      <c r="J96" s="299"/>
      <c r="K96" s="62" t="s">
        <v>674</v>
      </c>
      <c r="L96" s="289"/>
      <c r="M96" s="254"/>
      <c r="N96" s="297"/>
      <c r="O96" s="297"/>
      <c r="P96" s="254"/>
      <c r="Q96" s="317"/>
      <c r="R96" s="291" t="s">
        <v>675</v>
      </c>
      <c r="S96" s="291"/>
      <c r="T96" s="636" t="s">
        <v>147</v>
      </c>
      <c r="U96" s="614">
        <f t="shared" si="222"/>
        <v>15</v>
      </c>
      <c r="V96" s="636" t="s">
        <v>148</v>
      </c>
      <c r="W96" s="614">
        <f t="shared" si="223"/>
        <v>15</v>
      </c>
      <c r="X96" s="636" t="s">
        <v>149</v>
      </c>
      <c r="Y96" s="614">
        <f t="shared" si="224"/>
        <v>15</v>
      </c>
      <c r="Z96" s="636" t="s">
        <v>150</v>
      </c>
      <c r="AA96" s="614">
        <f t="shared" si="225"/>
        <v>15</v>
      </c>
      <c r="AB96" s="636" t="s">
        <v>151</v>
      </c>
      <c r="AC96" s="614">
        <f t="shared" si="226"/>
        <v>15</v>
      </c>
      <c r="AD96" s="636" t="s">
        <v>152</v>
      </c>
      <c r="AE96" s="614">
        <f t="shared" si="227"/>
        <v>15</v>
      </c>
      <c r="AF96" s="636" t="s">
        <v>153</v>
      </c>
      <c r="AG96" s="614">
        <f t="shared" ref="AG96:AG98" si="235">IF(AF96="Completa",10,IF(AF96="incompleta",5,0))</f>
        <v>10</v>
      </c>
      <c r="AH96" s="235">
        <f t="shared" si="228"/>
        <v>100</v>
      </c>
      <c r="AI96" s="235" t="str">
        <f>IF(AH96&gt;=96,"Fuerte",IF(AH96&gt;=86,"Moderado",IF(AH96&gt;=1,"Débil","")))</f>
        <v>Fuerte</v>
      </c>
      <c r="AJ96" s="237" t="s">
        <v>154</v>
      </c>
      <c r="AK96" s="235" t="str">
        <f t="shared" ref="AK96:AK98" si="236">IF(AJ96="Siempre se ejecuta","Fuerte",IF(AJ96="Algunas veces","Moderado",IF(AJ96="no se ejecuta","Débil","")))</f>
        <v>Fuerte</v>
      </c>
      <c r="AL96" s="235" t="str">
        <f t="shared" ref="AL96:AL98" si="237">AI96&amp;AK96</f>
        <v>FuerteFuerte</v>
      </c>
      <c r="AM96" s="235" t="str">
        <f>IFERROR(VLOOKUP(AL96,[16]FORMULAS!$B$70:$D$78,3,FALSE),"")</f>
        <v>Fuerte</v>
      </c>
      <c r="AN96" s="235">
        <f t="shared" ref="AN96:AN98" si="238">IF(AM96="fuerte",100,IF(AM96="Moderado",50,IF(AM96="débil",0,"")))</f>
        <v>100</v>
      </c>
      <c r="AO96" s="271"/>
      <c r="AP96" s="271"/>
      <c r="AQ96" s="304"/>
      <c r="AR96" s="304"/>
      <c r="AS96" s="271"/>
      <c r="AT96" s="271"/>
      <c r="AU96" s="271"/>
      <c r="AV96" s="271"/>
      <c r="AW96" s="297"/>
      <c r="AX96" s="297"/>
      <c r="AY96" s="254"/>
      <c r="AZ96" s="316"/>
      <c r="BA96" s="317"/>
      <c r="BB96" s="186" t="s">
        <v>676</v>
      </c>
      <c r="BC96" s="186" t="s">
        <v>677</v>
      </c>
      <c r="BD96" s="217" t="s">
        <v>678</v>
      </c>
      <c r="BE96" s="192">
        <v>44560</v>
      </c>
      <c r="BF96" s="314"/>
      <c r="BG96" s="194" t="s">
        <v>679</v>
      </c>
      <c r="BH96" s="194" t="s">
        <v>680</v>
      </c>
      <c r="BI96" s="182" t="s">
        <v>651</v>
      </c>
      <c r="BJ96" s="193" t="s">
        <v>655</v>
      </c>
    </row>
    <row r="97" spans="1:62" s="59" customFormat="1" ht="126" customHeight="1" thickBot="1" x14ac:dyDescent="0.3">
      <c r="A97" s="295"/>
      <c r="B97" s="457"/>
      <c r="C97" s="297"/>
      <c r="D97" s="298"/>
      <c r="E97" s="298"/>
      <c r="F97" s="297"/>
      <c r="G97" s="297"/>
      <c r="H97" s="298"/>
      <c r="I97" s="299"/>
      <c r="J97" s="299"/>
      <c r="K97" s="62" t="s">
        <v>681</v>
      </c>
      <c r="L97" s="334"/>
      <c r="M97" s="254"/>
      <c r="N97" s="297"/>
      <c r="O97" s="297"/>
      <c r="P97" s="254"/>
      <c r="Q97" s="317"/>
      <c r="R97" s="291" t="s">
        <v>682</v>
      </c>
      <c r="S97" s="291"/>
      <c r="T97" s="636" t="s">
        <v>147</v>
      </c>
      <c r="U97" s="614">
        <f t="shared" si="222"/>
        <v>15</v>
      </c>
      <c r="V97" s="636" t="s">
        <v>148</v>
      </c>
      <c r="W97" s="614">
        <f t="shared" si="223"/>
        <v>15</v>
      </c>
      <c r="X97" s="636" t="s">
        <v>149</v>
      </c>
      <c r="Y97" s="614">
        <f t="shared" si="224"/>
        <v>15</v>
      </c>
      <c r="Z97" s="636" t="s">
        <v>150</v>
      </c>
      <c r="AA97" s="614">
        <f t="shared" si="225"/>
        <v>15</v>
      </c>
      <c r="AB97" s="636" t="s">
        <v>151</v>
      </c>
      <c r="AC97" s="614">
        <f t="shared" si="226"/>
        <v>15</v>
      </c>
      <c r="AD97" s="636" t="s">
        <v>152</v>
      </c>
      <c r="AE97" s="614">
        <f t="shared" si="227"/>
        <v>15</v>
      </c>
      <c r="AF97" s="636" t="s">
        <v>153</v>
      </c>
      <c r="AG97" s="614">
        <f t="shared" si="235"/>
        <v>10</v>
      </c>
      <c r="AH97" s="235">
        <f t="shared" si="228"/>
        <v>100</v>
      </c>
      <c r="AI97" s="235" t="str">
        <f t="shared" ref="AI97:AI98" si="239">IF(AH97&gt;=96,"Fuerte",IF(AH97&gt;=86,"Moderado",IF(AH97&gt;=1,"Débil","")))</f>
        <v>Fuerte</v>
      </c>
      <c r="AJ97" s="237" t="s">
        <v>154</v>
      </c>
      <c r="AK97" s="235" t="str">
        <f t="shared" si="236"/>
        <v>Fuerte</v>
      </c>
      <c r="AL97" s="235" t="str">
        <f t="shared" si="237"/>
        <v>FuerteFuerte</v>
      </c>
      <c r="AM97" s="235" t="str">
        <f>IFERROR(VLOOKUP(AL97,[16]FORMULAS!$B$70:$D$78,3,FALSE),"")</f>
        <v>Fuerte</v>
      </c>
      <c r="AN97" s="235">
        <f t="shared" si="238"/>
        <v>100</v>
      </c>
      <c r="AO97" s="271"/>
      <c r="AP97" s="271"/>
      <c r="AQ97" s="304"/>
      <c r="AR97" s="304"/>
      <c r="AS97" s="271"/>
      <c r="AT97" s="271"/>
      <c r="AU97" s="271"/>
      <c r="AV97" s="271"/>
      <c r="AW97" s="297"/>
      <c r="AX97" s="297"/>
      <c r="AY97" s="254"/>
      <c r="AZ97" s="316"/>
      <c r="BA97" s="317"/>
      <c r="BB97" s="186" t="s">
        <v>683</v>
      </c>
      <c r="BC97" s="186" t="s">
        <v>684</v>
      </c>
      <c r="BD97" s="100" t="s">
        <v>651</v>
      </c>
      <c r="BE97" s="192">
        <v>44560</v>
      </c>
      <c r="BF97" s="314"/>
      <c r="BG97" s="182" t="s">
        <v>685</v>
      </c>
      <c r="BH97" s="182" t="s">
        <v>686</v>
      </c>
      <c r="BI97" s="182" t="s">
        <v>651</v>
      </c>
      <c r="BJ97" s="112" t="s">
        <v>655</v>
      </c>
    </row>
    <row r="98" spans="1:62" s="59" customFormat="1" ht="209.25" customHeight="1" thickBot="1" x14ac:dyDescent="0.3">
      <c r="A98" s="466"/>
      <c r="B98" s="458"/>
      <c r="C98" s="297"/>
      <c r="D98" s="298"/>
      <c r="E98" s="298"/>
      <c r="F98" s="297"/>
      <c r="G98" s="297"/>
      <c r="H98" s="298"/>
      <c r="I98" s="299"/>
      <c r="J98" s="299"/>
      <c r="K98" s="200"/>
      <c r="L98" s="200"/>
      <c r="M98" s="254"/>
      <c r="N98" s="297"/>
      <c r="O98" s="297"/>
      <c r="P98" s="254"/>
      <c r="Q98" s="317"/>
      <c r="R98" s="513" t="s">
        <v>687</v>
      </c>
      <c r="S98" s="513"/>
      <c r="T98" s="636" t="s">
        <v>147</v>
      </c>
      <c r="U98" s="614">
        <f t="shared" si="222"/>
        <v>15</v>
      </c>
      <c r="V98" s="636" t="s">
        <v>148</v>
      </c>
      <c r="W98" s="614">
        <f t="shared" si="223"/>
        <v>15</v>
      </c>
      <c r="X98" s="636" t="s">
        <v>149</v>
      </c>
      <c r="Y98" s="614">
        <f t="shared" si="224"/>
        <v>15</v>
      </c>
      <c r="Z98" s="636" t="s">
        <v>150</v>
      </c>
      <c r="AA98" s="614">
        <f t="shared" si="225"/>
        <v>15</v>
      </c>
      <c r="AB98" s="636" t="s">
        <v>151</v>
      </c>
      <c r="AC98" s="614">
        <f t="shared" si="226"/>
        <v>15</v>
      </c>
      <c r="AD98" s="636" t="s">
        <v>152</v>
      </c>
      <c r="AE98" s="614">
        <f t="shared" si="227"/>
        <v>15</v>
      </c>
      <c r="AF98" s="636" t="s">
        <v>153</v>
      </c>
      <c r="AG98" s="614">
        <f t="shared" si="235"/>
        <v>10</v>
      </c>
      <c r="AH98" s="235">
        <f t="shared" si="228"/>
        <v>100</v>
      </c>
      <c r="AI98" s="235" t="str">
        <f t="shared" si="239"/>
        <v>Fuerte</v>
      </c>
      <c r="AJ98" s="237" t="s">
        <v>154</v>
      </c>
      <c r="AK98" s="235" t="str">
        <f t="shared" si="236"/>
        <v>Fuerte</v>
      </c>
      <c r="AL98" s="235" t="str">
        <f t="shared" si="237"/>
        <v>FuerteFuerte</v>
      </c>
      <c r="AM98" s="235" t="str">
        <f>IFERROR(VLOOKUP(AL98,[16]FORMULAS!$B$70:$D$78,3,FALSE),"")</f>
        <v>Fuerte</v>
      </c>
      <c r="AN98" s="235">
        <f t="shared" si="238"/>
        <v>100</v>
      </c>
      <c r="AO98" s="271"/>
      <c r="AP98" s="271"/>
      <c r="AQ98" s="304"/>
      <c r="AR98" s="304"/>
      <c r="AS98" s="271"/>
      <c r="AT98" s="271"/>
      <c r="AU98" s="271"/>
      <c r="AV98" s="271"/>
      <c r="AW98" s="297"/>
      <c r="AX98" s="297"/>
      <c r="AY98" s="254"/>
      <c r="AZ98" s="316"/>
      <c r="BA98" s="317"/>
      <c r="BB98" s="233" t="s">
        <v>688</v>
      </c>
      <c r="BC98" s="233" t="s">
        <v>689</v>
      </c>
      <c r="BD98" s="233" t="s">
        <v>690</v>
      </c>
      <c r="BE98" s="192">
        <v>44560</v>
      </c>
      <c r="BF98" s="327"/>
      <c r="BG98" s="182" t="s">
        <v>653</v>
      </c>
      <c r="BH98" s="182" t="s">
        <v>654</v>
      </c>
      <c r="BI98" s="111" t="s">
        <v>691</v>
      </c>
      <c r="BJ98" s="112" t="s">
        <v>655</v>
      </c>
    </row>
    <row r="99" spans="1:62" ht="36" x14ac:dyDescent="0.25">
      <c r="A99" s="293"/>
      <c r="B99" s="457" t="s">
        <v>75</v>
      </c>
      <c r="C99" s="276">
        <v>35</v>
      </c>
      <c r="D99" s="389" t="s">
        <v>692</v>
      </c>
      <c r="E99" s="389" t="s">
        <v>693</v>
      </c>
      <c r="F99" s="341" t="s">
        <v>11</v>
      </c>
      <c r="G99" s="341" t="s">
        <v>45</v>
      </c>
      <c r="H99" s="344" t="s">
        <v>694</v>
      </c>
      <c r="I99" s="345"/>
      <c r="J99" s="345"/>
      <c r="K99" s="62" t="s">
        <v>695</v>
      </c>
      <c r="L99" s="62" t="s">
        <v>696</v>
      </c>
      <c r="M99" s="342" t="str">
        <f>IF(F99="gestion","impacto",IF(F99="corrupcion","impactocorrupcion",IF(F99="seguridad_de_la_informacion","impacto","")))</f>
        <v>impacto</v>
      </c>
      <c r="N99" s="341" t="s">
        <v>35</v>
      </c>
      <c r="O99" s="341" t="s">
        <v>28</v>
      </c>
      <c r="P99" s="342" t="str">
        <f>N99&amp;O99</f>
        <v>PosibleMenor</v>
      </c>
      <c r="Q99" s="343" t="str">
        <f>IFERROR(VLOOKUP(P99,FORMULAS!$B$37:$C$61,2,FALSE),"")</f>
        <v>Riesgo moderado</v>
      </c>
      <c r="R99" s="375" t="s">
        <v>697</v>
      </c>
      <c r="S99" s="376"/>
      <c r="T99" s="121" t="s">
        <v>147</v>
      </c>
      <c r="U99" s="67">
        <f t="shared" si="216"/>
        <v>15</v>
      </c>
      <c r="V99" s="121" t="s">
        <v>148</v>
      </c>
      <c r="W99" s="67">
        <f t="shared" si="217"/>
        <v>15</v>
      </c>
      <c r="X99" s="121" t="s">
        <v>149</v>
      </c>
      <c r="Y99" s="67">
        <f t="shared" si="218"/>
        <v>15</v>
      </c>
      <c r="Z99" s="121" t="s">
        <v>150</v>
      </c>
      <c r="AA99" s="67">
        <f t="shared" si="219"/>
        <v>15</v>
      </c>
      <c r="AB99" s="121" t="s">
        <v>151</v>
      </c>
      <c r="AC99" s="67">
        <f t="shared" si="220"/>
        <v>15</v>
      </c>
      <c r="AD99" s="121" t="s">
        <v>152</v>
      </c>
      <c r="AE99" s="67">
        <f t="shared" si="221"/>
        <v>15</v>
      </c>
      <c r="AF99" s="121" t="s">
        <v>153</v>
      </c>
      <c r="AG99" s="123">
        <f t="shared" si="164"/>
        <v>10</v>
      </c>
      <c r="AH99" s="127">
        <f t="shared" si="165"/>
        <v>100</v>
      </c>
      <c r="AI99" s="127" t="str">
        <f t="shared" si="166"/>
        <v>Fuerte</v>
      </c>
      <c r="AJ99" s="119" t="s">
        <v>154</v>
      </c>
      <c r="AK99" s="127" t="str">
        <f t="shared" si="167"/>
        <v>Fuerte</v>
      </c>
      <c r="AL99" s="127" t="str">
        <f t="shared" si="168"/>
        <v>FuerteFuerte</v>
      </c>
      <c r="AM99" s="127" t="str">
        <f>IFERROR(VLOOKUP(AL99,FORMULAS!$B$69:$D$77,3,FALSE),"")</f>
        <v>Fuerte</v>
      </c>
      <c r="AN99" s="127">
        <f t="shared" si="169"/>
        <v>100</v>
      </c>
      <c r="AO99" s="127" t="str">
        <f>IFERROR(VLOOKUP(AL99,FORMULAS!$B$69:$D$77,2,FALSE),"")</f>
        <v>No</v>
      </c>
      <c r="AP99" s="306">
        <f>IFERROR(AVERAGE(AN99:AN100),0)</f>
        <v>100</v>
      </c>
      <c r="AQ99" s="306" t="str">
        <f>IF(AP99&gt;=100,"Fuerte",IF(AP99&gt;=50,"Moderado",IF(AP99&gt;=1,"Débil","")))</f>
        <v>Fuerte</v>
      </c>
      <c r="AR99" s="308" t="s">
        <v>92</v>
      </c>
      <c r="AS99" s="308" t="s">
        <v>92</v>
      </c>
      <c r="AT99" s="306" t="str">
        <f>+AQ99&amp;AR99&amp;AS99</f>
        <v>FuerteDirectamenteDirectamente</v>
      </c>
      <c r="AU99" s="306">
        <f>IFERROR(VLOOKUP(AT99,FORMULAS!$B$94:$D$101,2,FALSE),0)</f>
        <v>2</v>
      </c>
      <c r="AV99" s="306">
        <f>IFERROR(VLOOKUP(AT99,FORMULAS!$B$94:$D$101,3,FALSE),0)</f>
        <v>2</v>
      </c>
      <c r="AW99" s="341" t="s">
        <v>15</v>
      </c>
      <c r="AX99" s="341" t="s">
        <v>28</v>
      </c>
      <c r="AY99" s="342" t="str">
        <f>AW99&amp;AX99</f>
        <v>Rara vezMenor</v>
      </c>
      <c r="AZ99" s="356" t="str">
        <f>IFERROR(VLOOKUP(AY99,FORMULAS!$B$37:$C$61,2,FALSE),"")</f>
        <v>Riesgo bajo</v>
      </c>
      <c r="BA99" s="343" t="s">
        <v>19</v>
      </c>
      <c r="BB99" s="149" t="s">
        <v>698</v>
      </c>
      <c r="BC99" s="149" t="s">
        <v>699</v>
      </c>
      <c r="BD99" s="149" t="s">
        <v>700</v>
      </c>
      <c r="BE99" s="85" t="s">
        <v>701</v>
      </c>
      <c r="BF99" s="145" t="s">
        <v>702</v>
      </c>
      <c r="BG99" s="265" t="s">
        <v>703</v>
      </c>
      <c r="BH99" s="470" t="s">
        <v>704</v>
      </c>
      <c r="BI99" s="470" t="s">
        <v>705</v>
      </c>
      <c r="BJ99" s="472" t="s">
        <v>706</v>
      </c>
    </row>
    <row r="100" spans="1:62" ht="126" customHeight="1" x14ac:dyDescent="0.25">
      <c r="A100" s="293"/>
      <c r="B100" s="468"/>
      <c r="C100" s="360"/>
      <c r="D100" s="387"/>
      <c r="E100" s="387"/>
      <c r="F100" s="297"/>
      <c r="G100" s="297"/>
      <c r="H100" s="298"/>
      <c r="I100" s="299"/>
      <c r="J100" s="299"/>
      <c r="K100" s="62" t="s">
        <v>707</v>
      </c>
      <c r="L100" s="62" t="s">
        <v>708</v>
      </c>
      <c r="M100" s="254"/>
      <c r="N100" s="297"/>
      <c r="O100" s="297"/>
      <c r="P100" s="254"/>
      <c r="Q100" s="317"/>
      <c r="R100" s="464" t="s">
        <v>709</v>
      </c>
      <c r="S100" s="465"/>
      <c r="T100" s="133" t="s">
        <v>147</v>
      </c>
      <c r="U100" s="66">
        <f t="shared" si="216"/>
        <v>15</v>
      </c>
      <c r="V100" s="133" t="s">
        <v>148</v>
      </c>
      <c r="W100" s="66">
        <f t="shared" si="217"/>
        <v>15</v>
      </c>
      <c r="X100" s="133" t="s">
        <v>149</v>
      </c>
      <c r="Y100" s="66">
        <f t="shared" si="218"/>
        <v>15</v>
      </c>
      <c r="Z100" s="133" t="s">
        <v>150</v>
      </c>
      <c r="AA100" s="66">
        <f t="shared" si="219"/>
        <v>15</v>
      </c>
      <c r="AB100" s="133" t="s">
        <v>151</v>
      </c>
      <c r="AC100" s="66">
        <f t="shared" si="220"/>
        <v>15</v>
      </c>
      <c r="AD100" s="133" t="s">
        <v>152</v>
      </c>
      <c r="AE100" s="66">
        <f t="shared" si="221"/>
        <v>15</v>
      </c>
      <c r="AF100" s="133" t="s">
        <v>153</v>
      </c>
      <c r="AG100" s="135">
        <f t="shared" si="164"/>
        <v>10</v>
      </c>
      <c r="AH100" s="128">
        <f t="shared" si="165"/>
        <v>100</v>
      </c>
      <c r="AI100" s="128" t="str">
        <f t="shared" si="166"/>
        <v>Fuerte</v>
      </c>
      <c r="AJ100" s="139" t="s">
        <v>154</v>
      </c>
      <c r="AK100" s="128" t="str">
        <f t="shared" si="167"/>
        <v>Fuerte</v>
      </c>
      <c r="AL100" s="128" t="str">
        <f t="shared" si="168"/>
        <v>FuerteFuerte</v>
      </c>
      <c r="AM100" s="128" t="str">
        <f>IFERROR(VLOOKUP(AL100,FORMULAS!$B$69:$D$77,3,FALSE),"")</f>
        <v>Fuerte</v>
      </c>
      <c r="AN100" s="128">
        <f t="shared" si="169"/>
        <v>100</v>
      </c>
      <c r="AO100" s="128" t="str">
        <f>IFERROR(VLOOKUP(AL100,FORMULAS!$B$69:$C$77,2,FALSE),"")</f>
        <v>No</v>
      </c>
      <c r="AP100" s="271"/>
      <c r="AQ100" s="271"/>
      <c r="AR100" s="304"/>
      <c r="AS100" s="304"/>
      <c r="AT100" s="271"/>
      <c r="AU100" s="271"/>
      <c r="AV100" s="271"/>
      <c r="AW100" s="297"/>
      <c r="AX100" s="297"/>
      <c r="AY100" s="254"/>
      <c r="AZ100" s="316"/>
      <c r="BA100" s="317"/>
      <c r="BB100" s="150"/>
      <c r="BC100" s="150"/>
      <c r="BD100" s="150"/>
      <c r="BE100" s="83"/>
      <c r="BG100" s="266"/>
      <c r="BH100" s="471"/>
      <c r="BI100" s="471"/>
      <c r="BJ100" s="473"/>
    </row>
    <row r="101" spans="1:62" ht="146.25" customHeight="1" x14ac:dyDescent="0.25">
      <c r="A101" s="293"/>
      <c r="B101" s="459" t="s">
        <v>79</v>
      </c>
      <c r="C101" s="341">
        <v>36</v>
      </c>
      <c r="D101" s="274" t="s">
        <v>710</v>
      </c>
      <c r="E101" s="274" t="s">
        <v>711</v>
      </c>
      <c r="F101" s="341" t="s">
        <v>11</v>
      </c>
      <c r="G101" s="341" t="s">
        <v>45</v>
      </c>
      <c r="H101" s="344" t="s">
        <v>712</v>
      </c>
      <c r="I101" s="345"/>
      <c r="J101" s="345"/>
      <c r="K101" s="138" t="s">
        <v>713</v>
      </c>
      <c r="L101" s="288" t="s">
        <v>714</v>
      </c>
      <c r="M101" s="342" t="str">
        <f>IF(F101="gestion","impacto",IF(F101="corrupcion","impactocorrupcion",IF(F101="seguridad_de_la_informacion","impacto","")))</f>
        <v>impacto</v>
      </c>
      <c r="N101" s="341" t="s">
        <v>42</v>
      </c>
      <c r="O101" s="341" t="s">
        <v>17</v>
      </c>
      <c r="P101" s="342" t="str">
        <f>N101&amp;O101</f>
        <v>ProbableModerado</v>
      </c>
      <c r="Q101" s="343" t="str">
        <f>IFERROR(VLOOKUP(P101,FORMULAS!$B$37:$C$61,2,FALSE),"")</f>
        <v>Riesgo alto</v>
      </c>
      <c r="R101" s="380" t="s">
        <v>715</v>
      </c>
      <c r="S101" s="380"/>
      <c r="T101" s="121" t="s">
        <v>147</v>
      </c>
      <c r="U101" s="67">
        <f t="shared" si="216"/>
        <v>15</v>
      </c>
      <c r="V101" s="121" t="s">
        <v>148</v>
      </c>
      <c r="W101" s="67">
        <f t="shared" si="217"/>
        <v>15</v>
      </c>
      <c r="X101" s="121" t="s">
        <v>149</v>
      </c>
      <c r="Y101" s="67">
        <f t="shared" si="218"/>
        <v>15</v>
      </c>
      <c r="Z101" s="121" t="s">
        <v>150</v>
      </c>
      <c r="AA101" s="67">
        <f t="shared" si="219"/>
        <v>15</v>
      </c>
      <c r="AB101" s="121" t="s">
        <v>151</v>
      </c>
      <c r="AC101" s="67">
        <f t="shared" si="220"/>
        <v>15</v>
      </c>
      <c r="AD101" s="121" t="s">
        <v>152</v>
      </c>
      <c r="AE101" s="67">
        <f t="shared" si="221"/>
        <v>15</v>
      </c>
      <c r="AF101" s="121" t="s">
        <v>153</v>
      </c>
      <c r="AG101" s="123">
        <f t="shared" si="164"/>
        <v>10</v>
      </c>
      <c r="AH101" s="127">
        <f t="shared" si="165"/>
        <v>100</v>
      </c>
      <c r="AI101" s="127" t="str">
        <f t="shared" si="166"/>
        <v>Fuerte</v>
      </c>
      <c r="AJ101" s="119" t="s">
        <v>154</v>
      </c>
      <c r="AK101" s="127" t="str">
        <f t="shared" si="167"/>
        <v>Fuerte</v>
      </c>
      <c r="AL101" s="127" t="str">
        <f t="shared" si="168"/>
        <v>FuerteFuerte</v>
      </c>
      <c r="AM101" s="127" t="str">
        <f>IFERROR(VLOOKUP(AL101,FORMULAS!$B$69:$D$77,3,FALSE),"")</f>
        <v>Fuerte</v>
      </c>
      <c r="AN101" s="127">
        <f t="shared" si="169"/>
        <v>100</v>
      </c>
      <c r="AO101" s="127" t="str">
        <f>IFERROR(VLOOKUP(AL101,FORMULAS!$B$69:$D$77,2,FALSE),"")</f>
        <v>No</v>
      </c>
      <c r="AP101" s="306">
        <f>IFERROR(AVERAGE(AN101:AN102),0)</f>
        <v>100</v>
      </c>
      <c r="AQ101" s="306" t="str">
        <f>IF(AP101&gt;=100,"Fuerte",IF(AP101&gt;=50,"Moderado",IF(AP101&gt;=1,"Débil","")))</f>
        <v>Fuerte</v>
      </c>
      <c r="AR101" s="308" t="s">
        <v>92</v>
      </c>
      <c r="AS101" s="308" t="s">
        <v>94</v>
      </c>
      <c r="AT101" s="306" t="str">
        <f>+AQ101&amp;AR101&amp;AS101</f>
        <v>FuerteDirectamenteIndirectamente</v>
      </c>
      <c r="AU101" s="306">
        <f>IFERROR(VLOOKUP(AT101,FORMULAS!$B$94:$D$101,2,FALSE),0)</f>
        <v>2</v>
      </c>
      <c r="AV101" s="306">
        <f>IFERROR(VLOOKUP(AT101,FORMULAS!$B$94:$D$101,3,FALSE),0)</f>
        <v>1</v>
      </c>
      <c r="AW101" s="341" t="s">
        <v>25</v>
      </c>
      <c r="AX101" s="341" t="s">
        <v>28</v>
      </c>
      <c r="AY101" s="342" t="str">
        <f>AW101&amp;AX101</f>
        <v>ImprobableMenor</v>
      </c>
      <c r="AZ101" s="356" t="str">
        <f>IFERROR(VLOOKUP(AY101,FORMULAS!$B$37:$C$61,2,FALSE),"")</f>
        <v>Riesgo bajo</v>
      </c>
      <c r="BA101" s="343" t="s">
        <v>19</v>
      </c>
      <c r="BB101" s="149" t="s">
        <v>716</v>
      </c>
      <c r="BC101" s="149" t="s">
        <v>717</v>
      </c>
      <c r="BD101" s="149" t="s">
        <v>718</v>
      </c>
      <c r="BE101" s="85" t="s">
        <v>312</v>
      </c>
      <c r="BF101" s="85" t="s">
        <v>719</v>
      </c>
      <c r="BG101" s="265" t="s">
        <v>720</v>
      </c>
      <c r="BH101" s="265" t="s">
        <v>721</v>
      </c>
      <c r="BI101" s="265" t="s">
        <v>718</v>
      </c>
      <c r="BJ101" s="268" t="s">
        <v>722</v>
      </c>
    </row>
    <row r="102" spans="1:62" ht="170.25" customHeight="1" x14ac:dyDescent="0.25">
      <c r="A102" s="293"/>
      <c r="B102" s="460"/>
      <c r="C102" s="297"/>
      <c r="D102" s="275"/>
      <c r="E102" s="275"/>
      <c r="F102" s="297"/>
      <c r="G102" s="297"/>
      <c r="H102" s="298"/>
      <c r="I102" s="299"/>
      <c r="J102" s="299"/>
      <c r="K102" s="152" t="s">
        <v>723</v>
      </c>
      <c r="L102" s="289"/>
      <c r="M102" s="254"/>
      <c r="N102" s="297"/>
      <c r="O102" s="297"/>
      <c r="P102" s="254"/>
      <c r="Q102" s="317"/>
      <c r="R102" s="374" t="s">
        <v>724</v>
      </c>
      <c r="S102" s="374"/>
      <c r="T102" s="133" t="s">
        <v>147</v>
      </c>
      <c r="U102" s="66">
        <f t="shared" si="216"/>
        <v>15</v>
      </c>
      <c r="V102" s="133" t="s">
        <v>148</v>
      </c>
      <c r="W102" s="66">
        <f t="shared" si="217"/>
        <v>15</v>
      </c>
      <c r="X102" s="133" t="s">
        <v>149</v>
      </c>
      <c r="Y102" s="66">
        <f t="shared" si="218"/>
        <v>15</v>
      </c>
      <c r="Z102" s="133" t="s">
        <v>150</v>
      </c>
      <c r="AA102" s="66">
        <f t="shared" si="219"/>
        <v>15</v>
      </c>
      <c r="AB102" s="133" t="s">
        <v>151</v>
      </c>
      <c r="AC102" s="66">
        <f t="shared" si="220"/>
        <v>15</v>
      </c>
      <c r="AD102" s="133" t="s">
        <v>152</v>
      </c>
      <c r="AE102" s="66">
        <f t="shared" si="221"/>
        <v>15</v>
      </c>
      <c r="AF102" s="133" t="s">
        <v>153</v>
      </c>
      <c r="AG102" s="135">
        <f t="shared" si="164"/>
        <v>10</v>
      </c>
      <c r="AH102" s="128">
        <f t="shared" si="165"/>
        <v>100</v>
      </c>
      <c r="AI102" s="128" t="str">
        <f t="shared" si="166"/>
        <v>Fuerte</v>
      </c>
      <c r="AJ102" s="139" t="s">
        <v>154</v>
      </c>
      <c r="AK102" s="128" t="str">
        <f t="shared" si="167"/>
        <v>Fuerte</v>
      </c>
      <c r="AL102" s="128" t="str">
        <f t="shared" si="168"/>
        <v>FuerteFuerte</v>
      </c>
      <c r="AM102" s="128" t="str">
        <f>IFERROR(VLOOKUP(AL102,FORMULAS!$B$69:$D$77,3,FALSE),"")</f>
        <v>Fuerte</v>
      </c>
      <c r="AN102" s="128">
        <f t="shared" si="169"/>
        <v>100</v>
      </c>
      <c r="AO102" s="128" t="str">
        <f>IFERROR(VLOOKUP(AL102,FORMULAS!$B$69:$C$77,2,FALSE),"")</f>
        <v>No</v>
      </c>
      <c r="AP102" s="271"/>
      <c r="AQ102" s="271"/>
      <c r="AR102" s="304"/>
      <c r="AS102" s="304"/>
      <c r="AT102" s="271"/>
      <c r="AU102" s="271"/>
      <c r="AV102" s="271"/>
      <c r="AW102" s="297"/>
      <c r="AX102" s="297"/>
      <c r="AY102" s="254"/>
      <c r="AZ102" s="316"/>
      <c r="BA102" s="317"/>
      <c r="BB102" s="150" t="s">
        <v>725</v>
      </c>
      <c r="BC102" s="150" t="s">
        <v>726</v>
      </c>
      <c r="BD102" s="150" t="s">
        <v>727</v>
      </c>
      <c r="BE102" s="83" t="s">
        <v>224</v>
      </c>
      <c r="BF102" s="83" t="s">
        <v>728</v>
      </c>
      <c r="BG102" s="266"/>
      <c r="BH102" s="266"/>
      <c r="BI102" s="266"/>
      <c r="BJ102" s="312"/>
    </row>
    <row r="103" spans="1:62" ht="153" customHeight="1" x14ac:dyDescent="0.25">
      <c r="A103" s="293"/>
      <c r="B103" s="459" t="s">
        <v>79</v>
      </c>
      <c r="C103" s="341">
        <v>37</v>
      </c>
      <c r="D103" s="383" t="s">
        <v>729</v>
      </c>
      <c r="E103" s="383" t="s">
        <v>730</v>
      </c>
      <c r="F103" s="341" t="s">
        <v>11</v>
      </c>
      <c r="G103" s="341" t="s">
        <v>45</v>
      </c>
      <c r="H103" s="344" t="s">
        <v>712</v>
      </c>
      <c r="I103" s="345"/>
      <c r="J103" s="345"/>
      <c r="K103" s="138" t="s">
        <v>731</v>
      </c>
      <c r="L103" s="288" t="s">
        <v>732</v>
      </c>
      <c r="M103" s="342" t="str">
        <f>IF(F103="gestion","impacto",IF(F103="corrupcion","impactocorrupcion",IF(F103="seguridad_de_la_informacion","impacto","")))</f>
        <v>impacto</v>
      </c>
      <c r="N103" s="341" t="s">
        <v>25</v>
      </c>
      <c r="O103" s="341" t="s">
        <v>17</v>
      </c>
      <c r="P103" s="342" t="str">
        <f>N103&amp;O103</f>
        <v>ImprobableModerado</v>
      </c>
      <c r="Q103" s="343" t="str">
        <f>IFERROR(VLOOKUP(P103,FORMULAS!$B$37:$C$61,2,FALSE),"")</f>
        <v>Riesgo moderado</v>
      </c>
      <c r="R103" s="380" t="s">
        <v>733</v>
      </c>
      <c r="S103" s="380"/>
      <c r="T103" s="121" t="s">
        <v>147</v>
      </c>
      <c r="U103" s="67">
        <f t="shared" si="216"/>
        <v>15</v>
      </c>
      <c r="V103" s="121" t="s">
        <v>148</v>
      </c>
      <c r="W103" s="67">
        <f t="shared" si="217"/>
        <v>15</v>
      </c>
      <c r="X103" s="121" t="s">
        <v>149</v>
      </c>
      <c r="Y103" s="67">
        <f t="shared" si="218"/>
        <v>15</v>
      </c>
      <c r="Z103" s="121" t="s">
        <v>150</v>
      </c>
      <c r="AA103" s="67">
        <f t="shared" si="219"/>
        <v>15</v>
      </c>
      <c r="AB103" s="121" t="s">
        <v>151</v>
      </c>
      <c r="AC103" s="67">
        <f t="shared" si="220"/>
        <v>15</v>
      </c>
      <c r="AD103" s="121" t="s">
        <v>152</v>
      </c>
      <c r="AE103" s="67">
        <f t="shared" si="221"/>
        <v>15</v>
      </c>
      <c r="AF103" s="121" t="s">
        <v>153</v>
      </c>
      <c r="AG103" s="123">
        <f t="shared" si="164"/>
        <v>10</v>
      </c>
      <c r="AH103" s="127">
        <f t="shared" si="165"/>
        <v>100</v>
      </c>
      <c r="AI103" s="127" t="str">
        <f t="shared" si="166"/>
        <v>Fuerte</v>
      </c>
      <c r="AJ103" s="119" t="s">
        <v>154</v>
      </c>
      <c r="AK103" s="127" t="str">
        <f t="shared" si="167"/>
        <v>Fuerte</v>
      </c>
      <c r="AL103" s="127" t="str">
        <f t="shared" si="168"/>
        <v>FuerteFuerte</v>
      </c>
      <c r="AM103" s="127" t="str">
        <f>IFERROR(VLOOKUP(AL103,FORMULAS!$B$69:$D$77,3,FALSE),"")</f>
        <v>Fuerte</v>
      </c>
      <c r="AN103" s="127">
        <f t="shared" si="169"/>
        <v>100</v>
      </c>
      <c r="AO103" s="127" t="str">
        <f>IFERROR(VLOOKUP(AL103,FORMULAS!$B$69:$D$77,2,FALSE),"")</f>
        <v>No</v>
      </c>
      <c r="AP103" s="306">
        <f>IFERROR(AVERAGE(AN103:AN104),0)</f>
        <v>100</v>
      </c>
      <c r="AQ103" s="306" t="str">
        <f>IF(AP103&gt;=100,"Fuerte",IF(AP103&gt;=50,"Moderado",IF(AP103&gt;=1,"Débil","")))</f>
        <v>Fuerte</v>
      </c>
      <c r="AR103" s="308" t="s">
        <v>92</v>
      </c>
      <c r="AS103" s="308" t="s">
        <v>94</v>
      </c>
      <c r="AT103" s="306" t="str">
        <f>+AQ103&amp;AR103&amp;AS103</f>
        <v>FuerteDirectamenteIndirectamente</v>
      </c>
      <c r="AU103" s="306">
        <f>IFERROR(VLOOKUP(AT103,FORMULAS!$B$94:$D$101,2,FALSE),0)</f>
        <v>2</v>
      </c>
      <c r="AV103" s="306">
        <f>IFERROR(VLOOKUP(AT103,FORMULAS!$B$94:$D$101,3,FALSE),0)</f>
        <v>1</v>
      </c>
      <c r="AW103" s="341" t="s">
        <v>15</v>
      </c>
      <c r="AX103" s="341" t="s">
        <v>28</v>
      </c>
      <c r="AY103" s="342" t="str">
        <f>AW103&amp;AX103</f>
        <v>Rara vezMenor</v>
      </c>
      <c r="AZ103" s="356" t="str">
        <f>IFERROR(VLOOKUP(AY103,FORMULAS!$B$37:$C$61,2,FALSE),"")</f>
        <v>Riesgo bajo</v>
      </c>
      <c r="BA103" s="343" t="s">
        <v>19</v>
      </c>
      <c r="BB103" s="149" t="s">
        <v>734</v>
      </c>
      <c r="BC103" s="149" t="s">
        <v>735</v>
      </c>
      <c r="BD103" s="149" t="s">
        <v>718</v>
      </c>
      <c r="BE103" s="85" t="s">
        <v>224</v>
      </c>
      <c r="BF103" s="85" t="s">
        <v>736</v>
      </c>
      <c r="BG103" s="265" t="s">
        <v>737</v>
      </c>
      <c r="BH103" s="265" t="s">
        <v>738</v>
      </c>
      <c r="BI103" s="265" t="s">
        <v>718</v>
      </c>
      <c r="BJ103" s="268" t="s">
        <v>739</v>
      </c>
    </row>
    <row r="104" spans="1:62" ht="153" customHeight="1" x14ac:dyDescent="0.25">
      <c r="A104" s="293"/>
      <c r="B104" s="467"/>
      <c r="C104" s="368"/>
      <c r="D104" s="384"/>
      <c r="E104" s="384"/>
      <c r="F104" s="368"/>
      <c r="G104" s="368"/>
      <c r="H104" s="366"/>
      <c r="I104" s="367"/>
      <c r="J104" s="367"/>
      <c r="K104" s="137" t="s">
        <v>740</v>
      </c>
      <c r="L104" s="315"/>
      <c r="M104" s="355"/>
      <c r="N104" s="368"/>
      <c r="O104" s="368"/>
      <c r="P104" s="355"/>
      <c r="Q104" s="369"/>
      <c r="R104" s="379" t="s">
        <v>741</v>
      </c>
      <c r="S104" s="379"/>
      <c r="T104" s="122" t="s">
        <v>147</v>
      </c>
      <c r="U104" s="69">
        <f t="shared" si="216"/>
        <v>15</v>
      </c>
      <c r="V104" s="122" t="s">
        <v>148</v>
      </c>
      <c r="W104" s="69">
        <f t="shared" si="217"/>
        <v>15</v>
      </c>
      <c r="X104" s="122" t="s">
        <v>149</v>
      </c>
      <c r="Y104" s="69">
        <f t="shared" si="218"/>
        <v>15</v>
      </c>
      <c r="Z104" s="122" t="s">
        <v>150</v>
      </c>
      <c r="AA104" s="69">
        <f t="shared" si="219"/>
        <v>15</v>
      </c>
      <c r="AB104" s="122" t="s">
        <v>151</v>
      </c>
      <c r="AC104" s="69">
        <f t="shared" si="220"/>
        <v>15</v>
      </c>
      <c r="AD104" s="122" t="s">
        <v>152</v>
      </c>
      <c r="AE104" s="69">
        <f t="shared" si="221"/>
        <v>15</v>
      </c>
      <c r="AF104" s="122" t="s">
        <v>153</v>
      </c>
      <c r="AG104" s="124">
        <f t="shared" si="164"/>
        <v>10</v>
      </c>
      <c r="AH104" s="129">
        <f t="shared" si="165"/>
        <v>100</v>
      </c>
      <c r="AI104" s="129" t="str">
        <f t="shared" si="166"/>
        <v>Fuerte</v>
      </c>
      <c r="AJ104" s="120" t="s">
        <v>154</v>
      </c>
      <c r="AK104" s="129" t="str">
        <f t="shared" si="167"/>
        <v>Fuerte</v>
      </c>
      <c r="AL104" s="129" t="str">
        <f t="shared" si="168"/>
        <v>FuerteFuerte</v>
      </c>
      <c r="AM104" s="129" t="str">
        <f>IFERROR(VLOOKUP(AL104,FORMULAS!$B$69:$D$77,3,FALSE),"")</f>
        <v>Fuerte</v>
      </c>
      <c r="AN104" s="129">
        <f t="shared" si="169"/>
        <v>100</v>
      </c>
      <c r="AO104" s="129" t="str">
        <f>IFERROR(VLOOKUP(AL104,FORMULAS!$B$69:$C$77,2,FALSE),"")</f>
        <v>No</v>
      </c>
      <c r="AP104" s="307"/>
      <c r="AQ104" s="307"/>
      <c r="AR104" s="305"/>
      <c r="AS104" s="305"/>
      <c r="AT104" s="307"/>
      <c r="AU104" s="307"/>
      <c r="AV104" s="307"/>
      <c r="AW104" s="368"/>
      <c r="AX104" s="368"/>
      <c r="AY104" s="355"/>
      <c r="AZ104" s="357"/>
      <c r="BA104" s="369"/>
      <c r="BB104" s="151" t="s">
        <v>742</v>
      </c>
      <c r="BC104" s="151" t="s">
        <v>743</v>
      </c>
      <c r="BD104" s="151" t="s">
        <v>718</v>
      </c>
      <c r="BE104" s="86" t="s">
        <v>224</v>
      </c>
      <c r="BF104" s="86" t="s">
        <v>744</v>
      </c>
      <c r="BG104" s="267"/>
      <c r="BH104" s="267"/>
      <c r="BI104" s="267"/>
      <c r="BJ104" s="269"/>
    </row>
    <row r="105" spans="1:62" x14ac:dyDescent="0.25">
      <c r="R105" s="98"/>
      <c r="S105" s="98"/>
    </row>
    <row r="106" spans="1:62" x14ac:dyDescent="0.25">
      <c r="R106" s="98"/>
      <c r="S106" s="98"/>
    </row>
    <row r="107" spans="1:62" x14ac:dyDescent="0.25">
      <c r="R107" s="98"/>
      <c r="S107" s="98"/>
    </row>
    <row r="108" spans="1:62" x14ac:dyDescent="0.25">
      <c r="R108" s="98"/>
      <c r="S108" s="98"/>
    </row>
  </sheetData>
  <sheetProtection selectLockedCells="1"/>
  <autoFilter ref="B8:BJ104">
    <filterColumn colId="12"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7" showButton="0"/>
    <filterColumn colId="48" showButton="0"/>
    <filterColumn colId="49" showButton="0"/>
    <filterColumn colId="52" showButton="0"/>
    <filterColumn colId="53" showButton="0"/>
    <filterColumn colId="54" showButton="0"/>
    <filterColumn colId="55" showButton="0"/>
    <filterColumn colId="57" showButton="0"/>
    <filterColumn colId="58" showButton="0"/>
    <filterColumn colId="59" showButton="0"/>
  </autoFilter>
  <mergeCells count="1414">
    <mergeCell ref="R71:S71"/>
    <mergeCell ref="R95:S95"/>
    <mergeCell ref="AO95:AO98"/>
    <mergeCell ref="R96:S96"/>
    <mergeCell ref="R97:S97"/>
    <mergeCell ref="R98:S98"/>
    <mergeCell ref="AY82:AY83"/>
    <mergeCell ref="AT84:AT85"/>
    <mergeCell ref="AY84:AY85"/>
    <mergeCell ref="AT86:AT87"/>
    <mergeCell ref="AY86:AY87"/>
    <mergeCell ref="AO84:AO85"/>
    <mergeCell ref="AO86:AO87"/>
    <mergeCell ref="R66:S66"/>
    <mergeCell ref="T66:T67"/>
    <mergeCell ref="AM66:AM67"/>
    <mergeCell ref="AT66:AT67"/>
    <mergeCell ref="R67:S67"/>
    <mergeCell ref="R68:S68"/>
    <mergeCell ref="T68:T69"/>
    <mergeCell ref="AT68:AT69"/>
    <mergeCell ref="R69:S69"/>
    <mergeCell ref="R70:S70"/>
    <mergeCell ref="T70:T71"/>
    <mergeCell ref="V70:V71"/>
    <mergeCell ref="X70:X71"/>
    <mergeCell ref="Z70:Z71"/>
    <mergeCell ref="AB70:AB71"/>
    <mergeCell ref="AD70:AD71"/>
    <mergeCell ref="AF70:AF71"/>
    <mergeCell ref="AH70:AH71"/>
    <mergeCell ref="AM60:AM61"/>
    <mergeCell ref="AN60:AN61"/>
    <mergeCell ref="AO60:AO61"/>
    <mergeCell ref="R61:S61"/>
    <mergeCell ref="AQ60:AQ61"/>
    <mergeCell ref="AX60:AX61"/>
    <mergeCell ref="AZ60:AZ61"/>
    <mergeCell ref="BA60:BA61"/>
    <mergeCell ref="BB60:BB61"/>
    <mergeCell ref="BC60:BC61"/>
    <mergeCell ref="BD60:BD61"/>
    <mergeCell ref="BE60:BE61"/>
    <mergeCell ref="BF60:BF61"/>
    <mergeCell ref="BG60:BG61"/>
    <mergeCell ref="BH60:BH61"/>
    <mergeCell ref="BI60:BI61"/>
    <mergeCell ref="BJ60:BJ61"/>
    <mergeCell ref="AZ58:AZ59"/>
    <mergeCell ref="BA58:BA59"/>
    <mergeCell ref="BB58:BB59"/>
    <mergeCell ref="BC58:BC59"/>
    <mergeCell ref="BD58:BD59"/>
    <mergeCell ref="BE58:BE59"/>
    <mergeCell ref="BF58:BF59"/>
    <mergeCell ref="BG58:BG59"/>
    <mergeCell ref="BH58:BH59"/>
    <mergeCell ref="BI58:BI59"/>
    <mergeCell ref="AS58:AS59"/>
    <mergeCell ref="AX58:AX59"/>
    <mergeCell ref="BJ58:BJ59"/>
    <mergeCell ref="K60:K61"/>
    <mergeCell ref="L60:L61"/>
    <mergeCell ref="N60:N61"/>
    <mergeCell ref="O60:O61"/>
    <mergeCell ref="Q60:Q61"/>
    <mergeCell ref="R60:S60"/>
    <mergeCell ref="T60:T61"/>
    <mergeCell ref="V60:V61"/>
    <mergeCell ref="X60:X61"/>
    <mergeCell ref="Z60:Z61"/>
    <mergeCell ref="AB60:AB61"/>
    <mergeCell ref="AD60:AD61"/>
    <mergeCell ref="AF60:AF61"/>
    <mergeCell ref="AH60:AH61"/>
    <mergeCell ref="AI60:AI61"/>
    <mergeCell ref="AJ60:AJ61"/>
    <mergeCell ref="AK60:AK61"/>
    <mergeCell ref="AB58:AB59"/>
    <mergeCell ref="AD58:AD59"/>
    <mergeCell ref="AF58:AF59"/>
    <mergeCell ref="AH58:AH59"/>
    <mergeCell ref="AI58:AI59"/>
    <mergeCell ref="AJ58:AJ59"/>
    <mergeCell ref="AK58:AK59"/>
    <mergeCell ref="AM58:AM59"/>
    <mergeCell ref="AN58:AN59"/>
    <mergeCell ref="AO58:AO59"/>
    <mergeCell ref="AP58:AP59"/>
    <mergeCell ref="AQ58:AQ59"/>
    <mergeCell ref="AR58:AR59"/>
    <mergeCell ref="AT58:AT59"/>
    <mergeCell ref="AU58:AU59"/>
    <mergeCell ref="AV58:AV59"/>
    <mergeCell ref="AW58:AW59"/>
    <mergeCell ref="B58:B59"/>
    <mergeCell ref="C58:C59"/>
    <mergeCell ref="D58:D59"/>
    <mergeCell ref="E58:E59"/>
    <mergeCell ref="F58:F59"/>
    <mergeCell ref="G58:G59"/>
    <mergeCell ref="H58:H59"/>
    <mergeCell ref="K58:K59"/>
    <mergeCell ref="L58:L59"/>
    <mergeCell ref="N58:N59"/>
    <mergeCell ref="O58:O59"/>
    <mergeCell ref="Q58:Q59"/>
    <mergeCell ref="T58:T59"/>
    <mergeCell ref="V58:V59"/>
    <mergeCell ref="X58:X59"/>
    <mergeCell ref="Z58:Z59"/>
    <mergeCell ref="BG56:BG57"/>
    <mergeCell ref="BH56:BH57"/>
    <mergeCell ref="BI56:BI57"/>
    <mergeCell ref="BJ56:BJ57"/>
    <mergeCell ref="T56:T57"/>
    <mergeCell ref="V56:V57"/>
    <mergeCell ref="X56:X57"/>
    <mergeCell ref="Z56:Z57"/>
    <mergeCell ref="AB56:AB57"/>
    <mergeCell ref="AD56:AD57"/>
    <mergeCell ref="AF56:AF57"/>
    <mergeCell ref="AH56:AH57"/>
    <mergeCell ref="AI56:AI57"/>
    <mergeCell ref="AJ56:AJ57"/>
    <mergeCell ref="AK56:AK57"/>
    <mergeCell ref="AM56:AM57"/>
    <mergeCell ref="AT56:AT57"/>
    <mergeCell ref="AN56:AN57"/>
    <mergeCell ref="AO56:AO57"/>
    <mergeCell ref="AP56:AP57"/>
    <mergeCell ref="AQ56:AQ57"/>
    <mergeCell ref="AR56:AR57"/>
    <mergeCell ref="AS56:AS57"/>
    <mergeCell ref="AU56:AU57"/>
    <mergeCell ref="AV56:AV57"/>
    <mergeCell ref="AW56:AW57"/>
    <mergeCell ref="AX56:AX57"/>
    <mergeCell ref="AZ56:AZ57"/>
    <mergeCell ref="BA56:BA57"/>
    <mergeCell ref="BB56:BB57"/>
    <mergeCell ref="BC56:BC57"/>
    <mergeCell ref="BD56:BD57"/>
    <mergeCell ref="BE56:BE57"/>
    <mergeCell ref="BF56:BF57"/>
    <mergeCell ref="L56:L57"/>
    <mergeCell ref="N56:N57"/>
    <mergeCell ref="O56:O57"/>
    <mergeCell ref="Q56:Q57"/>
    <mergeCell ref="A19:A20"/>
    <mergeCell ref="A21:A22"/>
    <mergeCell ref="A25:A26"/>
    <mergeCell ref="A54:A55"/>
    <mergeCell ref="A93:A94"/>
    <mergeCell ref="A97:A98"/>
    <mergeCell ref="R94:S94"/>
    <mergeCell ref="AQ93:AQ94"/>
    <mergeCell ref="AO93:AO94"/>
    <mergeCell ref="AR93:AR94"/>
    <mergeCell ref="AS93:AS94"/>
    <mergeCell ref="AU93:AU94"/>
    <mergeCell ref="AV93:AV94"/>
    <mergeCell ref="AW93:AW94"/>
    <mergeCell ref="AX93:AX94"/>
    <mergeCell ref="AZ93:AZ94"/>
    <mergeCell ref="BA93:BA94"/>
    <mergeCell ref="AP93:AP94"/>
    <mergeCell ref="AD66:AD67"/>
    <mergeCell ref="AF66:AF67"/>
    <mergeCell ref="AH66:AH67"/>
    <mergeCell ref="AI70:AI71"/>
    <mergeCell ref="AJ70:AJ71"/>
    <mergeCell ref="BF93:BF94"/>
    <mergeCell ref="L95:L97"/>
    <mergeCell ref="BF95:BF98"/>
    <mergeCell ref="BA82:BA83"/>
    <mergeCell ref="AO82:AO83"/>
    <mergeCell ref="R84:S84"/>
    <mergeCell ref="R85:S85"/>
    <mergeCell ref="BA84:BA85"/>
    <mergeCell ref="R86:S86"/>
    <mergeCell ref="R87:S87"/>
    <mergeCell ref="BA86:BA87"/>
    <mergeCell ref="B93:B94"/>
    <mergeCell ref="C93:C94"/>
    <mergeCell ref="D93:D94"/>
    <mergeCell ref="E93:E94"/>
    <mergeCell ref="F93:F94"/>
    <mergeCell ref="G93:G94"/>
    <mergeCell ref="H93:H94"/>
    <mergeCell ref="I93:I94"/>
    <mergeCell ref="J93:J94"/>
    <mergeCell ref="L93:L94"/>
    <mergeCell ref="M93:M94"/>
    <mergeCell ref="N93:N94"/>
    <mergeCell ref="O93:O94"/>
    <mergeCell ref="P93:P94"/>
    <mergeCell ref="Q93:Q94"/>
    <mergeCell ref="R93:S93"/>
    <mergeCell ref="AK70:AK71"/>
    <mergeCell ref="AN70:AN71"/>
    <mergeCell ref="AM68:AM69"/>
    <mergeCell ref="AM70:AM71"/>
    <mergeCell ref="AK66:AK67"/>
    <mergeCell ref="AN66:AN67"/>
    <mergeCell ref="AO66:AO67"/>
    <mergeCell ref="AI68:AI69"/>
    <mergeCell ref="AJ68:AJ69"/>
    <mergeCell ref="AK68:AK69"/>
    <mergeCell ref="AN68:AN69"/>
    <mergeCell ref="AO68:AO69"/>
    <mergeCell ref="V68:V69"/>
    <mergeCell ref="X68:X69"/>
    <mergeCell ref="Z68:Z69"/>
    <mergeCell ref="AB68:AB69"/>
    <mergeCell ref="AD68:AD69"/>
    <mergeCell ref="AF68:AF69"/>
    <mergeCell ref="AH68:AH69"/>
    <mergeCell ref="V66:V67"/>
    <mergeCell ref="X66:X67"/>
    <mergeCell ref="Z66:Z67"/>
    <mergeCell ref="AB66:AB67"/>
    <mergeCell ref="R63:S63"/>
    <mergeCell ref="BA62:BA63"/>
    <mergeCell ref="AO62:AO63"/>
    <mergeCell ref="R64:S64"/>
    <mergeCell ref="R65:S65"/>
    <mergeCell ref="AZ64:AZ65"/>
    <mergeCell ref="BA64:BA65"/>
    <mergeCell ref="AV64:AV65"/>
    <mergeCell ref="AU64:AU65"/>
    <mergeCell ref="AS64:AS65"/>
    <mergeCell ref="AR64:AR65"/>
    <mergeCell ref="AO64:AO65"/>
    <mergeCell ref="AW62:AW63"/>
    <mergeCell ref="AQ54:AQ55"/>
    <mergeCell ref="AR54:AR55"/>
    <mergeCell ref="AS54:AS55"/>
    <mergeCell ref="AU54:AU55"/>
    <mergeCell ref="AV54:AV55"/>
    <mergeCell ref="AW54:AW55"/>
    <mergeCell ref="AX54:AX55"/>
    <mergeCell ref="AZ54:AZ55"/>
    <mergeCell ref="R55:S55"/>
    <mergeCell ref="BA54:BA55"/>
    <mergeCell ref="AW27:AW34"/>
    <mergeCell ref="AX27:AX34"/>
    <mergeCell ref="BA25:BA26"/>
    <mergeCell ref="BA27:BA34"/>
    <mergeCell ref="AQ27:AQ30"/>
    <mergeCell ref="AR27:AR30"/>
    <mergeCell ref="AS27:AS30"/>
    <mergeCell ref="AU27:AU30"/>
    <mergeCell ref="AV27:AV30"/>
    <mergeCell ref="AR31:AR34"/>
    <mergeCell ref="AS31:AS34"/>
    <mergeCell ref="AU31:AU34"/>
    <mergeCell ref="AV31:AV34"/>
    <mergeCell ref="AO25:AO26"/>
    <mergeCell ref="AO27:AO34"/>
    <mergeCell ref="AM31:AM34"/>
    <mergeCell ref="AN31:AN34"/>
    <mergeCell ref="AP31:AP34"/>
    <mergeCell ref="AQ31:AQ34"/>
    <mergeCell ref="AD27:AD30"/>
    <mergeCell ref="AF27:AF30"/>
    <mergeCell ref="AH27:AH30"/>
    <mergeCell ref="A27:A34"/>
    <mergeCell ref="B54:B55"/>
    <mergeCell ref="C54:C55"/>
    <mergeCell ref="D54:D55"/>
    <mergeCell ref="E54:E55"/>
    <mergeCell ref="F54:F55"/>
    <mergeCell ref="G54:G55"/>
    <mergeCell ref="H54:H55"/>
    <mergeCell ref="I54:I55"/>
    <mergeCell ref="J54:J55"/>
    <mergeCell ref="L54:L55"/>
    <mergeCell ref="M54:M55"/>
    <mergeCell ref="N54:N55"/>
    <mergeCell ref="O54:O55"/>
    <mergeCell ref="P54:P55"/>
    <mergeCell ref="Q54:Q55"/>
    <mergeCell ref="AZ27:AZ34"/>
    <mergeCell ref="K31:K34"/>
    <mergeCell ref="M31:M34"/>
    <mergeCell ref="P31:P34"/>
    <mergeCell ref="R31:S34"/>
    <mergeCell ref="T31:T34"/>
    <mergeCell ref="V31:V34"/>
    <mergeCell ref="X31:X34"/>
    <mergeCell ref="Z31:Z34"/>
    <mergeCell ref="AB31:AB34"/>
    <mergeCell ref="AD31:AD34"/>
    <mergeCell ref="AF31:AF34"/>
    <mergeCell ref="AH31:AH34"/>
    <mergeCell ref="AI31:AI34"/>
    <mergeCell ref="AJ31:AJ34"/>
    <mergeCell ref="AK31:AK34"/>
    <mergeCell ref="AI27:AI30"/>
    <mergeCell ref="AJ27:AJ30"/>
    <mergeCell ref="AK27:AK30"/>
    <mergeCell ref="AM27:AM30"/>
    <mergeCell ref="AN27:AN30"/>
    <mergeCell ref="AP27:AP30"/>
    <mergeCell ref="G27:G34"/>
    <mergeCell ref="H27:H34"/>
    <mergeCell ref="I27:I34"/>
    <mergeCell ref="J27:J34"/>
    <mergeCell ref="K27:K30"/>
    <mergeCell ref="L27:L34"/>
    <mergeCell ref="M27:M30"/>
    <mergeCell ref="N27:N34"/>
    <mergeCell ref="O27:O34"/>
    <mergeCell ref="P27:P30"/>
    <mergeCell ref="Q27:Q34"/>
    <mergeCell ref="R27:S30"/>
    <mergeCell ref="T27:T30"/>
    <mergeCell ref="V27:V30"/>
    <mergeCell ref="X27:X30"/>
    <mergeCell ref="Z27:Z30"/>
    <mergeCell ref="Q21:Q22"/>
    <mergeCell ref="R22:S22"/>
    <mergeCell ref="AP21:AP22"/>
    <mergeCell ref="AQ21:AQ22"/>
    <mergeCell ref="AR21:AR22"/>
    <mergeCell ref="M21:M22"/>
    <mergeCell ref="P21:P22"/>
    <mergeCell ref="AM21:AM22"/>
    <mergeCell ref="AN21:AN22"/>
    <mergeCell ref="BG23:BG24"/>
    <mergeCell ref="BH23:BH24"/>
    <mergeCell ref="BI23:BI24"/>
    <mergeCell ref="BJ23:BJ24"/>
    <mergeCell ref="AW19:AW20"/>
    <mergeCell ref="AX19:AX20"/>
    <mergeCell ref="AZ19:AZ20"/>
    <mergeCell ref="BA19:BA20"/>
    <mergeCell ref="AS21:AS22"/>
    <mergeCell ref="AU21:AU22"/>
    <mergeCell ref="AV21:AV22"/>
    <mergeCell ref="AW21:AW22"/>
    <mergeCell ref="AX21:AX22"/>
    <mergeCell ref="AZ21:AZ22"/>
    <mergeCell ref="BA21:BA22"/>
    <mergeCell ref="BJ19:BJ20"/>
    <mergeCell ref="BG21:BG22"/>
    <mergeCell ref="BH21:BH22"/>
    <mergeCell ref="O70:O71"/>
    <mergeCell ref="Q70:Q71"/>
    <mergeCell ref="BB72:BB78"/>
    <mergeCell ref="BC72:BC78"/>
    <mergeCell ref="BD72:BD78"/>
    <mergeCell ref="BE72:BE78"/>
    <mergeCell ref="BF72:BF78"/>
    <mergeCell ref="BG72:BG78"/>
    <mergeCell ref="BH72:BH78"/>
    <mergeCell ref="BI72:BI78"/>
    <mergeCell ref="BJ72:BJ78"/>
    <mergeCell ref="BA72:BA78"/>
    <mergeCell ref="M72:M78"/>
    <mergeCell ref="N72:N78"/>
    <mergeCell ref="O72:O78"/>
    <mergeCell ref="P72:P78"/>
    <mergeCell ref="Q72:Q78"/>
    <mergeCell ref="R72:S72"/>
    <mergeCell ref="AP72:AP78"/>
    <mergeCell ref="AQ72:AQ78"/>
    <mergeCell ref="AR72:AR78"/>
    <mergeCell ref="AS72:AS78"/>
    <mergeCell ref="AT72:AT78"/>
    <mergeCell ref="AU72:AU78"/>
    <mergeCell ref="AV72:AV78"/>
    <mergeCell ref="AW72:AW78"/>
    <mergeCell ref="AX72:AX78"/>
    <mergeCell ref="AY72:AY78"/>
    <mergeCell ref="AZ72:AZ78"/>
    <mergeCell ref="R73:S73"/>
    <mergeCell ref="R77:S77"/>
    <mergeCell ref="R78:S78"/>
    <mergeCell ref="BB68:BB69"/>
    <mergeCell ref="BC68:BC69"/>
    <mergeCell ref="BD68:BD69"/>
    <mergeCell ref="BE68:BE69"/>
    <mergeCell ref="BF68:BF69"/>
    <mergeCell ref="BG68:BG69"/>
    <mergeCell ref="BH68:BH69"/>
    <mergeCell ref="BI68:BI69"/>
    <mergeCell ref="BJ68:BJ69"/>
    <mergeCell ref="BA70:BA71"/>
    <mergeCell ref="AP70:AP71"/>
    <mergeCell ref="AQ70:AQ71"/>
    <mergeCell ref="AR70:AR71"/>
    <mergeCell ref="AV70:AV71"/>
    <mergeCell ref="AW70:AW71"/>
    <mergeCell ref="AX70:AX71"/>
    <mergeCell ref="AZ70:AZ71"/>
    <mergeCell ref="AV68:AV69"/>
    <mergeCell ref="AW68:AW69"/>
    <mergeCell ref="AX68:AX69"/>
    <mergeCell ref="AZ68:AZ69"/>
    <mergeCell ref="BA68:BA69"/>
    <mergeCell ref="AT70:AT71"/>
    <mergeCell ref="N68:N69"/>
    <mergeCell ref="O68:O69"/>
    <mergeCell ref="L82:L83"/>
    <mergeCell ref="L84:L85"/>
    <mergeCell ref="L86:L87"/>
    <mergeCell ref="L66:L67"/>
    <mergeCell ref="BB66:BB67"/>
    <mergeCell ref="BC66:BC67"/>
    <mergeCell ref="BD66:BD67"/>
    <mergeCell ref="BE66:BE67"/>
    <mergeCell ref="BF66:BF67"/>
    <mergeCell ref="BG66:BG67"/>
    <mergeCell ref="BH66:BH67"/>
    <mergeCell ref="BI66:BI67"/>
    <mergeCell ref="BJ66:BJ67"/>
    <mergeCell ref="M84:M85"/>
    <mergeCell ref="N84:N85"/>
    <mergeCell ref="O84:O85"/>
    <mergeCell ref="P84:P85"/>
    <mergeCell ref="Q84:Q85"/>
    <mergeCell ref="AO70:AO71"/>
    <mergeCell ref="L68:L69"/>
    <mergeCell ref="AP84:AP85"/>
    <mergeCell ref="AQ84:AQ85"/>
    <mergeCell ref="AZ82:AZ83"/>
    <mergeCell ref="BA79:BA81"/>
    <mergeCell ref="M79:M81"/>
    <mergeCell ref="AR95:AR98"/>
    <mergeCell ref="L103:L104"/>
    <mergeCell ref="BG101:BG102"/>
    <mergeCell ref="BH101:BH102"/>
    <mergeCell ref="BI101:BI102"/>
    <mergeCell ref="BJ101:BJ102"/>
    <mergeCell ref="BG103:BG104"/>
    <mergeCell ref="BH103:BH104"/>
    <mergeCell ref="BI103:BI104"/>
    <mergeCell ref="BJ103:BJ104"/>
    <mergeCell ref="BG99:BG100"/>
    <mergeCell ref="BH99:BH100"/>
    <mergeCell ref="BI99:BI100"/>
    <mergeCell ref="BJ99:BJ100"/>
    <mergeCell ref="BA103:BA104"/>
    <mergeCell ref="AQ103:AQ104"/>
    <mergeCell ref="AR103:AR104"/>
    <mergeCell ref="R104:S104"/>
    <mergeCell ref="AZ99:AZ100"/>
    <mergeCell ref="AS103:AS104"/>
    <mergeCell ref="AT103:AT104"/>
    <mergeCell ref="AU103:AU104"/>
    <mergeCell ref="AV103:AV104"/>
    <mergeCell ref="AW103:AW104"/>
    <mergeCell ref="AX103:AX104"/>
    <mergeCell ref="AY103:AY104"/>
    <mergeCell ref="AZ103:AZ104"/>
    <mergeCell ref="M103:M104"/>
    <mergeCell ref="N103:N104"/>
    <mergeCell ref="O103:O104"/>
    <mergeCell ref="P103:P104"/>
    <mergeCell ref="Q103:Q104"/>
    <mergeCell ref="R103:S103"/>
    <mergeCell ref="BA95:BA98"/>
    <mergeCell ref="BA99:BA100"/>
    <mergeCell ref="G99:G100"/>
    <mergeCell ref="A11:A12"/>
    <mergeCell ref="A13:A14"/>
    <mergeCell ref="A15:A16"/>
    <mergeCell ref="A17:A18"/>
    <mergeCell ref="A23:A24"/>
    <mergeCell ref="A35:A37"/>
    <mergeCell ref="A38:A39"/>
    <mergeCell ref="A88:A90"/>
    <mergeCell ref="A91:A92"/>
    <mergeCell ref="A95:A96"/>
    <mergeCell ref="A99:A100"/>
    <mergeCell ref="O99:O100"/>
    <mergeCell ref="P99:P100"/>
    <mergeCell ref="Q99:Q100"/>
    <mergeCell ref="B99:B100"/>
    <mergeCell ref="C99:C100"/>
    <mergeCell ref="D99:D100"/>
    <mergeCell ref="M95:M98"/>
    <mergeCell ref="A64:A65"/>
    <mergeCell ref="A66:A67"/>
    <mergeCell ref="A68:A69"/>
    <mergeCell ref="A70:A71"/>
    <mergeCell ref="A72:A78"/>
    <mergeCell ref="A79:A81"/>
    <mergeCell ref="A82:A83"/>
    <mergeCell ref="A84:A85"/>
    <mergeCell ref="AP103:AP104"/>
    <mergeCell ref="A40:A42"/>
    <mergeCell ref="A43:A44"/>
    <mergeCell ref="A45:A47"/>
    <mergeCell ref="A48:A50"/>
    <mergeCell ref="A51:A53"/>
    <mergeCell ref="A62:A63"/>
    <mergeCell ref="R99:S99"/>
    <mergeCell ref="AP99:AP100"/>
    <mergeCell ref="AQ99:AQ100"/>
    <mergeCell ref="AR99:AR100"/>
    <mergeCell ref="R100:S100"/>
    <mergeCell ref="A86:A87"/>
    <mergeCell ref="B103:B104"/>
    <mergeCell ref="C103:C104"/>
    <mergeCell ref="D103:D104"/>
    <mergeCell ref="E103:E104"/>
    <mergeCell ref="F103:F104"/>
    <mergeCell ref="G103:G104"/>
    <mergeCell ref="H103:H104"/>
    <mergeCell ref="I103:I104"/>
    <mergeCell ref="J103:J104"/>
    <mergeCell ref="B95:B96"/>
    <mergeCell ref="B97:B98"/>
    <mergeCell ref="B88:B90"/>
    <mergeCell ref="C88:C90"/>
    <mergeCell ref="D88:D90"/>
    <mergeCell ref="E88:E90"/>
    <mergeCell ref="F88:F90"/>
    <mergeCell ref="G88:G90"/>
    <mergeCell ref="H88:H90"/>
    <mergeCell ref="I88:I90"/>
    <mergeCell ref="J88:J90"/>
    <mergeCell ref="AZ101:AZ102"/>
    <mergeCell ref="BA101:BA102"/>
    <mergeCell ref="M101:M102"/>
    <mergeCell ref="N101:N102"/>
    <mergeCell ref="O101:O102"/>
    <mergeCell ref="P101:P102"/>
    <mergeCell ref="Q101:Q102"/>
    <mergeCell ref="R101:S101"/>
    <mergeCell ref="AP101:AP102"/>
    <mergeCell ref="AQ101:AQ102"/>
    <mergeCell ref="AR101:AR102"/>
    <mergeCell ref="R102:S102"/>
    <mergeCell ref="AS101:AS102"/>
    <mergeCell ref="AT101:AT102"/>
    <mergeCell ref="AU101:AU102"/>
    <mergeCell ref="AV101:AV102"/>
    <mergeCell ref="B101:B102"/>
    <mergeCell ref="C101:C102"/>
    <mergeCell ref="D101:D102"/>
    <mergeCell ref="E101:E102"/>
    <mergeCell ref="F101:F102"/>
    <mergeCell ref="G101:G102"/>
    <mergeCell ref="H101:H102"/>
    <mergeCell ref="I101:I102"/>
    <mergeCell ref="J101:J102"/>
    <mergeCell ref="AS99:AS100"/>
    <mergeCell ref="AT99:AT100"/>
    <mergeCell ref="AU99:AU100"/>
    <mergeCell ref="AV99:AV100"/>
    <mergeCell ref="AW99:AW100"/>
    <mergeCell ref="AW101:AW102"/>
    <mergeCell ref="AX101:AX102"/>
    <mergeCell ref="AY101:AY102"/>
    <mergeCell ref="H99:H100"/>
    <mergeCell ref="I99:I100"/>
    <mergeCell ref="J99:J100"/>
    <mergeCell ref="AX99:AX100"/>
    <mergeCell ref="AY99:AY100"/>
    <mergeCell ref="M99:M100"/>
    <mergeCell ref="N99:N100"/>
    <mergeCell ref="L101:L102"/>
    <mergeCell ref="C95:C98"/>
    <mergeCell ref="D95:D98"/>
    <mergeCell ref="E95:E98"/>
    <mergeCell ref="F95:F98"/>
    <mergeCell ref="G95:G98"/>
    <mergeCell ref="H95:H98"/>
    <mergeCell ref="I95:I98"/>
    <mergeCell ref="J95:J98"/>
    <mergeCell ref="N95:N98"/>
    <mergeCell ref="O95:O98"/>
    <mergeCell ref="P95:P98"/>
    <mergeCell ref="Q95:Q98"/>
    <mergeCell ref="E99:E100"/>
    <mergeCell ref="F99:F100"/>
    <mergeCell ref="AP95:AP98"/>
    <mergeCell ref="AQ95:AQ98"/>
    <mergeCell ref="AS91:AS92"/>
    <mergeCell ref="AT91:AT92"/>
    <mergeCell ref="AU91:AU92"/>
    <mergeCell ref="AV95:AV98"/>
    <mergeCell ref="AW95:AW98"/>
    <mergeCell ref="AX95:AX98"/>
    <mergeCell ref="AY95:AY98"/>
    <mergeCell ref="AZ95:AZ98"/>
    <mergeCell ref="AS95:AS98"/>
    <mergeCell ref="AT95:AT98"/>
    <mergeCell ref="AU95:AU98"/>
    <mergeCell ref="BA88:BA90"/>
    <mergeCell ref="M88:M90"/>
    <mergeCell ref="N88:N90"/>
    <mergeCell ref="O88:O90"/>
    <mergeCell ref="P88:P90"/>
    <mergeCell ref="AY88:AY90"/>
    <mergeCell ref="AV91:AV92"/>
    <mergeCell ref="AW91:AW92"/>
    <mergeCell ref="AX91:AX92"/>
    <mergeCell ref="AY91:AY92"/>
    <mergeCell ref="AZ91:AZ92"/>
    <mergeCell ref="BA91:BA92"/>
    <mergeCell ref="M91:M92"/>
    <mergeCell ref="N91:N92"/>
    <mergeCell ref="O91:O92"/>
    <mergeCell ref="P91:P92"/>
    <mergeCell ref="Q91:Q92"/>
    <mergeCell ref="R91:S91"/>
    <mergeCell ref="AP91:AP92"/>
    <mergeCell ref="AQ91:AQ92"/>
    <mergeCell ref="AR91:AR92"/>
    <mergeCell ref="B91:B92"/>
    <mergeCell ref="C91:C92"/>
    <mergeCell ref="D91:D92"/>
    <mergeCell ref="E91:E92"/>
    <mergeCell ref="F91:F92"/>
    <mergeCell ref="G91:G92"/>
    <mergeCell ref="H91:H92"/>
    <mergeCell ref="I91:I92"/>
    <mergeCell ref="J91:J92"/>
    <mergeCell ref="B86:B87"/>
    <mergeCell ref="C86:C87"/>
    <mergeCell ref="D86:D87"/>
    <mergeCell ref="E86:E87"/>
    <mergeCell ref="F86:F87"/>
    <mergeCell ref="G86:G87"/>
    <mergeCell ref="H86:H87"/>
    <mergeCell ref="I86:I87"/>
    <mergeCell ref="J86:J87"/>
    <mergeCell ref="R92:S92"/>
    <mergeCell ref="AZ86:AZ87"/>
    <mergeCell ref="M86:M87"/>
    <mergeCell ref="N86:N87"/>
    <mergeCell ref="O86:O87"/>
    <mergeCell ref="P86:P87"/>
    <mergeCell ref="Q86:Q87"/>
    <mergeCell ref="AR86:AR87"/>
    <mergeCell ref="AS86:AS87"/>
    <mergeCell ref="AU86:AU87"/>
    <mergeCell ref="AV86:AV87"/>
    <mergeCell ref="AW86:AW87"/>
    <mergeCell ref="AX86:AX87"/>
    <mergeCell ref="D84:D85"/>
    <mergeCell ref="E84:E85"/>
    <mergeCell ref="Q88:Q90"/>
    <mergeCell ref="R88:S88"/>
    <mergeCell ref="AP88:AP90"/>
    <mergeCell ref="AQ88:AQ90"/>
    <mergeCell ref="AR88:AR90"/>
    <mergeCell ref="R89:S89"/>
    <mergeCell ref="R90:S90"/>
    <mergeCell ref="AS88:AS90"/>
    <mergeCell ref="AT88:AT90"/>
    <mergeCell ref="AU88:AU90"/>
    <mergeCell ref="AV88:AV90"/>
    <mergeCell ref="AW88:AW90"/>
    <mergeCell ref="AZ88:AZ90"/>
    <mergeCell ref="AX88:AX90"/>
    <mergeCell ref="AP86:AP87"/>
    <mergeCell ref="AQ86:AQ87"/>
    <mergeCell ref="AZ84:AZ85"/>
    <mergeCell ref="B84:B85"/>
    <mergeCell ref="C84:C85"/>
    <mergeCell ref="F84:F85"/>
    <mergeCell ref="G84:G85"/>
    <mergeCell ref="H84:H85"/>
    <mergeCell ref="I84:I85"/>
    <mergeCell ref="J84:J85"/>
    <mergeCell ref="AR84:AR85"/>
    <mergeCell ref="AS84:AS85"/>
    <mergeCell ref="AU84:AU85"/>
    <mergeCell ref="AV84:AV85"/>
    <mergeCell ref="AW84:AW85"/>
    <mergeCell ref="AX84:AX85"/>
    <mergeCell ref="AR82:AR83"/>
    <mergeCell ref="AS82:AS83"/>
    <mergeCell ref="AU82:AU83"/>
    <mergeCell ref="AV82:AV83"/>
    <mergeCell ref="AW82:AW83"/>
    <mergeCell ref="AX82:AX83"/>
    <mergeCell ref="M82:M83"/>
    <mergeCell ref="N82:N83"/>
    <mergeCell ref="O82:O83"/>
    <mergeCell ref="P82:P83"/>
    <mergeCell ref="Q82:Q83"/>
    <mergeCell ref="AP82:AP83"/>
    <mergeCell ref="AQ82:AQ83"/>
    <mergeCell ref="R82:S82"/>
    <mergeCell ref="R83:S83"/>
    <mergeCell ref="AT82:AT83"/>
    <mergeCell ref="B79:B81"/>
    <mergeCell ref="C79:C81"/>
    <mergeCell ref="D79:D81"/>
    <mergeCell ref="E79:E81"/>
    <mergeCell ref="F79:F81"/>
    <mergeCell ref="G79:G81"/>
    <mergeCell ref="H79:H81"/>
    <mergeCell ref="I79:I81"/>
    <mergeCell ref="J79:J81"/>
    <mergeCell ref="B82:B83"/>
    <mergeCell ref="C82:C83"/>
    <mergeCell ref="D82:D83"/>
    <mergeCell ref="E82:E83"/>
    <mergeCell ref="F82:F83"/>
    <mergeCell ref="G82:G83"/>
    <mergeCell ref="H82:H83"/>
    <mergeCell ref="I82:I83"/>
    <mergeCell ref="J82:J83"/>
    <mergeCell ref="N79:N81"/>
    <mergeCell ref="O79:O81"/>
    <mergeCell ref="P79:P81"/>
    <mergeCell ref="Q79:Q81"/>
    <mergeCell ref="R79:S79"/>
    <mergeCell ref="AP79:AP81"/>
    <mergeCell ref="AQ79:AQ81"/>
    <mergeCell ref="AR79:AR81"/>
    <mergeCell ref="R80:S80"/>
    <mergeCell ref="R81:S81"/>
    <mergeCell ref="AS79:AS81"/>
    <mergeCell ref="AT79:AT81"/>
    <mergeCell ref="AU79:AU81"/>
    <mergeCell ref="AV79:AV81"/>
    <mergeCell ref="AW79:AW81"/>
    <mergeCell ref="AX79:AX81"/>
    <mergeCell ref="AY79:AY81"/>
    <mergeCell ref="AZ79:AZ81"/>
    <mergeCell ref="K72:K73"/>
    <mergeCell ref="K74:K75"/>
    <mergeCell ref="K76:K78"/>
    <mergeCell ref="L72:L78"/>
    <mergeCell ref="R74:S74"/>
    <mergeCell ref="R75:S75"/>
    <mergeCell ref="R76:S76"/>
    <mergeCell ref="AU68:AU69"/>
    <mergeCell ref="B70:B71"/>
    <mergeCell ref="C70:C71"/>
    <mergeCell ref="D70:D71"/>
    <mergeCell ref="E70:E71"/>
    <mergeCell ref="F70:F71"/>
    <mergeCell ref="G70:G71"/>
    <mergeCell ref="H70:H71"/>
    <mergeCell ref="B72:B78"/>
    <mergeCell ref="C72:C78"/>
    <mergeCell ref="D72:D78"/>
    <mergeCell ref="E72:E78"/>
    <mergeCell ref="F72:F78"/>
    <mergeCell ref="G72:G78"/>
    <mergeCell ref="H72:H78"/>
    <mergeCell ref="I72:I78"/>
    <mergeCell ref="J72:J78"/>
    <mergeCell ref="AS70:AS71"/>
    <mergeCell ref="AU70:AU71"/>
    <mergeCell ref="D68:D69"/>
    <mergeCell ref="E68:E69"/>
    <mergeCell ref="K68:K69"/>
    <mergeCell ref="K70:K71"/>
    <mergeCell ref="L70:L71"/>
    <mergeCell ref="N70:N71"/>
    <mergeCell ref="Q68:Q69"/>
    <mergeCell ref="AP68:AP69"/>
    <mergeCell ref="AQ68:AQ69"/>
    <mergeCell ref="AR68:AR69"/>
    <mergeCell ref="B68:B69"/>
    <mergeCell ref="C68:C69"/>
    <mergeCell ref="F68:F69"/>
    <mergeCell ref="G68:G69"/>
    <mergeCell ref="H68:H69"/>
    <mergeCell ref="AS68:AS69"/>
    <mergeCell ref="R62:S62"/>
    <mergeCell ref="AI66:AI67"/>
    <mergeCell ref="AJ66:AJ67"/>
    <mergeCell ref="B64:B65"/>
    <mergeCell ref="C64:C65"/>
    <mergeCell ref="D64:D65"/>
    <mergeCell ref="E64:E65"/>
    <mergeCell ref="F64:F65"/>
    <mergeCell ref="G64:G65"/>
    <mergeCell ref="B66:B67"/>
    <mergeCell ref="C66:C67"/>
    <mergeCell ref="M64:M65"/>
    <mergeCell ref="N64:N65"/>
    <mergeCell ref="D66:D67"/>
    <mergeCell ref="E66:E67"/>
    <mergeCell ref="F66:F67"/>
    <mergeCell ref="G66:G67"/>
    <mergeCell ref="B62:B63"/>
    <mergeCell ref="C62:C63"/>
    <mergeCell ref="D62:D63"/>
    <mergeCell ref="E62:E63"/>
    <mergeCell ref="F62:F63"/>
    <mergeCell ref="G62:G63"/>
    <mergeCell ref="BI45:BI47"/>
    <mergeCell ref="BG48:BG50"/>
    <mergeCell ref="BH48:BH50"/>
    <mergeCell ref="BI48:BI50"/>
    <mergeCell ref="BJ48:BJ50"/>
    <mergeCell ref="BG51:BG53"/>
    <mergeCell ref="BH51:BH53"/>
    <mergeCell ref="BI51:BI53"/>
    <mergeCell ref="BJ51:BJ53"/>
    <mergeCell ref="BA45:BA47"/>
    <mergeCell ref="P48:P50"/>
    <mergeCell ref="Q48:Q50"/>
    <mergeCell ref="R48:S48"/>
    <mergeCell ref="AP48:AP50"/>
    <mergeCell ref="AQ48:AQ50"/>
    <mergeCell ref="AR48:AR50"/>
    <mergeCell ref="AV48:AV50"/>
    <mergeCell ref="AW48:AW50"/>
    <mergeCell ref="AX48:AX50"/>
    <mergeCell ref="P51:P53"/>
    <mergeCell ref="Q51:Q53"/>
    <mergeCell ref="R51:S51"/>
    <mergeCell ref="AP51:AP53"/>
    <mergeCell ref="AQ51:AQ53"/>
    <mergeCell ref="R45:S45"/>
    <mergeCell ref="AP45:AP47"/>
    <mergeCell ref="AQ45:AQ47"/>
    <mergeCell ref="BI40:BI42"/>
    <mergeCell ref="BJ40:BJ42"/>
    <mergeCell ref="BG43:BG44"/>
    <mergeCell ref="BH43:BH44"/>
    <mergeCell ref="BI43:BI44"/>
    <mergeCell ref="BJ43:BJ44"/>
    <mergeCell ref="BF43:BF44"/>
    <mergeCell ref="H8:H10"/>
    <mergeCell ref="I8:I10"/>
    <mergeCell ref="J8:J10"/>
    <mergeCell ref="K8:K10"/>
    <mergeCell ref="L8:L10"/>
    <mergeCell ref="M8:M10"/>
    <mergeCell ref="B8:B10"/>
    <mergeCell ref="C8:C10"/>
    <mergeCell ref="D8:D10"/>
    <mergeCell ref="E8:E10"/>
    <mergeCell ref="F8:F10"/>
    <mergeCell ref="G8:G10"/>
    <mergeCell ref="AO9:AO10"/>
    <mergeCell ref="AP9:AQ10"/>
    <mergeCell ref="AR9:AR10"/>
    <mergeCell ref="AS9:AS10"/>
    <mergeCell ref="BG8:BJ8"/>
    <mergeCell ref="N8:O8"/>
    <mergeCell ref="P8:P10"/>
    <mergeCell ref="R8:AV8"/>
    <mergeCell ref="AW8:AZ8"/>
    <mergeCell ref="BA8:BA10"/>
    <mergeCell ref="AH9:AH10"/>
    <mergeCell ref="BB8:BF8"/>
    <mergeCell ref="AD9:AD10"/>
    <mergeCell ref="BI35:BI37"/>
    <mergeCell ref="BJ35:BJ37"/>
    <mergeCell ref="BG38:BG39"/>
    <mergeCell ref="BH38:BH39"/>
    <mergeCell ref="BI38:BI39"/>
    <mergeCell ref="BJ38:BJ39"/>
    <mergeCell ref="BI9:BI10"/>
    <mergeCell ref="BJ9:BJ10"/>
    <mergeCell ref="BG17:BG18"/>
    <mergeCell ref="BH17:BH18"/>
    <mergeCell ref="BI17:BI18"/>
    <mergeCell ref="AV11:AV12"/>
    <mergeCell ref="AW11:AW12"/>
    <mergeCell ref="AX11:AX12"/>
    <mergeCell ref="AY11:AY12"/>
    <mergeCell ref="AZ17:AZ18"/>
    <mergeCell ref="BJ17:BJ18"/>
    <mergeCell ref="BG19:BG20"/>
    <mergeCell ref="BH19:BH20"/>
    <mergeCell ref="BI19:BI20"/>
    <mergeCell ref="BA17:BA18"/>
    <mergeCell ref="BI21:BI22"/>
    <mergeCell ref="BJ21:BJ22"/>
    <mergeCell ref="BF35:BF39"/>
    <mergeCell ref="BF9:BF10"/>
    <mergeCell ref="BG9:BG10"/>
    <mergeCell ref="BH9:BH10"/>
    <mergeCell ref="AU9:AV9"/>
    <mergeCell ref="AW9:AW10"/>
    <mergeCell ref="AX9:AX10"/>
    <mergeCell ref="AY9:AY10"/>
    <mergeCell ref="AZ9:AZ10"/>
    <mergeCell ref="O11:O12"/>
    <mergeCell ref="H13:H14"/>
    <mergeCell ref="I13:I14"/>
    <mergeCell ref="J13:J14"/>
    <mergeCell ref="BB9:BB10"/>
    <mergeCell ref="AJ9:AK10"/>
    <mergeCell ref="AM9:AN10"/>
    <mergeCell ref="BC9:BC10"/>
    <mergeCell ref="BD9:BD10"/>
    <mergeCell ref="BE9:BE10"/>
    <mergeCell ref="AT11:AT12"/>
    <mergeCell ref="AU11:AU12"/>
    <mergeCell ref="O9:O10"/>
    <mergeCell ref="Q9:Q10"/>
    <mergeCell ref="R9:S10"/>
    <mergeCell ref="T9:T10"/>
    <mergeCell ref="V9:V10"/>
    <mergeCell ref="X9:X10"/>
    <mergeCell ref="Z9:Z10"/>
    <mergeCell ref="AB9:AB10"/>
    <mergeCell ref="Q11:Q12"/>
    <mergeCell ref="R11:S11"/>
    <mergeCell ref="P11:P12"/>
    <mergeCell ref="AI9:AI10"/>
    <mergeCell ref="AZ11:AZ12"/>
    <mergeCell ref="BA11:BA12"/>
    <mergeCell ref="AP11:AP12"/>
    <mergeCell ref="AQ11:AQ12"/>
    <mergeCell ref="AF9:AF10"/>
    <mergeCell ref="D13:D14"/>
    <mergeCell ref="E13:E14"/>
    <mergeCell ref="H15:H16"/>
    <mergeCell ref="I15:I16"/>
    <mergeCell ref="J15:J16"/>
    <mergeCell ref="M15:M16"/>
    <mergeCell ref="N15:N16"/>
    <mergeCell ref="B11:B12"/>
    <mergeCell ref="C11:C12"/>
    <mergeCell ref="D11:D12"/>
    <mergeCell ref="E11:E12"/>
    <mergeCell ref="F11:F12"/>
    <mergeCell ref="G11:G12"/>
    <mergeCell ref="H11:H12"/>
    <mergeCell ref="I11:I12"/>
    <mergeCell ref="N9:N10"/>
    <mergeCell ref="F13:F14"/>
    <mergeCell ref="G13:G14"/>
    <mergeCell ref="J11:J12"/>
    <mergeCell ref="L11:L12"/>
    <mergeCell ref="M11:M12"/>
    <mergeCell ref="N11:N12"/>
    <mergeCell ref="BJ11:BJ12"/>
    <mergeCell ref="R12:S12"/>
    <mergeCell ref="BG11:BG12"/>
    <mergeCell ref="BH11:BH12"/>
    <mergeCell ref="BI11:BI12"/>
    <mergeCell ref="AR11:AR12"/>
    <mergeCell ref="AS11:AS12"/>
    <mergeCell ref="B15:B16"/>
    <mergeCell ref="C15:C16"/>
    <mergeCell ref="D15:D16"/>
    <mergeCell ref="E15:E16"/>
    <mergeCell ref="F15:F16"/>
    <mergeCell ref="G15:G16"/>
    <mergeCell ref="AY13:AY14"/>
    <mergeCell ref="AZ13:AZ14"/>
    <mergeCell ref="BA13:BA14"/>
    <mergeCell ref="R14:S14"/>
    <mergeCell ref="AS13:AS14"/>
    <mergeCell ref="AT13:AT14"/>
    <mergeCell ref="AU13:AU14"/>
    <mergeCell ref="AV13:AV14"/>
    <mergeCell ref="AW13:AW14"/>
    <mergeCell ref="AX13:AX14"/>
    <mergeCell ref="P13:P14"/>
    <mergeCell ref="Q13:Q14"/>
    <mergeCell ref="R13:S13"/>
    <mergeCell ref="AP13:AP14"/>
    <mergeCell ref="AQ13:AQ14"/>
    <mergeCell ref="AR13:AR14"/>
    <mergeCell ref="P15:P16"/>
    <mergeCell ref="B13:B14"/>
    <mergeCell ref="C13:C14"/>
    <mergeCell ref="AY15:AY16"/>
    <mergeCell ref="M13:M14"/>
    <mergeCell ref="N13:N14"/>
    <mergeCell ref="O13:O14"/>
    <mergeCell ref="L13:L14"/>
    <mergeCell ref="O15:O16"/>
    <mergeCell ref="L15:L16"/>
    <mergeCell ref="AW17:AW18"/>
    <mergeCell ref="AX17:AX18"/>
    <mergeCell ref="AZ15:AZ16"/>
    <mergeCell ref="BA15:BA16"/>
    <mergeCell ref="R16:S16"/>
    <mergeCell ref="AS15:AS16"/>
    <mergeCell ref="AT15:AT16"/>
    <mergeCell ref="AU15:AU16"/>
    <mergeCell ref="AV15:AV16"/>
    <mergeCell ref="AW15:AW16"/>
    <mergeCell ref="AX15:AX16"/>
    <mergeCell ref="Q15:Q16"/>
    <mergeCell ref="R15:S15"/>
    <mergeCell ref="AP15:AP16"/>
    <mergeCell ref="AQ15:AQ16"/>
    <mergeCell ref="AR15:AR16"/>
    <mergeCell ref="R17:S17"/>
    <mergeCell ref="AP17:AP18"/>
    <mergeCell ref="AQ17:AQ18"/>
    <mergeCell ref="AR17:AR18"/>
    <mergeCell ref="L17:L18"/>
    <mergeCell ref="R18:S18"/>
    <mergeCell ref="AS17:AS18"/>
    <mergeCell ref="AT17:AT18"/>
    <mergeCell ref="AU17:AU18"/>
    <mergeCell ref="AV17:AV18"/>
    <mergeCell ref="AY17:AY18"/>
    <mergeCell ref="P17:P18"/>
    <mergeCell ref="Q17:Q18"/>
    <mergeCell ref="H17:H18"/>
    <mergeCell ref="I17:I18"/>
    <mergeCell ref="J17:J18"/>
    <mergeCell ref="M17:M18"/>
    <mergeCell ref="N17:N18"/>
    <mergeCell ref="O17:O18"/>
    <mergeCell ref="R19:S19"/>
    <mergeCell ref="AY23:AY24"/>
    <mergeCell ref="AZ23:AZ24"/>
    <mergeCell ref="BA23:BA24"/>
    <mergeCell ref="R24:S24"/>
    <mergeCell ref="AS23:AS24"/>
    <mergeCell ref="AT23:AT24"/>
    <mergeCell ref="AU23:AU24"/>
    <mergeCell ref="AV23:AV24"/>
    <mergeCell ref="AW23:AW24"/>
    <mergeCell ref="AX23:AX24"/>
    <mergeCell ref="R20:S20"/>
    <mergeCell ref="R21:S21"/>
    <mergeCell ref="P23:P24"/>
    <mergeCell ref="Q23:Q24"/>
    <mergeCell ref="R23:S23"/>
    <mergeCell ref="AP23:AP24"/>
    <mergeCell ref="AQ23:AQ24"/>
    <mergeCell ref="AR23:AR24"/>
    <mergeCell ref="Q19:Q20"/>
    <mergeCell ref="AP19:AP20"/>
    <mergeCell ref="AQ19:AQ20"/>
    <mergeCell ref="AR19:AR20"/>
    <mergeCell ref="AS19:AS20"/>
    <mergeCell ref="AU19:AU20"/>
    <mergeCell ref="AV19:AV20"/>
    <mergeCell ref="AT21:AT22"/>
    <mergeCell ref="AT19:AT20"/>
    <mergeCell ref="AY19:AY20"/>
    <mergeCell ref="AY21:AY22"/>
    <mergeCell ref="I23:I24"/>
    <mergeCell ref="J23:J24"/>
    <mergeCell ref="M23:M24"/>
    <mergeCell ref="N23:N24"/>
    <mergeCell ref="O23:O24"/>
    <mergeCell ref="G25:G26"/>
    <mergeCell ref="I25:I26"/>
    <mergeCell ref="B27:B34"/>
    <mergeCell ref="C27:C34"/>
    <mergeCell ref="D27:D34"/>
    <mergeCell ref="E27:E34"/>
    <mergeCell ref="F27:F34"/>
    <mergeCell ref="B21:B22"/>
    <mergeCell ref="C21:C22"/>
    <mergeCell ref="D21:D22"/>
    <mergeCell ref="E21:E22"/>
    <mergeCell ref="F21:F22"/>
    <mergeCell ref="G21:G22"/>
    <mergeCell ref="H21:H22"/>
    <mergeCell ref="I21:I22"/>
    <mergeCell ref="J21:J22"/>
    <mergeCell ref="L21:L22"/>
    <mergeCell ref="N21:N22"/>
    <mergeCell ref="O21:O22"/>
    <mergeCell ref="B17:B18"/>
    <mergeCell ref="C17:C18"/>
    <mergeCell ref="D17:D18"/>
    <mergeCell ref="E17:E18"/>
    <mergeCell ref="F17:F18"/>
    <mergeCell ref="G17:G18"/>
    <mergeCell ref="B19:B20"/>
    <mergeCell ref="C19:C20"/>
    <mergeCell ref="D19:D20"/>
    <mergeCell ref="E19:E20"/>
    <mergeCell ref="F19:F20"/>
    <mergeCell ref="G19:G20"/>
    <mergeCell ref="H19:H20"/>
    <mergeCell ref="L19:L20"/>
    <mergeCell ref="N19:N20"/>
    <mergeCell ref="O19:O20"/>
    <mergeCell ref="M19:M20"/>
    <mergeCell ref="B35:B37"/>
    <mergeCell ref="C35:C37"/>
    <mergeCell ref="D35:D37"/>
    <mergeCell ref="E35:E37"/>
    <mergeCell ref="F35:F37"/>
    <mergeCell ref="G35:G37"/>
    <mergeCell ref="P35:P37"/>
    <mergeCell ref="Q35:Q37"/>
    <mergeCell ref="R35:S35"/>
    <mergeCell ref="AP35:AP37"/>
    <mergeCell ref="AQ35:AQ37"/>
    <mergeCell ref="AR35:AR37"/>
    <mergeCell ref="H35:H37"/>
    <mergeCell ref="I35:I37"/>
    <mergeCell ref="J35:J37"/>
    <mergeCell ref="M35:M37"/>
    <mergeCell ref="N35:N37"/>
    <mergeCell ref="O35:O37"/>
    <mergeCell ref="BA35:BA37"/>
    <mergeCell ref="R36:S36"/>
    <mergeCell ref="R37:S37"/>
    <mergeCell ref="AS35:AS37"/>
    <mergeCell ref="AT35:AT37"/>
    <mergeCell ref="AU35:AU37"/>
    <mergeCell ref="AV35:AV37"/>
    <mergeCell ref="AW35:AW37"/>
    <mergeCell ref="AX35:AX37"/>
    <mergeCell ref="H38:H39"/>
    <mergeCell ref="I38:I39"/>
    <mergeCell ref="J38:J39"/>
    <mergeCell ref="M38:M39"/>
    <mergeCell ref="N38:N39"/>
    <mergeCell ref="O38:O39"/>
    <mergeCell ref="L35:L37"/>
    <mergeCell ref="L38:L39"/>
    <mergeCell ref="F38:F39"/>
    <mergeCell ref="G38:G39"/>
    <mergeCell ref="B40:B42"/>
    <mergeCell ref="C40:C42"/>
    <mergeCell ref="D40:D42"/>
    <mergeCell ref="E40:E42"/>
    <mergeCell ref="F40:F42"/>
    <mergeCell ref="G40:G42"/>
    <mergeCell ref="AY38:AY39"/>
    <mergeCell ref="AZ38:AZ39"/>
    <mergeCell ref="BA38:BA39"/>
    <mergeCell ref="R39:S39"/>
    <mergeCell ref="AS38:AS39"/>
    <mergeCell ref="AT38:AT39"/>
    <mergeCell ref="AU38:AU39"/>
    <mergeCell ref="AV38:AV39"/>
    <mergeCell ref="AW38:AW39"/>
    <mergeCell ref="AX38:AX39"/>
    <mergeCell ref="P38:P39"/>
    <mergeCell ref="Q38:Q39"/>
    <mergeCell ref="R38:S38"/>
    <mergeCell ref="AP38:AP39"/>
    <mergeCell ref="AQ38:AQ39"/>
    <mergeCell ref="AR38:AR39"/>
    <mergeCell ref="R40:S40"/>
    <mergeCell ref="AP40:AP42"/>
    <mergeCell ref="H40:H42"/>
    <mergeCell ref="I40:I42"/>
    <mergeCell ref="J40:J42"/>
    <mergeCell ref="M40:M42"/>
    <mergeCell ref="N40:N42"/>
    <mergeCell ref="L40:L42"/>
    <mergeCell ref="B43:B44"/>
    <mergeCell ref="C43:C44"/>
    <mergeCell ref="D43:D44"/>
    <mergeCell ref="E43:E44"/>
    <mergeCell ref="F43:F44"/>
    <mergeCell ref="AY40:AY42"/>
    <mergeCell ref="AZ40:AZ42"/>
    <mergeCell ref="BA40:BA42"/>
    <mergeCell ref="R41:S41"/>
    <mergeCell ref="R42:S42"/>
    <mergeCell ref="AS40:AS42"/>
    <mergeCell ref="AT40:AT42"/>
    <mergeCell ref="AU40:AU42"/>
    <mergeCell ref="AV40:AV42"/>
    <mergeCell ref="AW40:AW42"/>
    <mergeCell ref="AX40:AX42"/>
    <mergeCell ref="P40:P42"/>
    <mergeCell ref="O40:O42"/>
    <mergeCell ref="B38:B39"/>
    <mergeCell ref="C38:C39"/>
    <mergeCell ref="D38:D39"/>
    <mergeCell ref="Q40:Q42"/>
    <mergeCell ref="BA43:BA44"/>
    <mergeCell ref="R44:S44"/>
    <mergeCell ref="AR43:AR44"/>
    <mergeCell ref="AS43:AS44"/>
    <mergeCell ref="E38:E39"/>
    <mergeCell ref="B45:B47"/>
    <mergeCell ref="C45:C47"/>
    <mergeCell ref="D45:D47"/>
    <mergeCell ref="E45:E47"/>
    <mergeCell ref="F45:F47"/>
    <mergeCell ref="G45:G47"/>
    <mergeCell ref="AX43:AX44"/>
    <mergeCell ref="AY43:AY44"/>
    <mergeCell ref="AZ43:AZ44"/>
    <mergeCell ref="O43:O44"/>
    <mergeCell ref="P43:P44"/>
    <mergeCell ref="Q43:Q44"/>
    <mergeCell ref="G43:G44"/>
    <mergeCell ref="H43:H44"/>
    <mergeCell ref="I43:I44"/>
    <mergeCell ref="J43:J44"/>
    <mergeCell ref="M43:M44"/>
    <mergeCell ref="N43:N44"/>
    <mergeCell ref="AZ45:AZ47"/>
    <mergeCell ref="L43:L44"/>
    <mergeCell ref="L45:L47"/>
    <mergeCell ref="P45:P47"/>
    <mergeCell ref="Q45:Q47"/>
    <mergeCell ref="H45:H47"/>
    <mergeCell ref="I45:I47"/>
    <mergeCell ref="J45:J47"/>
    <mergeCell ref="M45:M47"/>
    <mergeCell ref="N45:N47"/>
    <mergeCell ref="O45:O47"/>
    <mergeCell ref="AY45:AY47"/>
    <mergeCell ref="R46:S46"/>
    <mergeCell ref="R47:S47"/>
    <mergeCell ref="AS45:AS47"/>
    <mergeCell ref="AT45:AT47"/>
    <mergeCell ref="AU45:AU47"/>
    <mergeCell ref="AV45:AV47"/>
    <mergeCell ref="AW45:AW47"/>
    <mergeCell ref="AX45:AX47"/>
    <mergeCell ref="AT43:AT44"/>
    <mergeCell ref="AU43:AU44"/>
    <mergeCell ref="AV43:AV44"/>
    <mergeCell ref="AW43:AW44"/>
    <mergeCell ref="R43:S43"/>
    <mergeCell ref="AP43:AP44"/>
    <mergeCell ref="AQ43:AQ44"/>
    <mergeCell ref="AR45:AR47"/>
    <mergeCell ref="H48:H50"/>
    <mergeCell ref="I48:I50"/>
    <mergeCell ref="J48:J50"/>
    <mergeCell ref="M48:M50"/>
    <mergeCell ref="N48:N50"/>
    <mergeCell ref="O48:O50"/>
    <mergeCell ref="B48:B50"/>
    <mergeCell ref="C48:C50"/>
    <mergeCell ref="D48:D50"/>
    <mergeCell ref="E48:E50"/>
    <mergeCell ref="F48:F50"/>
    <mergeCell ref="G48:G50"/>
    <mergeCell ref="L48:L50"/>
    <mergeCell ref="AY51:AY53"/>
    <mergeCell ref="AZ51:AZ53"/>
    <mergeCell ref="BA51:BA53"/>
    <mergeCell ref="R52:S52"/>
    <mergeCell ref="R53:S53"/>
    <mergeCell ref="AS51:AS53"/>
    <mergeCell ref="AT51:AT53"/>
    <mergeCell ref="AU51:AU53"/>
    <mergeCell ref="AV51:AV53"/>
    <mergeCell ref="AW51:AW53"/>
    <mergeCell ref="AX51:AX53"/>
    <mergeCell ref="AY48:AY50"/>
    <mergeCell ref="AZ48:AZ50"/>
    <mergeCell ref="BA48:BA50"/>
    <mergeCell ref="R49:S49"/>
    <mergeCell ref="R50:S50"/>
    <mergeCell ref="AS48:AS50"/>
    <mergeCell ref="AT48:AT50"/>
    <mergeCell ref="AU48:AU50"/>
    <mergeCell ref="B51:B53"/>
    <mergeCell ref="C51:C53"/>
    <mergeCell ref="D51:D53"/>
    <mergeCell ref="E51:E53"/>
    <mergeCell ref="F51:F53"/>
    <mergeCell ref="G51:G53"/>
    <mergeCell ref="R54:S54"/>
    <mergeCell ref="AP54:AP55"/>
    <mergeCell ref="H62:H63"/>
    <mergeCell ref="I62:I63"/>
    <mergeCell ref="J62:J63"/>
    <mergeCell ref="M62:M63"/>
    <mergeCell ref="N62:N63"/>
    <mergeCell ref="O62:O63"/>
    <mergeCell ref="P62:P63"/>
    <mergeCell ref="Q62:Q63"/>
    <mergeCell ref="H51:H53"/>
    <mergeCell ref="I51:I53"/>
    <mergeCell ref="J51:J53"/>
    <mergeCell ref="M51:M53"/>
    <mergeCell ref="N51:N53"/>
    <mergeCell ref="O51:O53"/>
    <mergeCell ref="L51:L53"/>
    <mergeCell ref="AP60:AP61"/>
    <mergeCell ref="B56:B57"/>
    <mergeCell ref="C56:C57"/>
    <mergeCell ref="D56:D57"/>
    <mergeCell ref="E56:E57"/>
    <mergeCell ref="F56:F57"/>
    <mergeCell ref="G56:G57"/>
    <mergeCell ref="H56:H57"/>
    <mergeCell ref="AU60:AU61"/>
    <mergeCell ref="AV60:AV61"/>
    <mergeCell ref="AW60:AW61"/>
    <mergeCell ref="AP62:AP63"/>
    <mergeCell ref="AQ62:AQ63"/>
    <mergeCell ref="R56:S56"/>
    <mergeCell ref="Q25:Q26"/>
    <mergeCell ref="R57:S57"/>
    <mergeCell ref="R58:S58"/>
    <mergeCell ref="R59:S59"/>
    <mergeCell ref="AX62:AX63"/>
    <mergeCell ref="AZ62:AZ63"/>
    <mergeCell ref="AR62:AR63"/>
    <mergeCell ref="AS62:AS63"/>
    <mergeCell ref="AU62:AU63"/>
    <mergeCell ref="AV62:AV63"/>
    <mergeCell ref="AY35:AY37"/>
    <mergeCell ref="AZ35:AZ37"/>
    <mergeCell ref="BH40:BH42"/>
    <mergeCell ref="BE45:BE47"/>
    <mergeCell ref="BE48:BE50"/>
    <mergeCell ref="BE51:BE53"/>
    <mergeCell ref="BF45:BF53"/>
    <mergeCell ref="AX25:AX26"/>
    <mergeCell ref="BG35:BG37"/>
    <mergeCell ref="BH35:BH37"/>
    <mergeCell ref="BG45:BG47"/>
    <mergeCell ref="BH45:BH47"/>
    <mergeCell ref="R25:S25"/>
    <mergeCell ref="R26:S26"/>
    <mergeCell ref="AB27:AB30"/>
    <mergeCell ref="AR60:AR61"/>
    <mergeCell ref="H66:H67"/>
    <mergeCell ref="N66:N67"/>
    <mergeCell ref="O66:O67"/>
    <mergeCell ref="AZ66:AZ67"/>
    <mergeCell ref="BA66:BA67"/>
    <mergeCell ref="AS66:AS67"/>
    <mergeCell ref="AU66:AU67"/>
    <mergeCell ref="AV66:AV67"/>
    <mergeCell ref="AW66:AW67"/>
    <mergeCell ref="AX66:AX67"/>
    <mergeCell ref="O64:O65"/>
    <mergeCell ref="P64:P65"/>
    <mergeCell ref="Q64:Q65"/>
    <mergeCell ref="H64:H65"/>
    <mergeCell ref="I64:I65"/>
    <mergeCell ref="J64:J65"/>
    <mergeCell ref="AX64:AX65"/>
    <mergeCell ref="Q66:Q67"/>
    <mergeCell ref="BH88:BH90"/>
    <mergeCell ref="BI88:BI90"/>
    <mergeCell ref="BJ88:BJ90"/>
    <mergeCell ref="BG88:BG90"/>
    <mergeCell ref="BG91:BG92"/>
    <mergeCell ref="BH91:BH92"/>
    <mergeCell ref="BI91:BI92"/>
    <mergeCell ref="BJ91:BJ92"/>
    <mergeCell ref="BF88:BF90"/>
    <mergeCell ref="BF91:BF92"/>
    <mergeCell ref="L91:L92"/>
    <mergeCell ref="BH79:BH81"/>
    <mergeCell ref="BI79:BI81"/>
    <mergeCell ref="BJ79:BJ81"/>
    <mergeCell ref="AW64:AW65"/>
    <mergeCell ref="AP64:AP65"/>
    <mergeCell ref="AQ64:AQ65"/>
    <mergeCell ref="L79:L81"/>
    <mergeCell ref="BB79:BB81"/>
    <mergeCell ref="BC79:BC81"/>
    <mergeCell ref="BD79:BD81"/>
    <mergeCell ref="BE79:BE81"/>
    <mergeCell ref="BF79:BF81"/>
    <mergeCell ref="BG79:BG81"/>
    <mergeCell ref="L64:L65"/>
    <mergeCell ref="D25:D26"/>
    <mergeCell ref="E25:E26"/>
    <mergeCell ref="L25:L26"/>
    <mergeCell ref="A101:A102"/>
    <mergeCell ref="A103:A104"/>
    <mergeCell ref="L88:L90"/>
    <mergeCell ref="B60:B61"/>
    <mergeCell ref="C60:C61"/>
    <mergeCell ref="D60:D61"/>
    <mergeCell ref="E60:E61"/>
    <mergeCell ref="F60:F61"/>
    <mergeCell ref="G60:G61"/>
    <mergeCell ref="H60:H61"/>
    <mergeCell ref="AQ66:AQ67"/>
    <mergeCell ref="AR66:AR67"/>
    <mergeCell ref="AU25:AU26"/>
    <mergeCell ref="AZ25:AZ26"/>
    <mergeCell ref="AR51:AR53"/>
    <mergeCell ref="AQ40:AQ42"/>
    <mergeCell ref="AR40:AR42"/>
    <mergeCell ref="BG40:BG42"/>
    <mergeCell ref="AP66:AP67"/>
    <mergeCell ref="AS60:AS61"/>
    <mergeCell ref="B2:BJ5"/>
    <mergeCell ref="B25:B26"/>
    <mergeCell ref="C25:C26"/>
    <mergeCell ref="F25:F26"/>
    <mergeCell ref="H25:H26"/>
    <mergeCell ref="J25:J26"/>
    <mergeCell ref="M25:M26"/>
    <mergeCell ref="AV25:AV26"/>
    <mergeCell ref="AW25:AW26"/>
    <mergeCell ref="BG13:BG14"/>
    <mergeCell ref="BH13:BH14"/>
    <mergeCell ref="BI13:BI14"/>
    <mergeCell ref="BJ13:BJ14"/>
    <mergeCell ref="BG15:BG16"/>
    <mergeCell ref="BH15:BH16"/>
    <mergeCell ref="BI15:BI16"/>
    <mergeCell ref="BJ15:BJ16"/>
    <mergeCell ref="N25:N26"/>
    <mergeCell ref="O25:O26"/>
    <mergeCell ref="P25:P26"/>
    <mergeCell ref="AP25:AP26"/>
    <mergeCell ref="AQ25:AQ26"/>
    <mergeCell ref="AR25:AR26"/>
    <mergeCell ref="AS25:AS26"/>
    <mergeCell ref="L23:L24"/>
    <mergeCell ref="B23:B24"/>
    <mergeCell ref="C23:C24"/>
    <mergeCell ref="D23:D24"/>
    <mergeCell ref="E23:E24"/>
    <mergeCell ref="F23:F24"/>
    <mergeCell ref="G23:G24"/>
    <mergeCell ref="H23:H24"/>
  </mergeCells>
  <conditionalFormatting sqref="Q11:Q12 BF11 BE100 BB99:BB100 BE88:BE92 BB88:BB92 Q72:Q77 BB54:BE55 BH54:BJ55">
    <cfRule type="containsText" dxfId="2072" priority="2322" operator="containsText" text="RIESGO EXTREMO">
      <formula>NOT(ISERROR(SEARCH("RIESGO EXTREMO",Q11)))</formula>
    </cfRule>
    <cfRule type="containsText" dxfId="2071" priority="2323" operator="containsText" text="RIESGO ALTO">
      <formula>NOT(ISERROR(SEARCH("RIESGO ALTO",Q11)))</formula>
    </cfRule>
    <cfRule type="containsText" dxfId="2070" priority="2324" operator="containsText" text="RIESGO MODERADO">
      <formula>NOT(ISERROR(SEARCH("RIESGO MODERADO",Q11)))</formula>
    </cfRule>
    <cfRule type="containsText" dxfId="2069" priority="2325" operator="containsText" text="RIESGO BAJO">
      <formula>NOT(ISERROR(SEARCH("RIESGO BAJO",Q11)))</formula>
    </cfRule>
  </conditionalFormatting>
  <conditionalFormatting sqref="I11:I12 I56:I59">
    <cfRule type="expression" dxfId="2068" priority="2321">
      <formula>EXACT(F11,"Seguridad_de_la_informacion")</formula>
    </cfRule>
  </conditionalFormatting>
  <conditionalFormatting sqref="J11:J20 J23:J24 J35:J53 J72:J81 J88:J94 J99:J104 J56:J59">
    <cfRule type="expression" dxfId="2067" priority="2320">
      <formula>EXACT(F11,"Seguridad_de_la_informacion")</formula>
    </cfRule>
  </conditionalFormatting>
  <conditionalFormatting sqref="AZ11:BA11 AZ12">
    <cfRule type="containsText" dxfId="2066" priority="2316" operator="containsText" text="RIESGO EXTREMO">
      <formula>NOT(ISERROR(SEARCH("RIESGO EXTREMO",AZ11)))</formula>
    </cfRule>
    <cfRule type="containsText" dxfId="2065" priority="2317" operator="containsText" text="RIESGO ALTO">
      <formula>NOT(ISERROR(SEARCH("RIESGO ALTO",AZ11)))</formula>
    </cfRule>
    <cfRule type="containsText" dxfId="2064" priority="2318" operator="containsText" text="RIESGO MODERADO">
      <formula>NOT(ISERROR(SEARCH("RIESGO MODERADO",AZ11)))</formula>
    </cfRule>
    <cfRule type="containsText" dxfId="2063" priority="2319" operator="containsText" text="RIESGO BAJO">
      <formula>NOT(ISERROR(SEARCH("RIESGO BAJO",AZ11)))</formula>
    </cfRule>
  </conditionalFormatting>
  <conditionalFormatting sqref="Q13:Q14">
    <cfRule type="containsText" dxfId="2062" priority="2312" operator="containsText" text="RIESGO EXTREMO">
      <formula>NOT(ISERROR(SEARCH("RIESGO EXTREMO",Q13)))</formula>
    </cfRule>
    <cfRule type="containsText" dxfId="2061" priority="2313" operator="containsText" text="RIESGO ALTO">
      <formula>NOT(ISERROR(SEARCH("RIESGO ALTO",Q13)))</formula>
    </cfRule>
    <cfRule type="containsText" dxfId="2060" priority="2314" operator="containsText" text="RIESGO MODERADO">
      <formula>NOT(ISERROR(SEARCH("RIESGO MODERADO",Q13)))</formula>
    </cfRule>
    <cfRule type="containsText" dxfId="2059" priority="2315" operator="containsText" text="RIESGO BAJO">
      <formula>NOT(ISERROR(SEARCH("RIESGO BAJO",Q13)))</formula>
    </cfRule>
  </conditionalFormatting>
  <conditionalFormatting sqref="I13:I14">
    <cfRule type="expression" dxfId="2058" priority="2311">
      <formula>EXACT(F13,"Seguridad_de_la_informacion")</formula>
    </cfRule>
  </conditionalFormatting>
  <conditionalFormatting sqref="AZ13:BA13 AZ14">
    <cfRule type="containsText" dxfId="2057" priority="2306" operator="containsText" text="RIESGO EXTREMO">
      <formula>NOT(ISERROR(SEARCH("RIESGO EXTREMO",AZ13)))</formula>
    </cfRule>
    <cfRule type="containsText" dxfId="2056" priority="2307" operator="containsText" text="RIESGO ALTO">
      <formula>NOT(ISERROR(SEARCH("RIESGO ALTO",AZ13)))</formula>
    </cfRule>
    <cfRule type="containsText" dxfId="2055" priority="2308" operator="containsText" text="RIESGO MODERADO">
      <formula>NOT(ISERROR(SEARCH("RIESGO MODERADO",AZ13)))</formula>
    </cfRule>
    <cfRule type="containsText" dxfId="2054" priority="2309" operator="containsText" text="RIESGO BAJO">
      <formula>NOT(ISERROR(SEARCH("RIESGO BAJO",AZ13)))</formula>
    </cfRule>
  </conditionalFormatting>
  <conditionalFormatting sqref="Q15:Q16 BB15:BE16">
    <cfRule type="containsText" dxfId="2053" priority="2298" operator="containsText" text="RIESGO EXTREMO">
      <formula>NOT(ISERROR(SEARCH("RIESGO EXTREMO",Q15)))</formula>
    </cfRule>
    <cfRule type="containsText" dxfId="2052" priority="2299" operator="containsText" text="RIESGO ALTO">
      <formula>NOT(ISERROR(SEARCH("RIESGO ALTO",Q15)))</formula>
    </cfRule>
    <cfRule type="containsText" dxfId="2051" priority="2300" operator="containsText" text="RIESGO MODERADO">
      <formula>NOT(ISERROR(SEARCH("RIESGO MODERADO",Q15)))</formula>
    </cfRule>
    <cfRule type="containsText" dxfId="2050" priority="2301" operator="containsText" text="RIESGO BAJO">
      <formula>NOT(ISERROR(SEARCH("RIESGO BAJO",Q15)))</formula>
    </cfRule>
  </conditionalFormatting>
  <conditionalFormatting sqref="I15:I16">
    <cfRule type="expression" dxfId="2049" priority="2297">
      <formula>EXACT(F15,"Seguridad_de_la_informacion")</formula>
    </cfRule>
  </conditionalFormatting>
  <conditionalFormatting sqref="AZ15:BA15 AZ16">
    <cfRule type="containsText" dxfId="2048" priority="2292" operator="containsText" text="RIESGO EXTREMO">
      <formula>NOT(ISERROR(SEARCH("RIESGO EXTREMO",AZ15)))</formula>
    </cfRule>
    <cfRule type="containsText" dxfId="2047" priority="2293" operator="containsText" text="RIESGO ALTO">
      <formula>NOT(ISERROR(SEARCH("RIESGO ALTO",AZ15)))</formula>
    </cfRule>
    <cfRule type="containsText" dxfId="2046" priority="2294" operator="containsText" text="RIESGO MODERADO">
      <formula>NOT(ISERROR(SEARCH("RIESGO MODERADO",AZ15)))</formula>
    </cfRule>
    <cfRule type="containsText" dxfId="2045" priority="2295" operator="containsText" text="RIESGO BAJO">
      <formula>NOT(ISERROR(SEARCH("RIESGO BAJO",AZ15)))</formula>
    </cfRule>
  </conditionalFormatting>
  <conditionalFormatting sqref="Q17:Q18">
    <cfRule type="containsText" dxfId="2044" priority="2284" operator="containsText" text="RIESGO EXTREMO">
      <formula>NOT(ISERROR(SEARCH("RIESGO EXTREMO",Q17)))</formula>
    </cfRule>
    <cfRule type="containsText" dxfId="2043" priority="2285" operator="containsText" text="RIESGO ALTO">
      <formula>NOT(ISERROR(SEARCH("RIESGO ALTO",Q17)))</formula>
    </cfRule>
    <cfRule type="containsText" dxfId="2042" priority="2286" operator="containsText" text="RIESGO MODERADO">
      <formula>NOT(ISERROR(SEARCH("RIESGO MODERADO",Q17)))</formula>
    </cfRule>
    <cfRule type="containsText" dxfId="2041" priority="2287" operator="containsText" text="RIESGO BAJO">
      <formula>NOT(ISERROR(SEARCH("RIESGO BAJO",Q17)))</formula>
    </cfRule>
  </conditionalFormatting>
  <conditionalFormatting sqref="Q19">
    <cfRule type="containsText" dxfId="2040" priority="2270" operator="containsText" text="RIESGO EXTREMO">
      <formula>NOT(ISERROR(SEARCH("RIESGO EXTREMO",Q19)))</formula>
    </cfRule>
    <cfRule type="containsText" dxfId="2039" priority="2271" operator="containsText" text="RIESGO ALTO">
      <formula>NOT(ISERROR(SEARCH("RIESGO ALTO",Q19)))</formula>
    </cfRule>
    <cfRule type="containsText" dxfId="2038" priority="2272" operator="containsText" text="RIESGO MODERADO">
      <formula>NOT(ISERROR(SEARCH("RIESGO MODERADO",Q19)))</formula>
    </cfRule>
    <cfRule type="containsText" dxfId="2037" priority="2273" operator="containsText" text="RIESGO BAJO">
      <formula>NOT(ISERROR(SEARCH("RIESGO BAJO",Q19)))</formula>
    </cfRule>
  </conditionalFormatting>
  <conditionalFormatting sqref="I17:I18">
    <cfRule type="expression" dxfId="2036" priority="2283">
      <formula>EXACT(F17,"Seguridad_de_la_informacion")</formula>
    </cfRule>
  </conditionalFormatting>
  <conditionalFormatting sqref="AZ17:BA17 AZ18">
    <cfRule type="containsText" dxfId="2035" priority="2278" operator="containsText" text="RIESGO EXTREMO">
      <formula>NOT(ISERROR(SEARCH("RIESGO EXTREMO",AZ17)))</formula>
    </cfRule>
    <cfRule type="containsText" dxfId="2034" priority="2279" operator="containsText" text="RIESGO ALTO">
      <formula>NOT(ISERROR(SEARCH("RIESGO ALTO",AZ17)))</formula>
    </cfRule>
    <cfRule type="containsText" dxfId="2033" priority="2280" operator="containsText" text="RIESGO MODERADO">
      <formula>NOT(ISERROR(SEARCH("RIESGO MODERADO",AZ17)))</formula>
    </cfRule>
    <cfRule type="containsText" dxfId="2032" priority="2281" operator="containsText" text="RIESGO BAJO">
      <formula>NOT(ISERROR(SEARCH("RIESGO BAJO",AZ17)))</formula>
    </cfRule>
  </conditionalFormatting>
  <conditionalFormatting sqref="Q35:Q37">
    <cfRule type="containsText" dxfId="2031" priority="2228" operator="containsText" text="RIESGO EXTREMO">
      <formula>NOT(ISERROR(SEARCH("RIESGO EXTREMO",Q35)))</formula>
    </cfRule>
    <cfRule type="containsText" dxfId="2030" priority="2229" operator="containsText" text="RIESGO ALTO">
      <formula>NOT(ISERROR(SEARCH("RIESGO ALTO",Q35)))</formula>
    </cfRule>
    <cfRule type="containsText" dxfId="2029" priority="2230" operator="containsText" text="RIESGO MODERADO">
      <formula>NOT(ISERROR(SEARCH("RIESGO MODERADO",Q35)))</formula>
    </cfRule>
    <cfRule type="containsText" dxfId="2028" priority="2231" operator="containsText" text="RIESGO BAJO">
      <formula>NOT(ISERROR(SEARCH("RIESGO BAJO",Q35)))</formula>
    </cfRule>
  </conditionalFormatting>
  <conditionalFormatting sqref="I19:I20">
    <cfRule type="expression" dxfId="2027" priority="2269">
      <formula>EXACT(F19,"Seguridad_de_la_informacion")</formula>
    </cfRule>
  </conditionalFormatting>
  <conditionalFormatting sqref="AZ19:BA19">
    <cfRule type="containsText" dxfId="2026" priority="2264" operator="containsText" text="RIESGO EXTREMO">
      <formula>NOT(ISERROR(SEARCH("RIESGO EXTREMO",AZ19)))</formula>
    </cfRule>
    <cfRule type="containsText" dxfId="2025" priority="2265" operator="containsText" text="RIESGO ALTO">
      <formula>NOT(ISERROR(SEARCH("RIESGO ALTO",AZ19)))</formula>
    </cfRule>
    <cfRule type="containsText" dxfId="2024" priority="2266" operator="containsText" text="RIESGO MODERADO">
      <formula>NOT(ISERROR(SEARCH("RIESGO MODERADO",AZ19)))</formula>
    </cfRule>
    <cfRule type="containsText" dxfId="2023" priority="2267" operator="containsText" text="RIESGO BAJO">
      <formula>NOT(ISERROR(SEARCH("RIESGO BAJO",AZ19)))</formula>
    </cfRule>
  </conditionalFormatting>
  <conditionalFormatting sqref="Q23:Q24">
    <cfRule type="containsText" dxfId="2022" priority="2256" operator="containsText" text="RIESGO EXTREMO">
      <formula>NOT(ISERROR(SEARCH("RIESGO EXTREMO",Q23)))</formula>
    </cfRule>
    <cfRule type="containsText" dxfId="2021" priority="2257" operator="containsText" text="RIESGO ALTO">
      <formula>NOT(ISERROR(SEARCH("RIESGO ALTO",Q23)))</formula>
    </cfRule>
    <cfRule type="containsText" dxfId="2020" priority="2258" operator="containsText" text="RIESGO MODERADO">
      <formula>NOT(ISERROR(SEARCH("RIESGO MODERADO",Q23)))</formula>
    </cfRule>
    <cfRule type="containsText" dxfId="2019" priority="2259" operator="containsText" text="RIESGO BAJO">
      <formula>NOT(ISERROR(SEARCH("RIESGO BAJO",Q23)))</formula>
    </cfRule>
  </conditionalFormatting>
  <conditionalFormatting sqref="I23:I24">
    <cfRule type="expression" dxfId="2018" priority="2255">
      <formula>EXACT(F23,"Seguridad_de_la_informacion")</formula>
    </cfRule>
  </conditionalFormatting>
  <conditionalFormatting sqref="AZ23:BA23 AZ24">
    <cfRule type="containsText" dxfId="2017" priority="2250" operator="containsText" text="RIESGO EXTREMO">
      <formula>NOT(ISERROR(SEARCH("RIESGO EXTREMO",AZ23)))</formula>
    </cfRule>
    <cfRule type="containsText" dxfId="2016" priority="2251" operator="containsText" text="RIESGO ALTO">
      <formula>NOT(ISERROR(SEARCH("RIESGO ALTO",AZ23)))</formula>
    </cfRule>
    <cfRule type="containsText" dxfId="2015" priority="2252" operator="containsText" text="RIESGO MODERADO">
      <formula>NOT(ISERROR(SEARCH("RIESGO MODERADO",AZ23)))</formula>
    </cfRule>
    <cfRule type="containsText" dxfId="2014" priority="2253" operator="containsText" text="RIESGO BAJO">
      <formula>NOT(ISERROR(SEARCH("RIESGO BAJO",AZ23)))</formula>
    </cfRule>
  </conditionalFormatting>
  <conditionalFormatting sqref="Q40:Q42">
    <cfRule type="containsText" dxfId="2013" priority="2200" operator="containsText" text="RIESGO EXTREMO">
      <formula>NOT(ISERROR(SEARCH("RIESGO EXTREMO",Q40)))</formula>
    </cfRule>
    <cfRule type="containsText" dxfId="2012" priority="2201" operator="containsText" text="RIESGO ALTO">
      <formula>NOT(ISERROR(SEARCH("RIESGO ALTO",Q40)))</formula>
    </cfRule>
    <cfRule type="containsText" dxfId="2011" priority="2202" operator="containsText" text="RIESGO MODERADO">
      <formula>NOT(ISERROR(SEARCH("RIESGO MODERADO",Q40)))</formula>
    </cfRule>
    <cfRule type="containsText" dxfId="2010" priority="2203" operator="containsText" text="RIESGO BAJO">
      <formula>NOT(ISERROR(SEARCH("RIESGO BAJO",Q40)))</formula>
    </cfRule>
  </conditionalFormatting>
  <conditionalFormatting sqref="I40:I41">
    <cfRule type="expression" dxfId="2009" priority="2199">
      <formula>EXACT(F40,"Seguridad_de_la_informacion")</formula>
    </cfRule>
  </conditionalFormatting>
  <conditionalFormatting sqref="AZ40:BA40 AZ41:AZ42">
    <cfRule type="containsText" dxfId="2008" priority="2194" operator="containsText" text="RIESGO EXTREMO">
      <formula>NOT(ISERROR(SEARCH("RIESGO EXTREMO",AZ40)))</formula>
    </cfRule>
    <cfRule type="containsText" dxfId="2007" priority="2195" operator="containsText" text="RIESGO ALTO">
      <formula>NOT(ISERROR(SEARCH("RIESGO ALTO",AZ40)))</formula>
    </cfRule>
    <cfRule type="containsText" dxfId="2006" priority="2196" operator="containsText" text="RIESGO MODERADO">
      <formula>NOT(ISERROR(SEARCH("RIESGO MODERADO",AZ40)))</formula>
    </cfRule>
    <cfRule type="containsText" dxfId="2005" priority="2197" operator="containsText" text="RIESGO BAJO">
      <formula>NOT(ISERROR(SEARCH("RIESGO BAJO",AZ40)))</formula>
    </cfRule>
  </conditionalFormatting>
  <conditionalFormatting sqref="BE21:BE22">
    <cfRule type="containsText" dxfId="2004" priority="2130" operator="containsText" text="RIESGO EXTREMO">
      <formula>NOT(ISERROR(SEARCH("RIESGO EXTREMO",BE21)))</formula>
    </cfRule>
    <cfRule type="containsText" dxfId="2003" priority="2131" operator="containsText" text="RIESGO ALTO">
      <formula>NOT(ISERROR(SEARCH("RIESGO ALTO",BE21)))</formula>
    </cfRule>
    <cfRule type="containsText" dxfId="2002" priority="2132" operator="containsText" text="RIESGO MODERADO">
      <formula>NOT(ISERROR(SEARCH("RIESGO MODERADO",BE21)))</formula>
    </cfRule>
    <cfRule type="containsText" dxfId="2001" priority="2133" operator="containsText" text="RIESGO BAJO">
      <formula>NOT(ISERROR(SEARCH("RIESGO BAJO",BE21)))</formula>
    </cfRule>
  </conditionalFormatting>
  <conditionalFormatting sqref="I35:I36">
    <cfRule type="expression" dxfId="2000" priority="2227">
      <formula>EXACT(F35,"Seguridad_de_la_informacion")</formula>
    </cfRule>
  </conditionalFormatting>
  <conditionalFormatting sqref="AZ35:BA35 AZ36:AZ37">
    <cfRule type="containsText" dxfId="1999" priority="2222" operator="containsText" text="RIESGO EXTREMO">
      <formula>NOT(ISERROR(SEARCH("RIESGO EXTREMO",AZ35)))</formula>
    </cfRule>
    <cfRule type="containsText" dxfId="1998" priority="2223" operator="containsText" text="RIESGO ALTO">
      <formula>NOT(ISERROR(SEARCH("RIESGO ALTO",AZ35)))</formula>
    </cfRule>
    <cfRule type="containsText" dxfId="1997" priority="2224" operator="containsText" text="RIESGO MODERADO">
      <formula>NOT(ISERROR(SEARCH("RIESGO MODERADO",AZ35)))</formula>
    </cfRule>
    <cfRule type="containsText" dxfId="1996" priority="2225" operator="containsText" text="RIESGO BAJO">
      <formula>NOT(ISERROR(SEARCH("RIESGO BAJO",AZ35)))</formula>
    </cfRule>
  </conditionalFormatting>
  <conditionalFormatting sqref="BD21:BD22">
    <cfRule type="containsText" dxfId="1995" priority="2134" operator="containsText" text="RIESGO EXTREMO">
      <formula>NOT(ISERROR(SEARCH("RIESGO EXTREMO",BD21)))</formula>
    </cfRule>
    <cfRule type="containsText" dxfId="1994" priority="2135" operator="containsText" text="RIESGO ALTO">
      <formula>NOT(ISERROR(SEARCH("RIESGO ALTO",BD21)))</formula>
    </cfRule>
    <cfRule type="containsText" dxfId="1993" priority="2136" operator="containsText" text="RIESGO MODERADO">
      <formula>NOT(ISERROR(SEARCH("RIESGO MODERADO",BD21)))</formula>
    </cfRule>
    <cfRule type="containsText" dxfId="1992" priority="2137" operator="containsText" text="RIESGO BAJO">
      <formula>NOT(ISERROR(SEARCH("RIESGO BAJO",BD21)))</formula>
    </cfRule>
  </conditionalFormatting>
  <conditionalFormatting sqref="Q38:Q39">
    <cfRule type="containsText" dxfId="1991" priority="2214" operator="containsText" text="RIESGO EXTREMO">
      <formula>NOT(ISERROR(SEARCH("RIESGO EXTREMO",Q38)))</formula>
    </cfRule>
    <cfRule type="containsText" dxfId="1990" priority="2215" operator="containsText" text="RIESGO ALTO">
      <formula>NOT(ISERROR(SEARCH("RIESGO ALTO",Q38)))</formula>
    </cfRule>
    <cfRule type="containsText" dxfId="1989" priority="2216" operator="containsText" text="RIESGO MODERADO">
      <formula>NOT(ISERROR(SEARCH("RIESGO MODERADO",Q38)))</formula>
    </cfRule>
    <cfRule type="containsText" dxfId="1988" priority="2217" operator="containsText" text="RIESGO BAJO">
      <formula>NOT(ISERROR(SEARCH("RIESGO BAJO",Q38)))</formula>
    </cfRule>
  </conditionalFormatting>
  <conditionalFormatting sqref="I38:I39">
    <cfRule type="expression" dxfId="1987" priority="2213">
      <formula>EXACT(F38,"Seguridad_de_la_informacion")</formula>
    </cfRule>
  </conditionalFormatting>
  <conditionalFormatting sqref="AZ38:BA38 AZ39">
    <cfRule type="containsText" dxfId="1986" priority="2208" operator="containsText" text="RIESGO EXTREMO">
      <formula>NOT(ISERROR(SEARCH("RIESGO EXTREMO",AZ38)))</formula>
    </cfRule>
    <cfRule type="containsText" dxfId="1985" priority="2209" operator="containsText" text="RIESGO ALTO">
      <formula>NOT(ISERROR(SEARCH("RIESGO ALTO",AZ38)))</formula>
    </cfRule>
    <cfRule type="containsText" dxfId="1984" priority="2210" operator="containsText" text="RIESGO MODERADO">
      <formula>NOT(ISERROR(SEARCH("RIESGO MODERADO",AZ38)))</formula>
    </cfRule>
    <cfRule type="containsText" dxfId="1983" priority="2211" operator="containsText" text="RIESGO BAJO">
      <formula>NOT(ISERROR(SEARCH("RIESGO BAJO",AZ38)))</formula>
    </cfRule>
  </conditionalFormatting>
  <conditionalFormatting sqref="BE14">
    <cfRule type="containsText" dxfId="1982" priority="2174" operator="containsText" text="RIESGO EXTREMO">
      <formula>NOT(ISERROR(SEARCH("RIESGO EXTREMO",BE14)))</formula>
    </cfRule>
    <cfRule type="containsText" dxfId="1981" priority="2175" operator="containsText" text="RIESGO ALTO">
      <formula>NOT(ISERROR(SEARCH("RIESGO ALTO",BE14)))</formula>
    </cfRule>
    <cfRule type="containsText" dxfId="1980" priority="2176" operator="containsText" text="RIESGO MODERADO">
      <formula>NOT(ISERROR(SEARCH("RIESGO MODERADO",BE14)))</formula>
    </cfRule>
    <cfRule type="containsText" dxfId="1979" priority="2177" operator="containsText" text="RIESGO BAJO">
      <formula>NOT(ISERROR(SEARCH("RIESGO BAJO",BE14)))</formula>
    </cfRule>
  </conditionalFormatting>
  <conditionalFormatting sqref="BC11 BE11:BE12">
    <cfRule type="containsText" dxfId="1978" priority="2186" operator="containsText" text="RIESGO EXTREMO">
      <formula>NOT(ISERROR(SEARCH("RIESGO EXTREMO",BC11)))</formula>
    </cfRule>
    <cfRule type="containsText" dxfId="1977" priority="2187" operator="containsText" text="RIESGO ALTO">
      <formula>NOT(ISERROR(SEARCH("RIESGO ALTO",BC11)))</formula>
    </cfRule>
    <cfRule type="containsText" dxfId="1976" priority="2188" operator="containsText" text="RIESGO MODERADO">
      <formula>NOT(ISERROR(SEARCH("RIESGO MODERADO",BC11)))</formula>
    </cfRule>
    <cfRule type="containsText" dxfId="1975" priority="2189" operator="containsText" text="RIESGO BAJO">
      <formula>NOT(ISERROR(SEARCH("RIESGO BAJO",BC11)))</formula>
    </cfRule>
  </conditionalFormatting>
  <conditionalFormatting sqref="BC13">
    <cfRule type="containsText" dxfId="1974" priority="2182" operator="containsText" text="RIESGO EXTREMO">
      <formula>NOT(ISERROR(SEARCH("RIESGO EXTREMO",BC13)))</formula>
    </cfRule>
    <cfRule type="containsText" dxfId="1973" priority="2183" operator="containsText" text="RIESGO ALTO">
      <formula>NOT(ISERROR(SEARCH("RIESGO ALTO",BC13)))</formula>
    </cfRule>
    <cfRule type="containsText" dxfId="1972" priority="2184" operator="containsText" text="RIESGO MODERADO">
      <formula>NOT(ISERROR(SEARCH("RIESGO MODERADO",BC13)))</formula>
    </cfRule>
    <cfRule type="containsText" dxfId="1971" priority="2185" operator="containsText" text="RIESGO BAJO">
      <formula>NOT(ISERROR(SEARCH("RIESGO BAJO",BC13)))</formula>
    </cfRule>
  </conditionalFormatting>
  <conditionalFormatting sqref="BE13">
    <cfRule type="containsText" dxfId="1970" priority="2178" operator="containsText" text="RIESGO EXTREMO">
      <formula>NOT(ISERROR(SEARCH("RIESGO EXTREMO",BE13)))</formula>
    </cfRule>
    <cfRule type="containsText" dxfId="1969" priority="2179" operator="containsText" text="RIESGO ALTO">
      <formula>NOT(ISERROR(SEARCH("RIESGO ALTO",BE13)))</formula>
    </cfRule>
    <cfRule type="containsText" dxfId="1968" priority="2180" operator="containsText" text="RIESGO MODERADO">
      <formula>NOT(ISERROR(SEARCH("RIESGO MODERADO",BE13)))</formula>
    </cfRule>
    <cfRule type="containsText" dxfId="1967" priority="2181" operator="containsText" text="RIESGO BAJO">
      <formula>NOT(ISERROR(SEARCH("RIESGO BAJO",BE13)))</formula>
    </cfRule>
  </conditionalFormatting>
  <conditionalFormatting sqref="BJ11 BG11:BH11">
    <cfRule type="containsText" dxfId="1966" priority="2162" operator="containsText" text="RIESGO EXTREMO">
      <formula>NOT(ISERROR(SEARCH("RIESGO EXTREMO",BG11)))</formula>
    </cfRule>
    <cfRule type="containsText" dxfId="1965" priority="2163" operator="containsText" text="RIESGO ALTO">
      <formula>NOT(ISERROR(SEARCH("RIESGO ALTO",BG11)))</formula>
    </cfRule>
    <cfRule type="containsText" dxfId="1964" priority="2164" operator="containsText" text="RIESGO MODERADO">
      <formula>NOT(ISERROR(SEARCH("RIESGO MODERADO",BG11)))</formula>
    </cfRule>
    <cfRule type="containsText" dxfId="1963" priority="2165" operator="containsText" text="RIESGO BAJO">
      <formula>NOT(ISERROR(SEARCH("RIESGO BAJO",BG11)))</formula>
    </cfRule>
  </conditionalFormatting>
  <conditionalFormatting sqref="BI11">
    <cfRule type="containsText" dxfId="1962" priority="2158" operator="containsText" text="RIESGO EXTREMO">
      <formula>NOT(ISERROR(SEARCH("RIESGO EXTREMO",BI11)))</formula>
    </cfRule>
    <cfRule type="containsText" dxfId="1961" priority="2159" operator="containsText" text="RIESGO ALTO">
      <formula>NOT(ISERROR(SEARCH("RIESGO ALTO",BI11)))</formula>
    </cfRule>
    <cfRule type="containsText" dxfId="1960" priority="2160" operator="containsText" text="RIESGO MODERADO">
      <formula>NOT(ISERROR(SEARCH("RIESGO MODERADO",BI11)))</formula>
    </cfRule>
    <cfRule type="containsText" dxfId="1959" priority="2161" operator="containsText" text="RIESGO BAJO">
      <formula>NOT(ISERROR(SEARCH("RIESGO BAJO",BI11)))</formula>
    </cfRule>
  </conditionalFormatting>
  <conditionalFormatting sqref="BB21:BC22">
    <cfRule type="containsText" dxfId="1958" priority="2146" operator="containsText" text="RIESGO EXTREMO">
      <formula>NOT(ISERROR(SEARCH("RIESGO EXTREMO",BB21)))</formula>
    </cfRule>
    <cfRule type="containsText" dxfId="1957" priority="2147" operator="containsText" text="RIESGO ALTO">
      <formula>NOT(ISERROR(SEARCH("RIESGO ALTO",BB21)))</formula>
    </cfRule>
    <cfRule type="containsText" dxfId="1956" priority="2148" operator="containsText" text="RIESGO MODERADO">
      <formula>NOT(ISERROR(SEARCH("RIESGO MODERADO",BB21)))</formula>
    </cfRule>
    <cfRule type="containsText" dxfId="1955" priority="2149" operator="containsText" text="RIESGO BAJO">
      <formula>NOT(ISERROR(SEARCH("RIESGO BAJO",BB21)))</formula>
    </cfRule>
  </conditionalFormatting>
  <conditionalFormatting sqref="Q43:Q44 BB44:BE44">
    <cfRule type="containsText" dxfId="1954" priority="2062" operator="containsText" text="RIESGO EXTREMO">
      <formula>NOT(ISERROR(SEARCH("RIESGO EXTREMO",Q43)))</formula>
    </cfRule>
    <cfRule type="containsText" dxfId="1953" priority="2063" operator="containsText" text="RIESGO ALTO">
      <formula>NOT(ISERROR(SEARCH("RIESGO ALTO",Q43)))</formula>
    </cfRule>
    <cfRule type="containsText" dxfId="1952" priority="2064" operator="containsText" text="RIESGO MODERADO">
      <formula>NOT(ISERROR(SEARCH("RIESGO MODERADO",Q43)))</formula>
    </cfRule>
    <cfRule type="containsText" dxfId="1951" priority="2065" operator="containsText" text="RIESGO BAJO">
      <formula>NOT(ISERROR(SEARCH("RIESGO BAJO",Q43)))</formula>
    </cfRule>
  </conditionalFormatting>
  <conditionalFormatting sqref="BG23">
    <cfRule type="containsText" dxfId="1950" priority="2070" operator="containsText" text="RIESGO EXTREMO">
      <formula>NOT(ISERROR(SEARCH("RIESGO EXTREMO",BG23)))</formula>
    </cfRule>
    <cfRule type="containsText" dxfId="1949" priority="2071" operator="containsText" text="RIESGO ALTO">
      <formula>NOT(ISERROR(SEARCH("RIESGO ALTO",BG23)))</formula>
    </cfRule>
    <cfRule type="containsText" dxfId="1948" priority="2072" operator="containsText" text="RIESGO MODERADO">
      <formula>NOT(ISERROR(SEARCH("RIESGO MODERADO",BG23)))</formula>
    </cfRule>
    <cfRule type="containsText" dxfId="1947" priority="2073" operator="containsText" text="RIESGO BAJO">
      <formula>NOT(ISERROR(SEARCH("RIESGO BAJO",BG23)))</formula>
    </cfRule>
  </conditionalFormatting>
  <conditionalFormatting sqref="I43:I44">
    <cfRule type="expression" dxfId="1946" priority="2061">
      <formula>EXACT(F43,"Seguridad_de_la_informacion")</formula>
    </cfRule>
  </conditionalFormatting>
  <conditionalFormatting sqref="AZ43:BA43 AZ44">
    <cfRule type="containsText" dxfId="1945" priority="2056" operator="containsText" text="RIESGO EXTREMO">
      <formula>NOT(ISERROR(SEARCH("RIESGO EXTREMO",AZ43)))</formula>
    </cfRule>
    <cfRule type="containsText" dxfId="1944" priority="2057" operator="containsText" text="RIESGO ALTO">
      <formula>NOT(ISERROR(SEARCH("RIESGO ALTO",AZ43)))</formula>
    </cfRule>
    <cfRule type="containsText" dxfId="1943" priority="2058" operator="containsText" text="RIESGO MODERADO">
      <formula>NOT(ISERROR(SEARCH("RIESGO MODERADO",AZ43)))</formula>
    </cfRule>
    <cfRule type="containsText" dxfId="1942" priority="2059" operator="containsText" text="RIESGO BAJO">
      <formula>NOT(ISERROR(SEARCH("RIESGO BAJO",AZ43)))</formula>
    </cfRule>
  </conditionalFormatting>
  <conditionalFormatting sqref="BE35:BE37">
    <cfRule type="containsText" dxfId="1941" priority="1902" operator="containsText" text="RIESGO EXTREMO">
      <formula>NOT(ISERROR(SEARCH("RIESGO EXTREMO",BE35)))</formula>
    </cfRule>
    <cfRule type="containsText" dxfId="1940" priority="1903" operator="containsText" text="RIESGO ALTO">
      <formula>NOT(ISERROR(SEARCH("RIESGO ALTO",BE35)))</formula>
    </cfRule>
    <cfRule type="containsText" dxfId="1939" priority="1904" operator="containsText" text="RIESGO MODERADO">
      <formula>NOT(ISERROR(SEARCH("RIESGO MODERADO",BE35)))</formula>
    </cfRule>
    <cfRule type="containsText" dxfId="1938" priority="1905" operator="containsText" text="RIESGO BAJO">
      <formula>NOT(ISERROR(SEARCH("RIESGO BAJO",BE35)))</formula>
    </cfRule>
  </conditionalFormatting>
  <conditionalFormatting sqref="Q45:Q47 BE45">
    <cfRule type="containsText" dxfId="1937" priority="2048" operator="containsText" text="RIESGO EXTREMO">
      <formula>NOT(ISERROR(SEARCH("RIESGO EXTREMO",Q45)))</formula>
    </cfRule>
    <cfRule type="containsText" dxfId="1936" priority="2049" operator="containsText" text="RIESGO ALTO">
      <formula>NOT(ISERROR(SEARCH("RIESGO ALTO",Q45)))</formula>
    </cfRule>
    <cfRule type="containsText" dxfId="1935" priority="2050" operator="containsText" text="RIESGO MODERADO">
      <formula>NOT(ISERROR(SEARCH("RIESGO MODERADO",Q45)))</formula>
    </cfRule>
    <cfRule type="containsText" dxfId="1934" priority="2051" operator="containsText" text="RIESGO BAJO">
      <formula>NOT(ISERROR(SEARCH("RIESGO BAJO",Q45)))</formula>
    </cfRule>
  </conditionalFormatting>
  <conditionalFormatting sqref="I45:I46">
    <cfRule type="expression" dxfId="1933" priority="2047">
      <formula>EXACT(F45,"Seguridad_de_la_informacion")</formula>
    </cfRule>
  </conditionalFormatting>
  <conditionalFormatting sqref="AZ45:BA45 AZ46:AZ47">
    <cfRule type="containsText" dxfId="1932" priority="2042" operator="containsText" text="RIESGO EXTREMO">
      <formula>NOT(ISERROR(SEARCH("RIESGO EXTREMO",AZ45)))</formula>
    </cfRule>
    <cfRule type="containsText" dxfId="1931" priority="2043" operator="containsText" text="RIESGO ALTO">
      <formula>NOT(ISERROR(SEARCH("RIESGO ALTO",AZ45)))</formula>
    </cfRule>
    <cfRule type="containsText" dxfId="1930" priority="2044" operator="containsText" text="RIESGO MODERADO">
      <formula>NOT(ISERROR(SEARCH("RIESGO MODERADO",AZ45)))</formula>
    </cfRule>
    <cfRule type="containsText" dxfId="1929" priority="2045" operator="containsText" text="RIESGO BAJO">
      <formula>NOT(ISERROR(SEARCH("RIESGO BAJO",AZ45)))</formula>
    </cfRule>
  </conditionalFormatting>
  <conditionalFormatting sqref="BG45">
    <cfRule type="containsText" dxfId="1928" priority="2038" operator="containsText" text="RIESGO EXTREMO">
      <formula>NOT(ISERROR(SEARCH("RIESGO EXTREMO",BG45)))</formula>
    </cfRule>
    <cfRule type="containsText" dxfId="1927" priority="2039" operator="containsText" text="RIESGO ALTO">
      <formula>NOT(ISERROR(SEARCH("RIESGO ALTO",BG45)))</formula>
    </cfRule>
    <cfRule type="containsText" dxfId="1926" priority="2040" operator="containsText" text="RIESGO MODERADO">
      <formula>NOT(ISERROR(SEARCH("RIESGO MODERADO",BG45)))</formula>
    </cfRule>
    <cfRule type="containsText" dxfId="1925" priority="2041" operator="containsText" text="RIESGO BAJO">
      <formula>NOT(ISERROR(SEARCH("RIESGO BAJO",BG45)))</formula>
    </cfRule>
  </conditionalFormatting>
  <conditionalFormatting sqref="Q48:Q50 BE48">
    <cfRule type="containsText" dxfId="1924" priority="2034" operator="containsText" text="RIESGO EXTREMO">
      <formula>NOT(ISERROR(SEARCH("RIESGO EXTREMO",Q48)))</formula>
    </cfRule>
    <cfRule type="containsText" dxfId="1923" priority="2035" operator="containsText" text="RIESGO ALTO">
      <formula>NOT(ISERROR(SEARCH("RIESGO ALTO",Q48)))</formula>
    </cfRule>
    <cfRule type="containsText" dxfId="1922" priority="2036" operator="containsText" text="RIESGO MODERADO">
      <formula>NOT(ISERROR(SEARCH("RIESGO MODERADO",Q48)))</formula>
    </cfRule>
    <cfRule type="containsText" dxfId="1921" priority="2037" operator="containsText" text="RIESGO BAJO">
      <formula>NOT(ISERROR(SEARCH("RIESGO BAJO",Q48)))</formula>
    </cfRule>
  </conditionalFormatting>
  <conditionalFormatting sqref="I48:I49">
    <cfRule type="expression" dxfId="1920" priority="2033">
      <formula>EXACT(F48,"Seguridad_de_la_informacion")</formula>
    </cfRule>
  </conditionalFormatting>
  <conditionalFormatting sqref="AZ48:BA48 AZ49:AZ50">
    <cfRule type="containsText" dxfId="1919" priority="2028" operator="containsText" text="RIESGO EXTREMO">
      <formula>NOT(ISERROR(SEARCH("RIESGO EXTREMO",AZ48)))</formula>
    </cfRule>
    <cfRule type="containsText" dxfId="1918" priority="2029" operator="containsText" text="RIESGO ALTO">
      <formula>NOT(ISERROR(SEARCH("RIESGO ALTO",AZ48)))</formula>
    </cfRule>
    <cfRule type="containsText" dxfId="1917" priority="2030" operator="containsText" text="RIESGO MODERADO">
      <formula>NOT(ISERROR(SEARCH("RIESGO MODERADO",AZ48)))</formula>
    </cfRule>
    <cfRule type="containsText" dxfId="1916" priority="2031" operator="containsText" text="RIESGO BAJO">
      <formula>NOT(ISERROR(SEARCH("RIESGO BAJO",AZ48)))</formula>
    </cfRule>
  </conditionalFormatting>
  <conditionalFormatting sqref="Q51:Q53 BE51">
    <cfRule type="containsText" dxfId="1915" priority="2020" operator="containsText" text="RIESGO EXTREMO">
      <formula>NOT(ISERROR(SEARCH("RIESGO EXTREMO",Q51)))</formula>
    </cfRule>
    <cfRule type="containsText" dxfId="1914" priority="2021" operator="containsText" text="RIESGO ALTO">
      <formula>NOT(ISERROR(SEARCH("RIESGO ALTO",Q51)))</formula>
    </cfRule>
    <cfRule type="containsText" dxfId="1913" priority="2022" operator="containsText" text="RIESGO MODERADO">
      <formula>NOT(ISERROR(SEARCH("RIESGO MODERADO",Q51)))</formula>
    </cfRule>
    <cfRule type="containsText" dxfId="1912" priority="2023" operator="containsText" text="RIESGO BAJO">
      <formula>NOT(ISERROR(SEARCH("RIESGO BAJO",Q51)))</formula>
    </cfRule>
  </conditionalFormatting>
  <conditionalFormatting sqref="I51:I52">
    <cfRule type="expression" dxfId="1911" priority="2019">
      <formula>EXACT(F51,"Seguridad_de_la_informacion")</formula>
    </cfRule>
  </conditionalFormatting>
  <conditionalFormatting sqref="AZ51:BA51 AZ52:AZ53">
    <cfRule type="containsText" dxfId="1910" priority="2014" operator="containsText" text="RIESGO EXTREMO">
      <formula>NOT(ISERROR(SEARCH("RIESGO EXTREMO",AZ51)))</formula>
    </cfRule>
    <cfRule type="containsText" dxfId="1909" priority="2015" operator="containsText" text="RIESGO ALTO">
      <formula>NOT(ISERROR(SEARCH("RIESGO ALTO",AZ51)))</formula>
    </cfRule>
    <cfRule type="containsText" dxfId="1908" priority="2016" operator="containsText" text="RIESGO MODERADO">
      <formula>NOT(ISERROR(SEARCH("RIESGO MODERADO",AZ51)))</formula>
    </cfRule>
    <cfRule type="containsText" dxfId="1907" priority="2017" operator="containsText" text="RIESGO BAJO">
      <formula>NOT(ISERROR(SEARCH("RIESGO BAJO",AZ51)))</formula>
    </cfRule>
  </conditionalFormatting>
  <conditionalFormatting sqref="BC38:BD39">
    <cfRule type="containsText" dxfId="1906" priority="1906" operator="containsText" text="RIESGO EXTREMO">
      <formula>NOT(ISERROR(SEARCH("RIESGO EXTREMO",BC38)))</formula>
    </cfRule>
    <cfRule type="containsText" dxfId="1905" priority="1907" operator="containsText" text="RIESGO ALTO">
      <formula>NOT(ISERROR(SEARCH("RIESGO ALTO",BC38)))</formula>
    </cfRule>
    <cfRule type="containsText" dxfId="1904" priority="1908" operator="containsText" text="RIESGO MODERADO">
      <formula>NOT(ISERROR(SEARCH("RIESGO MODERADO",BC38)))</formula>
    </cfRule>
    <cfRule type="containsText" dxfId="1903" priority="1909" operator="containsText" text="RIESGO BAJO">
      <formula>NOT(ISERROR(SEARCH("RIESGO BAJO",BC38)))</formula>
    </cfRule>
  </conditionalFormatting>
  <conditionalFormatting sqref="BH45:BJ45">
    <cfRule type="containsText" dxfId="1902" priority="1774" operator="containsText" text="RIESGO EXTREMO">
      <formula>NOT(ISERROR(SEARCH("RIESGO EXTREMO",BH45)))</formula>
    </cfRule>
    <cfRule type="containsText" dxfId="1901" priority="1775" operator="containsText" text="RIESGO ALTO">
      <formula>NOT(ISERROR(SEARCH("RIESGO ALTO",BH45)))</formula>
    </cfRule>
    <cfRule type="containsText" dxfId="1900" priority="1776" operator="containsText" text="RIESGO MODERADO">
      <formula>NOT(ISERROR(SEARCH("RIESGO MODERADO",BH45)))</formula>
    </cfRule>
    <cfRule type="containsText" dxfId="1899" priority="1777" operator="containsText" text="RIESGO BAJO">
      <formula>NOT(ISERROR(SEARCH("RIESGO BAJO",BH45)))</formula>
    </cfRule>
  </conditionalFormatting>
  <conditionalFormatting sqref="BG13">
    <cfRule type="containsText" dxfId="1898" priority="1680" operator="containsText" text="RIESGO EXTREMO">
      <formula>NOT(ISERROR(SEARCH("RIESGO EXTREMO",BG13)))</formula>
    </cfRule>
    <cfRule type="containsText" dxfId="1897" priority="1681" operator="containsText" text="RIESGO ALTO">
      <formula>NOT(ISERROR(SEARCH("RIESGO ALTO",BG13)))</formula>
    </cfRule>
    <cfRule type="containsText" dxfId="1896" priority="1682" operator="containsText" text="RIESGO MODERADO">
      <formula>NOT(ISERROR(SEARCH("RIESGO MODERADO",BG13)))</formula>
    </cfRule>
    <cfRule type="containsText" dxfId="1895" priority="1683" operator="containsText" text="RIESGO BAJO">
      <formula>NOT(ISERROR(SEARCH("RIESGO BAJO",BG13)))</formula>
    </cfRule>
  </conditionalFormatting>
  <conditionalFormatting sqref="BC35:BC37">
    <cfRule type="containsText" dxfId="1894" priority="1914" operator="containsText" text="RIESGO EXTREMO">
      <formula>NOT(ISERROR(SEARCH("RIESGO EXTREMO",BC35)))</formula>
    </cfRule>
    <cfRule type="containsText" dxfId="1893" priority="1915" operator="containsText" text="RIESGO ALTO">
      <formula>NOT(ISERROR(SEARCH("RIESGO ALTO",BC35)))</formula>
    </cfRule>
    <cfRule type="containsText" dxfId="1892" priority="1916" operator="containsText" text="RIESGO MODERADO">
      <formula>NOT(ISERROR(SEARCH("RIESGO MODERADO",BC35)))</formula>
    </cfRule>
    <cfRule type="containsText" dxfId="1891" priority="1917" operator="containsText" text="RIESGO BAJO">
      <formula>NOT(ISERROR(SEARCH("RIESGO BAJO",BC35)))</formula>
    </cfRule>
  </conditionalFormatting>
  <conditionalFormatting sqref="BB35:BB37">
    <cfRule type="containsText" dxfId="1890" priority="1922" operator="containsText" text="RIESGO EXTREMO">
      <formula>NOT(ISERROR(SEARCH("RIESGO EXTREMO",BB35)))</formula>
    </cfRule>
    <cfRule type="containsText" dxfId="1889" priority="1923" operator="containsText" text="RIESGO ALTO">
      <formula>NOT(ISERROR(SEARCH("RIESGO ALTO",BB35)))</formula>
    </cfRule>
    <cfRule type="containsText" dxfId="1888" priority="1924" operator="containsText" text="RIESGO MODERADO">
      <formula>NOT(ISERROR(SEARCH("RIESGO MODERADO",BB35)))</formula>
    </cfRule>
    <cfRule type="containsText" dxfId="1887" priority="1925" operator="containsText" text="RIESGO BAJO">
      <formula>NOT(ISERROR(SEARCH("RIESGO BAJO",BB35)))</formula>
    </cfRule>
  </conditionalFormatting>
  <conditionalFormatting sqref="BB38:BB39">
    <cfRule type="containsText" dxfId="1886" priority="1918" operator="containsText" text="RIESGO EXTREMO">
      <formula>NOT(ISERROR(SEARCH("RIESGO EXTREMO",BB38)))</formula>
    </cfRule>
    <cfRule type="containsText" dxfId="1885" priority="1919" operator="containsText" text="RIESGO ALTO">
      <formula>NOT(ISERROR(SEARCH("RIESGO ALTO",BB38)))</formula>
    </cfRule>
    <cfRule type="containsText" dxfId="1884" priority="1920" operator="containsText" text="RIESGO MODERADO">
      <formula>NOT(ISERROR(SEARCH("RIESGO MODERADO",BB38)))</formula>
    </cfRule>
    <cfRule type="containsText" dxfId="1883" priority="1921" operator="containsText" text="RIESGO BAJO">
      <formula>NOT(ISERROR(SEARCH("RIESGO BAJO",BB38)))</formula>
    </cfRule>
  </conditionalFormatting>
  <conditionalFormatting sqref="BD35:BD37">
    <cfRule type="containsText" dxfId="1882" priority="1910" operator="containsText" text="RIESGO EXTREMO">
      <formula>NOT(ISERROR(SEARCH("RIESGO EXTREMO",BD35)))</formula>
    </cfRule>
    <cfRule type="containsText" dxfId="1881" priority="1911" operator="containsText" text="RIESGO ALTO">
      <formula>NOT(ISERROR(SEARCH("RIESGO ALTO",BD35)))</formula>
    </cfRule>
    <cfRule type="containsText" dxfId="1880" priority="1912" operator="containsText" text="RIESGO MODERADO">
      <formula>NOT(ISERROR(SEARCH("RIESGO MODERADO",BD35)))</formula>
    </cfRule>
    <cfRule type="containsText" dxfId="1879" priority="1913" operator="containsText" text="RIESGO BAJO">
      <formula>NOT(ISERROR(SEARCH("RIESGO BAJO",BD35)))</formula>
    </cfRule>
  </conditionalFormatting>
  <conditionalFormatting sqref="BE38:BE39">
    <cfRule type="containsText" dxfId="1878" priority="1898" operator="containsText" text="RIESGO EXTREMO">
      <formula>NOT(ISERROR(SEARCH("RIESGO EXTREMO",BE38)))</formula>
    </cfRule>
    <cfRule type="containsText" dxfId="1877" priority="1899" operator="containsText" text="RIESGO ALTO">
      <formula>NOT(ISERROR(SEARCH("RIESGO ALTO",BE38)))</formula>
    </cfRule>
    <cfRule type="containsText" dxfId="1876" priority="1900" operator="containsText" text="RIESGO MODERADO">
      <formula>NOT(ISERROR(SEARCH("RIESGO MODERADO",BE38)))</formula>
    </cfRule>
    <cfRule type="containsText" dxfId="1875" priority="1901" operator="containsText" text="RIESGO BAJO">
      <formula>NOT(ISERROR(SEARCH("RIESGO BAJO",BE38)))</formula>
    </cfRule>
  </conditionalFormatting>
  <conditionalFormatting sqref="BG35">
    <cfRule type="containsText" dxfId="1874" priority="1894" operator="containsText" text="RIESGO EXTREMO">
      <formula>NOT(ISERROR(SEARCH("RIESGO EXTREMO",BG35)))</formula>
    </cfRule>
    <cfRule type="containsText" dxfId="1873" priority="1895" operator="containsText" text="RIESGO ALTO">
      <formula>NOT(ISERROR(SEARCH("RIESGO ALTO",BG35)))</formula>
    </cfRule>
    <cfRule type="containsText" dxfId="1872" priority="1896" operator="containsText" text="RIESGO MODERADO">
      <formula>NOT(ISERROR(SEARCH("RIESGO MODERADO",BG35)))</formula>
    </cfRule>
    <cfRule type="containsText" dxfId="1871" priority="1897" operator="containsText" text="RIESGO BAJO">
      <formula>NOT(ISERROR(SEARCH("RIESGO BAJO",BG35)))</formula>
    </cfRule>
  </conditionalFormatting>
  <conditionalFormatting sqref="BG40">
    <cfRule type="containsText" dxfId="1870" priority="1834" operator="containsText" text="RIESGO EXTREMO">
      <formula>NOT(ISERROR(SEARCH("RIESGO EXTREMO",BG40)))</formula>
    </cfRule>
    <cfRule type="containsText" dxfId="1869" priority="1835" operator="containsText" text="RIESGO ALTO">
      <formula>NOT(ISERROR(SEARCH("RIESGO ALTO",BG40)))</formula>
    </cfRule>
    <cfRule type="containsText" dxfId="1868" priority="1836" operator="containsText" text="RIESGO MODERADO">
      <formula>NOT(ISERROR(SEARCH("RIESGO MODERADO",BG40)))</formula>
    </cfRule>
    <cfRule type="containsText" dxfId="1867" priority="1837" operator="containsText" text="RIESGO BAJO">
      <formula>NOT(ISERROR(SEARCH("RIESGO BAJO",BG40)))</formula>
    </cfRule>
  </conditionalFormatting>
  <conditionalFormatting sqref="BH40:BJ40">
    <cfRule type="containsText" dxfId="1866" priority="1830" operator="containsText" text="RIESGO EXTREMO">
      <formula>NOT(ISERROR(SEARCH("RIESGO EXTREMO",BH40)))</formula>
    </cfRule>
    <cfRule type="containsText" dxfId="1865" priority="1831" operator="containsText" text="RIESGO ALTO">
      <formula>NOT(ISERROR(SEARCH("RIESGO ALTO",BH40)))</formula>
    </cfRule>
    <cfRule type="containsText" dxfId="1864" priority="1832" operator="containsText" text="RIESGO MODERADO">
      <formula>NOT(ISERROR(SEARCH("RIESGO MODERADO",BH40)))</formula>
    </cfRule>
    <cfRule type="containsText" dxfId="1863" priority="1833" operator="containsText" text="RIESGO BAJO">
      <formula>NOT(ISERROR(SEARCH("RIESGO BAJO",BH40)))</formula>
    </cfRule>
  </conditionalFormatting>
  <conditionalFormatting sqref="BG38">
    <cfRule type="containsText" dxfId="1862" priority="1874" operator="containsText" text="RIESGO EXTREMO">
      <formula>NOT(ISERROR(SEARCH("RIESGO EXTREMO",BG38)))</formula>
    </cfRule>
    <cfRule type="containsText" dxfId="1861" priority="1875" operator="containsText" text="RIESGO ALTO">
      <formula>NOT(ISERROR(SEARCH("RIESGO ALTO",BG38)))</formula>
    </cfRule>
    <cfRule type="containsText" dxfId="1860" priority="1876" operator="containsText" text="RIESGO MODERADO">
      <formula>NOT(ISERROR(SEARCH("RIESGO MODERADO",BG38)))</formula>
    </cfRule>
    <cfRule type="containsText" dxfId="1859" priority="1877" operator="containsText" text="RIESGO BAJO">
      <formula>NOT(ISERROR(SEARCH("RIESGO BAJO",BG38)))</formula>
    </cfRule>
  </conditionalFormatting>
  <conditionalFormatting sqref="BH35:BJ35">
    <cfRule type="containsText" dxfId="1858" priority="1878" operator="containsText" text="RIESGO EXTREMO">
      <formula>NOT(ISERROR(SEARCH("RIESGO EXTREMO",BH35)))</formula>
    </cfRule>
    <cfRule type="containsText" dxfId="1857" priority="1879" operator="containsText" text="RIESGO ALTO">
      <formula>NOT(ISERROR(SEARCH("RIESGO ALTO",BH35)))</formula>
    </cfRule>
    <cfRule type="containsText" dxfId="1856" priority="1880" operator="containsText" text="RIESGO MODERADO">
      <formula>NOT(ISERROR(SEARCH("RIESGO MODERADO",BH35)))</formula>
    </cfRule>
    <cfRule type="containsText" dxfId="1855" priority="1881" operator="containsText" text="RIESGO BAJO">
      <formula>NOT(ISERROR(SEARCH("RIESGO BAJO",BH35)))</formula>
    </cfRule>
  </conditionalFormatting>
  <conditionalFormatting sqref="BH43:BJ43">
    <cfRule type="containsText" dxfId="1854" priority="1822" operator="containsText" text="RIESGO EXTREMO">
      <formula>NOT(ISERROR(SEARCH("RIESGO EXTREMO",BH43)))</formula>
    </cfRule>
    <cfRule type="containsText" dxfId="1853" priority="1823" operator="containsText" text="RIESGO ALTO">
      <formula>NOT(ISERROR(SEARCH("RIESGO ALTO",BH43)))</formula>
    </cfRule>
    <cfRule type="containsText" dxfId="1852" priority="1824" operator="containsText" text="RIESGO MODERADO">
      <formula>NOT(ISERROR(SEARCH("RIESGO MODERADO",BH43)))</formula>
    </cfRule>
    <cfRule type="containsText" dxfId="1851" priority="1825" operator="containsText" text="RIESGO BAJO">
      <formula>NOT(ISERROR(SEARCH("RIESGO BAJO",BH43)))</formula>
    </cfRule>
  </conditionalFormatting>
  <conditionalFormatting sqref="BH38:BJ38">
    <cfRule type="containsText" dxfId="1850" priority="1870" operator="containsText" text="RIESGO EXTREMO">
      <formula>NOT(ISERROR(SEARCH("RIESGO EXTREMO",BH38)))</formula>
    </cfRule>
    <cfRule type="containsText" dxfId="1849" priority="1871" operator="containsText" text="RIESGO ALTO">
      <formula>NOT(ISERROR(SEARCH("RIESGO ALTO",BH38)))</formula>
    </cfRule>
    <cfRule type="containsText" dxfId="1848" priority="1872" operator="containsText" text="RIESGO MODERADO">
      <formula>NOT(ISERROR(SEARCH("RIESGO MODERADO",BH38)))</formula>
    </cfRule>
    <cfRule type="containsText" dxfId="1847" priority="1873" operator="containsText" text="RIESGO BAJO">
      <formula>NOT(ISERROR(SEARCH("RIESGO BAJO",BH38)))</formula>
    </cfRule>
  </conditionalFormatting>
  <conditionalFormatting sqref="BB41:BD41 BE41:BE42">
    <cfRule type="containsText" dxfId="1846" priority="1866" operator="containsText" text="RIESGO EXTREMO">
      <formula>NOT(ISERROR(SEARCH("RIESGO EXTREMO",BB41)))</formula>
    </cfRule>
    <cfRule type="containsText" dxfId="1845" priority="1867" operator="containsText" text="RIESGO ALTO">
      <formula>NOT(ISERROR(SEARCH("RIESGO ALTO",BB41)))</formula>
    </cfRule>
    <cfRule type="containsText" dxfId="1844" priority="1868" operator="containsText" text="RIESGO MODERADO">
      <formula>NOT(ISERROR(SEARCH("RIESGO MODERADO",BB41)))</formula>
    </cfRule>
    <cfRule type="containsText" dxfId="1843" priority="1869" operator="containsText" text="RIESGO BAJO">
      <formula>NOT(ISERROR(SEARCH("RIESGO BAJO",BB41)))</formula>
    </cfRule>
  </conditionalFormatting>
  <conditionalFormatting sqref="BB40:BE40">
    <cfRule type="containsText" dxfId="1842" priority="1862" operator="containsText" text="RIESGO EXTREMO">
      <formula>NOT(ISERROR(SEARCH("RIESGO EXTREMO",BB40)))</formula>
    </cfRule>
    <cfRule type="containsText" dxfId="1841" priority="1863" operator="containsText" text="RIESGO ALTO">
      <formula>NOT(ISERROR(SEARCH("RIESGO ALTO",BB40)))</formula>
    </cfRule>
    <cfRule type="containsText" dxfId="1840" priority="1864" operator="containsText" text="RIESGO MODERADO">
      <formula>NOT(ISERROR(SEARCH("RIESGO MODERADO",BB40)))</formula>
    </cfRule>
    <cfRule type="containsText" dxfId="1839" priority="1865" operator="containsText" text="RIESGO BAJO">
      <formula>NOT(ISERROR(SEARCH("RIESGO BAJO",BB40)))</formula>
    </cfRule>
  </conditionalFormatting>
  <conditionalFormatting sqref="BB43">
    <cfRule type="containsText" dxfId="1838" priority="1858" operator="containsText" text="RIESGO EXTREMO">
      <formula>NOT(ISERROR(SEARCH("RIESGO EXTREMO",BB43)))</formula>
    </cfRule>
    <cfRule type="containsText" dxfId="1837" priority="1859" operator="containsText" text="RIESGO ALTO">
      <formula>NOT(ISERROR(SEARCH("RIESGO ALTO",BB43)))</formula>
    </cfRule>
    <cfRule type="containsText" dxfId="1836" priority="1860" operator="containsText" text="RIESGO MODERADO">
      <formula>NOT(ISERROR(SEARCH("RIESGO MODERADO",BB43)))</formula>
    </cfRule>
    <cfRule type="containsText" dxfId="1835" priority="1861" operator="containsText" text="RIESGO BAJO">
      <formula>NOT(ISERROR(SEARCH("RIESGO BAJO",BB43)))</formula>
    </cfRule>
  </conditionalFormatting>
  <conditionalFormatting sqref="BD43">
    <cfRule type="containsText" dxfId="1834" priority="1854" operator="containsText" text="RIESGO EXTREMO">
      <formula>NOT(ISERROR(SEARCH("RIESGO EXTREMO",BD43)))</formula>
    </cfRule>
    <cfRule type="containsText" dxfId="1833" priority="1855" operator="containsText" text="RIESGO ALTO">
      <formula>NOT(ISERROR(SEARCH("RIESGO ALTO",BD43)))</formula>
    </cfRule>
    <cfRule type="containsText" dxfId="1832" priority="1856" operator="containsText" text="RIESGO MODERADO">
      <formula>NOT(ISERROR(SEARCH("RIESGO MODERADO",BD43)))</formula>
    </cfRule>
    <cfRule type="containsText" dxfId="1831" priority="1857" operator="containsText" text="RIESGO BAJO">
      <formula>NOT(ISERROR(SEARCH("RIESGO BAJO",BD43)))</formula>
    </cfRule>
  </conditionalFormatting>
  <conditionalFormatting sqref="BC43">
    <cfRule type="containsText" dxfId="1830" priority="1850" operator="containsText" text="RIESGO EXTREMO">
      <formula>NOT(ISERROR(SEARCH("RIESGO EXTREMO",BC43)))</formula>
    </cfRule>
    <cfRule type="containsText" dxfId="1829" priority="1851" operator="containsText" text="RIESGO ALTO">
      <formula>NOT(ISERROR(SEARCH("RIESGO ALTO",BC43)))</formula>
    </cfRule>
    <cfRule type="containsText" dxfId="1828" priority="1852" operator="containsText" text="RIESGO MODERADO">
      <formula>NOT(ISERROR(SEARCH("RIESGO MODERADO",BC43)))</formula>
    </cfRule>
    <cfRule type="containsText" dxfId="1827" priority="1853" operator="containsText" text="RIESGO BAJO">
      <formula>NOT(ISERROR(SEARCH("RIESGO BAJO",BC43)))</formula>
    </cfRule>
  </conditionalFormatting>
  <conditionalFormatting sqref="BE43">
    <cfRule type="containsText" dxfId="1826" priority="1846" operator="containsText" text="RIESGO EXTREMO">
      <formula>NOT(ISERROR(SEARCH("RIESGO EXTREMO",BE43)))</formula>
    </cfRule>
    <cfRule type="containsText" dxfId="1825" priority="1847" operator="containsText" text="RIESGO ALTO">
      <formula>NOT(ISERROR(SEARCH("RIESGO ALTO",BE43)))</formula>
    </cfRule>
    <cfRule type="containsText" dxfId="1824" priority="1848" operator="containsText" text="RIESGO MODERADO">
      <formula>NOT(ISERROR(SEARCH("RIESGO MODERADO",BE43)))</formula>
    </cfRule>
    <cfRule type="containsText" dxfId="1823" priority="1849" operator="containsText" text="RIESGO BAJO">
      <formula>NOT(ISERROR(SEARCH("RIESGO BAJO",BE43)))</formula>
    </cfRule>
  </conditionalFormatting>
  <conditionalFormatting sqref="BF40">
    <cfRule type="containsText" dxfId="1822" priority="1842" operator="containsText" text="RIESGO EXTREMO">
      <formula>NOT(ISERROR(SEARCH("RIESGO EXTREMO",BF40)))</formula>
    </cfRule>
    <cfRule type="containsText" dxfId="1821" priority="1843" operator="containsText" text="RIESGO ALTO">
      <formula>NOT(ISERROR(SEARCH("RIESGO ALTO",BF40)))</formula>
    </cfRule>
    <cfRule type="containsText" dxfId="1820" priority="1844" operator="containsText" text="RIESGO MODERADO">
      <formula>NOT(ISERROR(SEARCH("RIESGO MODERADO",BF40)))</formula>
    </cfRule>
    <cfRule type="containsText" dxfId="1819" priority="1845" operator="containsText" text="RIESGO BAJO">
      <formula>NOT(ISERROR(SEARCH("RIESGO BAJO",BF40)))</formula>
    </cfRule>
  </conditionalFormatting>
  <conditionalFormatting sqref="BF43">
    <cfRule type="containsText" dxfId="1818" priority="1838" operator="containsText" text="RIESGO EXTREMO">
      <formula>NOT(ISERROR(SEARCH("RIESGO EXTREMO",BF43)))</formula>
    </cfRule>
    <cfRule type="containsText" dxfId="1817" priority="1839" operator="containsText" text="RIESGO ALTO">
      <formula>NOT(ISERROR(SEARCH("RIESGO ALTO",BF43)))</formula>
    </cfRule>
    <cfRule type="containsText" dxfId="1816" priority="1840" operator="containsText" text="RIESGO MODERADO">
      <formula>NOT(ISERROR(SEARCH("RIESGO MODERADO",BF43)))</formula>
    </cfRule>
    <cfRule type="containsText" dxfId="1815" priority="1841" operator="containsText" text="RIESGO BAJO">
      <formula>NOT(ISERROR(SEARCH("RIESGO BAJO",BF43)))</formula>
    </cfRule>
  </conditionalFormatting>
  <conditionalFormatting sqref="BG43">
    <cfRule type="containsText" dxfId="1814" priority="1826" operator="containsText" text="RIESGO EXTREMO">
      <formula>NOT(ISERROR(SEARCH("RIESGO EXTREMO",BG43)))</formula>
    </cfRule>
    <cfRule type="containsText" dxfId="1813" priority="1827" operator="containsText" text="RIESGO ALTO">
      <formula>NOT(ISERROR(SEARCH("RIESGO ALTO",BG43)))</formula>
    </cfRule>
    <cfRule type="containsText" dxfId="1812" priority="1828" operator="containsText" text="RIESGO MODERADO">
      <formula>NOT(ISERROR(SEARCH("RIESGO MODERADO",BG43)))</formula>
    </cfRule>
    <cfRule type="containsText" dxfId="1811" priority="1829" operator="containsText" text="RIESGO BAJO">
      <formula>NOT(ISERROR(SEARCH("RIESGO BAJO",BG43)))</formula>
    </cfRule>
  </conditionalFormatting>
  <conditionalFormatting sqref="BD47">
    <cfRule type="containsText" dxfId="1810" priority="1818" operator="containsText" text="RIESGO EXTREMO">
      <formula>NOT(ISERROR(SEARCH("RIESGO EXTREMO",BD47)))</formula>
    </cfRule>
    <cfRule type="containsText" dxfId="1809" priority="1819" operator="containsText" text="RIESGO ALTO">
      <formula>NOT(ISERROR(SEARCH("RIESGO ALTO",BD47)))</formula>
    </cfRule>
    <cfRule type="containsText" dxfId="1808" priority="1820" operator="containsText" text="RIESGO MODERADO">
      <formula>NOT(ISERROR(SEARCH("RIESGO MODERADO",BD47)))</formula>
    </cfRule>
    <cfRule type="containsText" dxfId="1807" priority="1821" operator="containsText" text="RIESGO BAJO">
      <formula>NOT(ISERROR(SEARCH("RIESGO BAJO",BD47)))</formula>
    </cfRule>
  </conditionalFormatting>
  <conditionalFormatting sqref="BD46">
    <cfRule type="containsText" dxfId="1806" priority="1814" operator="containsText" text="RIESGO EXTREMO">
      <formula>NOT(ISERROR(SEARCH("RIESGO EXTREMO",BD46)))</formula>
    </cfRule>
    <cfRule type="containsText" dxfId="1805" priority="1815" operator="containsText" text="RIESGO ALTO">
      <formula>NOT(ISERROR(SEARCH("RIESGO ALTO",BD46)))</formula>
    </cfRule>
    <cfRule type="containsText" dxfId="1804" priority="1816" operator="containsText" text="RIESGO MODERADO">
      <formula>NOT(ISERROR(SEARCH("RIESGO MODERADO",BD46)))</formula>
    </cfRule>
    <cfRule type="containsText" dxfId="1803" priority="1817" operator="containsText" text="RIESGO BAJO">
      <formula>NOT(ISERROR(SEARCH("RIESGO BAJO",BD46)))</formula>
    </cfRule>
  </conditionalFormatting>
  <conditionalFormatting sqref="BD45">
    <cfRule type="containsText" dxfId="1802" priority="1810" operator="containsText" text="RIESGO EXTREMO">
      <formula>NOT(ISERROR(SEARCH("RIESGO EXTREMO",BD45)))</formula>
    </cfRule>
    <cfRule type="containsText" dxfId="1801" priority="1811" operator="containsText" text="RIESGO ALTO">
      <formula>NOT(ISERROR(SEARCH("RIESGO ALTO",BD45)))</formula>
    </cfRule>
    <cfRule type="containsText" dxfId="1800" priority="1812" operator="containsText" text="RIESGO MODERADO">
      <formula>NOT(ISERROR(SEARCH("RIESGO MODERADO",BD45)))</formula>
    </cfRule>
    <cfRule type="containsText" dxfId="1799" priority="1813" operator="containsText" text="RIESGO BAJO">
      <formula>NOT(ISERROR(SEARCH("RIESGO BAJO",BD45)))</formula>
    </cfRule>
  </conditionalFormatting>
  <conditionalFormatting sqref="BC48:BC49">
    <cfRule type="containsText" dxfId="1798" priority="1798" operator="containsText" text="RIESGO EXTREMO">
      <formula>NOT(ISERROR(SEARCH("RIESGO EXTREMO",BC48)))</formula>
    </cfRule>
    <cfRule type="containsText" dxfId="1797" priority="1799" operator="containsText" text="RIESGO ALTO">
      <formula>NOT(ISERROR(SEARCH("RIESGO ALTO",BC48)))</formula>
    </cfRule>
    <cfRule type="containsText" dxfId="1796" priority="1800" operator="containsText" text="RIESGO MODERADO">
      <formula>NOT(ISERROR(SEARCH("RIESGO MODERADO",BC48)))</formula>
    </cfRule>
    <cfRule type="containsText" dxfId="1795" priority="1801" operator="containsText" text="RIESGO BAJO">
      <formula>NOT(ISERROR(SEARCH("RIESGO BAJO",BC48)))</formula>
    </cfRule>
  </conditionalFormatting>
  <conditionalFormatting sqref="BD48:BD49">
    <cfRule type="containsText" dxfId="1794" priority="1794" operator="containsText" text="RIESGO EXTREMO">
      <formula>NOT(ISERROR(SEARCH("RIESGO EXTREMO",BD48)))</formula>
    </cfRule>
    <cfRule type="containsText" dxfId="1793" priority="1795" operator="containsText" text="RIESGO ALTO">
      <formula>NOT(ISERROR(SEARCH("RIESGO ALTO",BD48)))</formula>
    </cfRule>
    <cfRule type="containsText" dxfId="1792" priority="1796" operator="containsText" text="RIESGO MODERADO">
      <formula>NOT(ISERROR(SEARCH("RIESGO MODERADO",BD48)))</formula>
    </cfRule>
    <cfRule type="containsText" dxfId="1791" priority="1797" operator="containsText" text="RIESGO BAJO">
      <formula>NOT(ISERROR(SEARCH("RIESGO BAJO",BD48)))</formula>
    </cfRule>
  </conditionalFormatting>
  <conditionalFormatting sqref="BB48:BB49">
    <cfRule type="containsText" dxfId="1790" priority="1806" operator="containsText" text="RIESGO EXTREMO">
      <formula>NOT(ISERROR(SEARCH("RIESGO EXTREMO",BB48)))</formula>
    </cfRule>
    <cfRule type="containsText" dxfId="1789" priority="1807" operator="containsText" text="RIESGO ALTO">
      <formula>NOT(ISERROR(SEARCH("RIESGO ALTO",BB48)))</formula>
    </cfRule>
    <cfRule type="containsText" dxfId="1788" priority="1808" operator="containsText" text="RIESGO MODERADO">
      <formula>NOT(ISERROR(SEARCH("RIESGO MODERADO",BB48)))</formula>
    </cfRule>
    <cfRule type="containsText" dxfId="1787" priority="1809" operator="containsText" text="RIESGO BAJO">
      <formula>NOT(ISERROR(SEARCH("RIESGO BAJO",BB48)))</formula>
    </cfRule>
  </conditionalFormatting>
  <conditionalFormatting sqref="BB50">
    <cfRule type="containsText" dxfId="1786" priority="1802" operator="containsText" text="RIESGO EXTREMO">
      <formula>NOT(ISERROR(SEARCH("RIESGO EXTREMO",BB50)))</formula>
    </cfRule>
    <cfRule type="containsText" dxfId="1785" priority="1803" operator="containsText" text="RIESGO ALTO">
      <formula>NOT(ISERROR(SEARCH("RIESGO ALTO",BB50)))</formula>
    </cfRule>
    <cfRule type="containsText" dxfId="1784" priority="1804" operator="containsText" text="RIESGO MODERADO">
      <formula>NOT(ISERROR(SEARCH("RIESGO MODERADO",BB50)))</formula>
    </cfRule>
    <cfRule type="containsText" dxfId="1783" priority="1805" operator="containsText" text="RIESGO BAJO">
      <formula>NOT(ISERROR(SEARCH("RIESGO BAJO",BB50)))</formula>
    </cfRule>
  </conditionalFormatting>
  <conditionalFormatting sqref="BD50">
    <cfRule type="containsText" dxfId="1782" priority="1790" operator="containsText" text="RIESGO EXTREMO">
      <formula>NOT(ISERROR(SEARCH("RIESGO EXTREMO",BD50)))</formula>
    </cfRule>
    <cfRule type="containsText" dxfId="1781" priority="1791" operator="containsText" text="RIESGO ALTO">
      <formula>NOT(ISERROR(SEARCH("RIESGO ALTO",BD50)))</formula>
    </cfRule>
    <cfRule type="containsText" dxfId="1780" priority="1792" operator="containsText" text="RIESGO MODERADO">
      <formula>NOT(ISERROR(SEARCH("RIESGO MODERADO",BD50)))</formula>
    </cfRule>
    <cfRule type="containsText" dxfId="1779" priority="1793" operator="containsText" text="RIESGO BAJO">
      <formula>NOT(ISERROR(SEARCH("RIESGO BAJO",BD50)))</formula>
    </cfRule>
  </conditionalFormatting>
  <conditionalFormatting sqref="BB51:BB53">
    <cfRule type="containsText" dxfId="1778" priority="1786" operator="containsText" text="RIESGO EXTREMO">
      <formula>NOT(ISERROR(SEARCH("RIESGO EXTREMO",BB51)))</formula>
    </cfRule>
    <cfRule type="containsText" dxfId="1777" priority="1787" operator="containsText" text="RIESGO ALTO">
      <formula>NOT(ISERROR(SEARCH("RIESGO ALTO",BB51)))</formula>
    </cfRule>
    <cfRule type="containsText" dxfId="1776" priority="1788" operator="containsText" text="RIESGO MODERADO">
      <formula>NOT(ISERROR(SEARCH("RIESGO MODERADO",BB51)))</formula>
    </cfRule>
    <cfRule type="containsText" dxfId="1775" priority="1789" operator="containsText" text="RIESGO BAJO">
      <formula>NOT(ISERROR(SEARCH("RIESGO BAJO",BB51)))</formula>
    </cfRule>
  </conditionalFormatting>
  <conditionalFormatting sqref="BC51:BC53">
    <cfRule type="containsText" dxfId="1774" priority="1782" operator="containsText" text="RIESGO EXTREMO">
      <formula>NOT(ISERROR(SEARCH("RIESGO EXTREMO",BC51)))</formula>
    </cfRule>
    <cfRule type="containsText" dxfId="1773" priority="1783" operator="containsText" text="RIESGO ALTO">
      <formula>NOT(ISERROR(SEARCH("RIESGO ALTO",BC51)))</formula>
    </cfRule>
    <cfRule type="containsText" dxfId="1772" priority="1784" operator="containsText" text="RIESGO MODERADO">
      <formula>NOT(ISERROR(SEARCH("RIESGO MODERADO",BC51)))</formula>
    </cfRule>
    <cfRule type="containsText" dxfId="1771" priority="1785" operator="containsText" text="RIESGO BAJO">
      <formula>NOT(ISERROR(SEARCH("RIESGO BAJO",BC51)))</formula>
    </cfRule>
  </conditionalFormatting>
  <conditionalFormatting sqref="BD51:BD53">
    <cfRule type="containsText" dxfId="1770" priority="1778" operator="containsText" text="RIESGO EXTREMO">
      <formula>NOT(ISERROR(SEARCH("RIESGO EXTREMO",BD51)))</formula>
    </cfRule>
    <cfRule type="containsText" dxfId="1769" priority="1779" operator="containsText" text="RIESGO ALTO">
      <formula>NOT(ISERROR(SEARCH("RIESGO ALTO",BD51)))</formula>
    </cfRule>
    <cfRule type="containsText" dxfId="1768" priority="1780" operator="containsText" text="RIESGO MODERADO">
      <formula>NOT(ISERROR(SEARCH("RIESGO MODERADO",BD51)))</formula>
    </cfRule>
    <cfRule type="containsText" dxfId="1767" priority="1781" operator="containsText" text="RIESGO BAJO">
      <formula>NOT(ISERROR(SEARCH("RIESGO BAJO",BD51)))</formula>
    </cfRule>
  </conditionalFormatting>
  <conditionalFormatting sqref="BG48:BJ48 BG51:BJ51">
    <cfRule type="containsText" dxfId="1766" priority="1770" operator="containsText" text="RIESGO EXTREMO">
      <formula>NOT(ISERROR(SEARCH("RIESGO EXTREMO",BG48)))</formula>
    </cfRule>
    <cfRule type="containsText" dxfId="1765" priority="1771" operator="containsText" text="RIESGO ALTO">
      <formula>NOT(ISERROR(SEARCH("RIESGO ALTO",BG48)))</formula>
    </cfRule>
    <cfRule type="containsText" dxfId="1764" priority="1772" operator="containsText" text="RIESGO MODERADO">
      <formula>NOT(ISERROR(SEARCH("RIESGO MODERADO",BG48)))</formula>
    </cfRule>
    <cfRule type="containsText" dxfId="1763" priority="1773" operator="containsText" text="RIESGO BAJO">
      <formula>NOT(ISERROR(SEARCH("RIESGO BAJO",BG48)))</formula>
    </cfRule>
  </conditionalFormatting>
  <conditionalFormatting sqref="Q79:Q81 Q99:Q104 BC88:BD89 BC100:BD100 BC91:BD92 Q88:Q92">
    <cfRule type="containsText" dxfId="1762" priority="1734" operator="containsText" text="RIESGO EXTREMO">
      <formula>NOT(ISERROR(SEARCH("RIESGO EXTREMO",Q79)))</formula>
    </cfRule>
    <cfRule type="containsText" dxfId="1761" priority="1735" operator="containsText" text="RIESGO ALTO">
      <formula>NOT(ISERROR(SEARCH("RIESGO ALTO",Q79)))</formula>
    </cfRule>
    <cfRule type="containsText" dxfId="1760" priority="1736" operator="containsText" text="RIESGO MODERADO">
      <formula>NOT(ISERROR(SEARCH("RIESGO MODERADO",Q79)))</formula>
    </cfRule>
    <cfRule type="containsText" dxfId="1759" priority="1737" operator="containsText" text="RIESGO BAJO">
      <formula>NOT(ISERROR(SEARCH("RIESGO BAJO",Q79)))</formula>
    </cfRule>
  </conditionalFormatting>
  <conditionalFormatting sqref="I79:I80 I88:I89 I91:I92 I99:I104 I72:I76">
    <cfRule type="expression" dxfId="1758" priority="1733">
      <formula>EXACT(F72,"Seguridad_de_la_informacion")</formula>
    </cfRule>
  </conditionalFormatting>
  <conditionalFormatting sqref="AZ72:BA72 AZ79:BA79 AZ88:BA88 AZ91:BA91 AZ99:BA99 AZ73:AZ77 AZ80:AZ81 AZ89:AZ90 AZ92 AZ100:AZ104">
    <cfRule type="containsText" dxfId="1757" priority="1728" operator="containsText" text="RIESGO EXTREMO">
      <formula>NOT(ISERROR(SEARCH("RIESGO EXTREMO",AZ72)))</formula>
    </cfRule>
    <cfRule type="containsText" dxfId="1756" priority="1729" operator="containsText" text="RIESGO ALTO">
      <formula>NOT(ISERROR(SEARCH("RIESGO ALTO",AZ72)))</formula>
    </cfRule>
    <cfRule type="containsText" dxfId="1755" priority="1730" operator="containsText" text="RIESGO MODERADO">
      <formula>NOT(ISERROR(SEARCH("RIESGO MODERADO",AZ72)))</formula>
    </cfRule>
    <cfRule type="containsText" dxfId="1754" priority="1731" operator="containsText" text="RIESGO BAJO">
      <formula>NOT(ISERROR(SEARCH("RIESGO BAJO",AZ72)))</formula>
    </cfRule>
  </conditionalFormatting>
  <conditionalFormatting sqref="BG91 BG88:BH88">
    <cfRule type="containsText" dxfId="1753" priority="1724" operator="containsText" text="RIESGO EXTREMO">
      <formula>NOT(ISERROR(SEARCH("RIESGO EXTREMO",BG88)))</formula>
    </cfRule>
    <cfRule type="containsText" dxfId="1752" priority="1725" operator="containsText" text="RIESGO ALTO">
      <formula>NOT(ISERROR(SEARCH("RIESGO ALTO",BG88)))</formula>
    </cfRule>
    <cfRule type="containsText" dxfId="1751" priority="1726" operator="containsText" text="RIESGO MODERADO">
      <formula>NOT(ISERROR(SEARCH("RIESGO MODERADO",BG88)))</formula>
    </cfRule>
    <cfRule type="containsText" dxfId="1750" priority="1727" operator="containsText" text="RIESGO BAJO">
      <formula>NOT(ISERROR(SEARCH("RIESGO BAJO",BG88)))</formula>
    </cfRule>
  </conditionalFormatting>
  <conditionalFormatting sqref="BH13:BJ13">
    <cfRule type="containsText" dxfId="1749" priority="1676" operator="containsText" text="RIESGO EXTREMO">
      <formula>NOT(ISERROR(SEARCH("RIESGO EXTREMO",BH13)))</formula>
    </cfRule>
    <cfRule type="containsText" dxfId="1748" priority="1677" operator="containsText" text="RIESGO ALTO">
      <formula>NOT(ISERROR(SEARCH("RIESGO ALTO",BH13)))</formula>
    </cfRule>
    <cfRule type="containsText" dxfId="1747" priority="1678" operator="containsText" text="RIESGO MODERADO">
      <formula>NOT(ISERROR(SEARCH("RIESGO MODERADO",BH13)))</formula>
    </cfRule>
    <cfRule type="containsText" dxfId="1746" priority="1679" operator="containsText" text="RIESGO BAJO">
      <formula>NOT(ISERROR(SEARCH("RIESGO BAJO",BH13)))</formula>
    </cfRule>
  </conditionalFormatting>
  <conditionalFormatting sqref="BG15:BJ15">
    <cfRule type="containsText" dxfId="1745" priority="1672" operator="containsText" text="RIESGO EXTREMO">
      <formula>NOT(ISERROR(SEARCH("RIESGO EXTREMO",BG15)))</formula>
    </cfRule>
    <cfRule type="containsText" dxfId="1744" priority="1673" operator="containsText" text="RIESGO ALTO">
      <formula>NOT(ISERROR(SEARCH("RIESGO ALTO",BG15)))</formula>
    </cfRule>
    <cfRule type="containsText" dxfId="1743" priority="1674" operator="containsText" text="RIESGO MODERADO">
      <formula>NOT(ISERROR(SEARCH("RIESGO MODERADO",BG15)))</formula>
    </cfRule>
    <cfRule type="containsText" dxfId="1742" priority="1675" operator="containsText" text="RIESGO BAJO">
      <formula>NOT(ISERROR(SEARCH("RIESGO BAJO",BG15)))</formula>
    </cfRule>
  </conditionalFormatting>
  <conditionalFormatting sqref="BD99">
    <cfRule type="containsText" dxfId="1741" priority="1594" operator="containsText" text="RIESGO EXTREMO">
      <formula>NOT(ISERROR(SEARCH("RIESGO EXTREMO",BD99)))</formula>
    </cfRule>
    <cfRule type="containsText" dxfId="1740" priority="1595" operator="containsText" text="RIESGO ALTO">
      <formula>NOT(ISERROR(SEARCH("RIESGO ALTO",BD99)))</formula>
    </cfRule>
    <cfRule type="containsText" dxfId="1739" priority="1596" operator="containsText" text="RIESGO MODERADO">
      <formula>NOT(ISERROR(SEARCH("RIESGO MODERADO",BD99)))</formula>
    </cfRule>
    <cfRule type="containsText" dxfId="1738" priority="1597" operator="containsText" text="RIESGO BAJO">
      <formula>NOT(ISERROR(SEARCH("RIESGO BAJO",BD99)))</formula>
    </cfRule>
  </conditionalFormatting>
  <conditionalFormatting sqref="BA101">
    <cfRule type="containsText" dxfId="1737" priority="1566" operator="containsText" text="RIESGO EXTREMO">
      <formula>NOT(ISERROR(SEARCH("RIESGO EXTREMO",BA101)))</formula>
    </cfRule>
    <cfRule type="containsText" dxfId="1736" priority="1567" operator="containsText" text="RIESGO ALTO">
      <formula>NOT(ISERROR(SEARCH("RIESGO ALTO",BA101)))</formula>
    </cfRule>
    <cfRule type="containsText" dxfId="1735" priority="1568" operator="containsText" text="RIESGO MODERADO">
      <formula>NOT(ISERROR(SEARCH("RIESGO MODERADO",BA101)))</formula>
    </cfRule>
    <cfRule type="containsText" dxfId="1734" priority="1569" operator="containsText" text="RIESGO BAJO">
      <formula>NOT(ISERROR(SEARCH("RIESGO BAJO",BA101)))</formula>
    </cfRule>
  </conditionalFormatting>
  <conditionalFormatting sqref="BE104">
    <cfRule type="containsText" dxfId="1733" priority="1546" operator="containsText" text="RIESGO EXTREMO">
      <formula>NOT(ISERROR(SEARCH("RIESGO EXTREMO",BE104)))</formula>
    </cfRule>
    <cfRule type="containsText" dxfId="1732" priority="1547" operator="containsText" text="RIESGO ALTO">
      <formula>NOT(ISERROR(SEARCH("RIESGO ALTO",BE104)))</formula>
    </cfRule>
    <cfRule type="containsText" dxfId="1731" priority="1548" operator="containsText" text="RIESGO MODERADO">
      <formula>NOT(ISERROR(SEARCH("RIESGO MODERADO",BE104)))</formula>
    </cfRule>
    <cfRule type="containsText" dxfId="1730" priority="1549" operator="containsText" text="RIESGO BAJO">
      <formula>NOT(ISERROR(SEARCH("RIESGO BAJO",BE104)))</formula>
    </cfRule>
  </conditionalFormatting>
  <conditionalFormatting sqref="BF99">
    <cfRule type="containsText" dxfId="1729" priority="1586" operator="containsText" text="RIESGO EXTREMO">
      <formula>NOT(ISERROR(SEARCH("RIESGO EXTREMO",BF99)))</formula>
    </cfRule>
    <cfRule type="containsText" dxfId="1728" priority="1587" operator="containsText" text="RIESGO ALTO">
      <formula>NOT(ISERROR(SEARCH("RIESGO ALTO",BF99)))</formula>
    </cfRule>
    <cfRule type="containsText" dxfId="1727" priority="1588" operator="containsText" text="RIESGO MODERADO">
      <formula>NOT(ISERROR(SEARCH("RIESGO MODERADO",BF99)))</formula>
    </cfRule>
    <cfRule type="containsText" dxfId="1726" priority="1589" operator="containsText" text="RIESGO BAJO">
      <formula>NOT(ISERROR(SEARCH("RIESGO BAJO",BF99)))</formula>
    </cfRule>
  </conditionalFormatting>
  <conditionalFormatting sqref="BC99">
    <cfRule type="containsText" dxfId="1725" priority="1598" operator="containsText" text="RIESGO EXTREMO">
      <formula>NOT(ISERROR(SEARCH("RIESGO EXTREMO",BC99)))</formula>
    </cfRule>
    <cfRule type="containsText" dxfId="1724" priority="1599" operator="containsText" text="RIESGO ALTO">
      <formula>NOT(ISERROR(SEARCH("RIESGO ALTO",BC99)))</formula>
    </cfRule>
    <cfRule type="containsText" dxfId="1723" priority="1600" operator="containsText" text="RIESGO MODERADO">
      <formula>NOT(ISERROR(SEARCH("RIESGO MODERADO",BC99)))</formula>
    </cfRule>
    <cfRule type="containsText" dxfId="1722" priority="1601" operator="containsText" text="RIESGO BAJO">
      <formula>NOT(ISERROR(SEARCH("RIESGO BAJO",BC99)))</formula>
    </cfRule>
  </conditionalFormatting>
  <conditionalFormatting sqref="BG103">
    <cfRule type="containsText" dxfId="1721" priority="1522" operator="containsText" text="RIESGO EXTREMO">
      <formula>NOT(ISERROR(SEARCH("RIESGO EXTREMO",BG103)))</formula>
    </cfRule>
    <cfRule type="containsText" dxfId="1720" priority="1523" operator="containsText" text="RIESGO ALTO">
      <formula>NOT(ISERROR(SEARCH("RIESGO ALTO",BG103)))</formula>
    </cfRule>
    <cfRule type="containsText" dxfId="1719" priority="1524" operator="containsText" text="RIESGO MODERADO">
      <formula>NOT(ISERROR(SEARCH("RIESGO MODERADO",BG103)))</formula>
    </cfRule>
    <cfRule type="containsText" dxfId="1718" priority="1525" operator="containsText" text="RIESGO BAJO">
      <formula>NOT(ISERROR(SEARCH("RIESGO BAJO",BG103)))</formula>
    </cfRule>
  </conditionalFormatting>
  <conditionalFormatting sqref="BE99">
    <cfRule type="containsText" dxfId="1717" priority="1590" operator="containsText" text="RIESGO EXTREMO">
      <formula>NOT(ISERROR(SEARCH("RIESGO EXTREMO",BE99)))</formula>
    </cfRule>
    <cfRule type="containsText" dxfId="1716" priority="1591" operator="containsText" text="RIESGO ALTO">
      <formula>NOT(ISERROR(SEARCH("RIESGO ALTO",BE99)))</formula>
    </cfRule>
    <cfRule type="containsText" dxfId="1715" priority="1592" operator="containsText" text="RIESGO MODERADO">
      <formula>NOT(ISERROR(SEARCH("RIESGO MODERADO",BE99)))</formula>
    </cfRule>
    <cfRule type="containsText" dxfId="1714" priority="1593" operator="containsText" text="RIESGO BAJO">
      <formula>NOT(ISERROR(SEARCH("RIESGO BAJO",BE99)))</formula>
    </cfRule>
  </conditionalFormatting>
  <conditionalFormatting sqref="BI88:BJ88">
    <cfRule type="containsText" dxfId="1713" priority="1574" operator="containsText" text="RIESGO EXTREMO">
      <formula>NOT(ISERROR(SEARCH("RIESGO EXTREMO",BI88)))</formula>
    </cfRule>
    <cfRule type="containsText" dxfId="1712" priority="1575" operator="containsText" text="RIESGO ALTO">
      <formula>NOT(ISERROR(SEARCH("RIESGO ALTO",BI88)))</formula>
    </cfRule>
    <cfRule type="containsText" dxfId="1711" priority="1576" operator="containsText" text="RIESGO MODERADO">
      <formula>NOT(ISERROR(SEARCH("RIESGO MODERADO",BI88)))</formula>
    </cfRule>
    <cfRule type="containsText" dxfId="1710" priority="1577" operator="containsText" text="RIESGO BAJO">
      <formula>NOT(ISERROR(SEARCH("RIESGO BAJO",BI88)))</formula>
    </cfRule>
  </conditionalFormatting>
  <conditionalFormatting sqref="BH91:BJ91">
    <cfRule type="containsText" dxfId="1709" priority="1570" operator="containsText" text="RIESGO EXTREMO">
      <formula>NOT(ISERROR(SEARCH("RIESGO EXTREMO",BH91)))</formula>
    </cfRule>
    <cfRule type="containsText" dxfId="1708" priority="1571" operator="containsText" text="RIESGO ALTO">
      <formula>NOT(ISERROR(SEARCH("RIESGO ALTO",BH91)))</formula>
    </cfRule>
    <cfRule type="containsText" dxfId="1707" priority="1572" operator="containsText" text="RIESGO MODERADO">
      <formula>NOT(ISERROR(SEARCH("RIESGO MODERADO",BH91)))</formula>
    </cfRule>
    <cfRule type="containsText" dxfId="1706" priority="1573" operator="containsText" text="RIESGO BAJO">
      <formula>NOT(ISERROR(SEARCH("RIESGO BAJO",BH91)))</formula>
    </cfRule>
  </conditionalFormatting>
  <conditionalFormatting sqref="BA103">
    <cfRule type="containsText" dxfId="1705" priority="1562" operator="containsText" text="RIESGO EXTREMO">
      <formula>NOT(ISERROR(SEARCH("RIESGO EXTREMO",BA103)))</formula>
    </cfRule>
    <cfRule type="containsText" dxfId="1704" priority="1563" operator="containsText" text="RIESGO ALTO">
      <formula>NOT(ISERROR(SEARCH("RIESGO ALTO",BA103)))</formula>
    </cfRule>
    <cfRule type="containsText" dxfId="1703" priority="1564" operator="containsText" text="RIESGO MODERADO">
      <formula>NOT(ISERROR(SEARCH("RIESGO MODERADO",BA103)))</formula>
    </cfRule>
    <cfRule type="containsText" dxfId="1702" priority="1565" operator="containsText" text="RIESGO BAJO">
      <formula>NOT(ISERROR(SEARCH("RIESGO BAJO",BA103)))</formula>
    </cfRule>
  </conditionalFormatting>
  <conditionalFormatting sqref="BB101:BD102 BE101:BF101 BE102">
    <cfRule type="containsText" dxfId="1701" priority="1558" operator="containsText" text="RIESGO EXTREMO">
      <formula>NOT(ISERROR(SEARCH("RIESGO EXTREMO",BB101)))</formula>
    </cfRule>
    <cfRule type="containsText" dxfId="1700" priority="1559" operator="containsText" text="RIESGO ALTO">
      <formula>NOT(ISERROR(SEARCH("RIESGO ALTO",BB101)))</formula>
    </cfRule>
    <cfRule type="containsText" dxfId="1699" priority="1560" operator="containsText" text="RIESGO MODERADO">
      <formula>NOT(ISERROR(SEARCH("RIESGO MODERADO",BB101)))</formula>
    </cfRule>
    <cfRule type="containsText" dxfId="1698" priority="1561" operator="containsText" text="RIESGO BAJO">
      <formula>NOT(ISERROR(SEARCH("RIESGO BAJO",BB101)))</formula>
    </cfRule>
  </conditionalFormatting>
  <conditionalFormatting sqref="BB103:BD104">
    <cfRule type="containsText" dxfId="1697" priority="1554" operator="containsText" text="RIESGO EXTREMO">
      <formula>NOT(ISERROR(SEARCH("RIESGO EXTREMO",BB103)))</formula>
    </cfRule>
    <cfRule type="containsText" dxfId="1696" priority="1555" operator="containsText" text="RIESGO ALTO">
      <formula>NOT(ISERROR(SEARCH("RIESGO ALTO",BB103)))</formula>
    </cfRule>
    <cfRule type="containsText" dxfId="1695" priority="1556" operator="containsText" text="RIESGO MODERADO">
      <formula>NOT(ISERROR(SEARCH("RIESGO MODERADO",BB103)))</formula>
    </cfRule>
    <cfRule type="containsText" dxfId="1694" priority="1557" operator="containsText" text="RIESGO BAJO">
      <formula>NOT(ISERROR(SEARCH("RIESGO BAJO",BB103)))</formula>
    </cfRule>
  </conditionalFormatting>
  <conditionalFormatting sqref="BE103">
    <cfRule type="containsText" dxfId="1693" priority="1550" operator="containsText" text="RIESGO EXTREMO">
      <formula>NOT(ISERROR(SEARCH("RIESGO EXTREMO",BE103)))</formula>
    </cfRule>
    <cfRule type="containsText" dxfId="1692" priority="1551" operator="containsText" text="RIESGO ALTO">
      <formula>NOT(ISERROR(SEARCH("RIESGO ALTO",BE103)))</formula>
    </cfRule>
    <cfRule type="containsText" dxfId="1691" priority="1552" operator="containsText" text="RIESGO MODERADO">
      <formula>NOT(ISERROR(SEARCH("RIESGO MODERADO",BE103)))</formula>
    </cfRule>
    <cfRule type="containsText" dxfId="1690" priority="1553" operator="containsText" text="RIESGO BAJO">
      <formula>NOT(ISERROR(SEARCH("RIESGO BAJO",BE103)))</formula>
    </cfRule>
  </conditionalFormatting>
  <conditionalFormatting sqref="BG101">
    <cfRule type="containsText" dxfId="1689" priority="1542" operator="containsText" text="RIESGO EXTREMO">
      <formula>NOT(ISERROR(SEARCH("RIESGO EXTREMO",BG101)))</formula>
    </cfRule>
    <cfRule type="containsText" dxfId="1688" priority="1543" operator="containsText" text="RIESGO ALTO">
      <formula>NOT(ISERROR(SEARCH("RIESGO ALTO",BG101)))</formula>
    </cfRule>
    <cfRule type="containsText" dxfId="1687" priority="1544" operator="containsText" text="RIESGO MODERADO">
      <formula>NOT(ISERROR(SEARCH("RIESGO MODERADO",BG101)))</formula>
    </cfRule>
    <cfRule type="containsText" dxfId="1686" priority="1545" operator="containsText" text="RIESGO BAJO">
      <formula>NOT(ISERROR(SEARCH("RIESGO BAJO",BG101)))</formula>
    </cfRule>
  </conditionalFormatting>
  <conditionalFormatting sqref="BH101:BJ101">
    <cfRule type="containsText" dxfId="1685" priority="1526" operator="containsText" text="RIESGO EXTREMO">
      <formula>NOT(ISERROR(SEARCH("RIESGO EXTREMO",BH101)))</formula>
    </cfRule>
    <cfRule type="containsText" dxfId="1684" priority="1527" operator="containsText" text="RIESGO ALTO">
      <formula>NOT(ISERROR(SEARCH("RIESGO ALTO",BH101)))</formula>
    </cfRule>
    <cfRule type="containsText" dxfId="1683" priority="1528" operator="containsText" text="RIESGO MODERADO">
      <formula>NOT(ISERROR(SEARCH("RIESGO MODERADO",BH101)))</formula>
    </cfRule>
    <cfRule type="containsText" dxfId="1682" priority="1529" operator="containsText" text="RIESGO BAJO">
      <formula>NOT(ISERROR(SEARCH("RIESGO BAJO",BH101)))</formula>
    </cfRule>
  </conditionalFormatting>
  <conditionalFormatting sqref="BH103:BJ103">
    <cfRule type="containsText" dxfId="1681" priority="1518" operator="containsText" text="RIESGO EXTREMO">
      <formula>NOT(ISERROR(SEARCH("RIESGO EXTREMO",BH103)))</formula>
    </cfRule>
    <cfRule type="containsText" dxfId="1680" priority="1519" operator="containsText" text="RIESGO ALTO">
      <formula>NOT(ISERROR(SEARCH("RIESGO ALTO",BH103)))</formula>
    </cfRule>
    <cfRule type="containsText" dxfId="1679" priority="1520" operator="containsText" text="RIESGO MODERADO">
      <formula>NOT(ISERROR(SEARCH("RIESGO MODERADO",BH103)))</formula>
    </cfRule>
    <cfRule type="containsText" dxfId="1678" priority="1521" operator="containsText" text="RIESGO BAJO">
      <formula>NOT(ISERROR(SEARCH("RIESGO BAJO",BH103)))</formula>
    </cfRule>
  </conditionalFormatting>
  <conditionalFormatting sqref="BG99">
    <cfRule type="containsText" dxfId="1677" priority="1514" operator="containsText" text="RIESGO EXTREMO">
      <formula>NOT(ISERROR(SEARCH("RIESGO EXTREMO",BG99)))</formula>
    </cfRule>
    <cfRule type="containsText" dxfId="1676" priority="1515" operator="containsText" text="RIESGO ALTO">
      <formula>NOT(ISERROR(SEARCH("RIESGO ALTO",BG99)))</formula>
    </cfRule>
    <cfRule type="containsText" dxfId="1675" priority="1516" operator="containsText" text="RIESGO MODERADO">
      <formula>NOT(ISERROR(SEARCH("RIESGO MODERADO",BG99)))</formula>
    </cfRule>
    <cfRule type="containsText" dxfId="1674" priority="1517" operator="containsText" text="RIESGO BAJO">
      <formula>NOT(ISERROR(SEARCH("RIESGO BAJO",BG99)))</formula>
    </cfRule>
  </conditionalFormatting>
  <conditionalFormatting sqref="BC20">
    <cfRule type="containsText" dxfId="1673" priority="1098" operator="containsText" text="RIESGO EXTREMO">
      <formula>NOT(ISERROR(SEARCH("RIESGO EXTREMO",BC20)))</formula>
    </cfRule>
    <cfRule type="containsText" dxfId="1672" priority="1099" operator="containsText" text="RIESGO ALTO">
      <formula>NOT(ISERROR(SEARCH("RIESGO ALTO",BC20)))</formula>
    </cfRule>
    <cfRule type="containsText" dxfId="1671" priority="1100" operator="containsText" text="RIESGO MODERADO">
      <formula>NOT(ISERROR(SEARCH("RIESGO MODERADO",BC20)))</formula>
    </cfRule>
    <cfRule type="containsText" dxfId="1670" priority="1101" operator="containsText" text="RIESGO BAJO">
      <formula>NOT(ISERROR(SEARCH("RIESGO BAJO",BC20)))</formula>
    </cfRule>
  </conditionalFormatting>
  <conditionalFormatting sqref="BG19">
    <cfRule type="containsText" dxfId="1669" priority="1094" operator="containsText" text="RIESGO EXTREMO">
      <formula>NOT(ISERROR(SEARCH("RIESGO EXTREMO",BG19)))</formula>
    </cfRule>
    <cfRule type="containsText" dxfId="1668" priority="1095" operator="containsText" text="RIESGO ALTO">
      <formula>NOT(ISERROR(SEARCH("RIESGO ALTO",BG19)))</formula>
    </cfRule>
    <cfRule type="containsText" dxfId="1667" priority="1096" operator="containsText" text="RIESGO MODERADO">
      <formula>NOT(ISERROR(SEARCH("RIESGO MODERADO",BG19)))</formula>
    </cfRule>
    <cfRule type="containsText" dxfId="1666" priority="1097" operator="containsText" text="RIESGO BAJO">
      <formula>NOT(ISERROR(SEARCH("RIESGO BAJO",BG19)))</formula>
    </cfRule>
  </conditionalFormatting>
  <conditionalFormatting sqref="BH19">
    <cfRule type="containsText" dxfId="1665" priority="1090" operator="containsText" text="RIESGO EXTREMO">
      <formula>NOT(ISERROR(SEARCH("RIESGO EXTREMO",BH19)))</formula>
    </cfRule>
    <cfRule type="containsText" dxfId="1664" priority="1091" operator="containsText" text="RIESGO ALTO">
      <formula>NOT(ISERROR(SEARCH("RIESGO ALTO",BH19)))</formula>
    </cfRule>
    <cfRule type="containsText" dxfId="1663" priority="1092" operator="containsText" text="RIESGO MODERADO">
      <formula>NOT(ISERROR(SEARCH("RIESGO MODERADO",BH19)))</formula>
    </cfRule>
    <cfRule type="containsText" dxfId="1662" priority="1093" operator="containsText" text="RIESGO BAJO">
      <formula>NOT(ISERROR(SEARCH("RIESGO BAJO",BH19)))</formula>
    </cfRule>
  </conditionalFormatting>
  <conditionalFormatting sqref="BB17">
    <cfRule type="containsText" dxfId="1661" priority="1162" operator="containsText" text="RIESGO EXTREMO">
      <formula>NOT(ISERROR(SEARCH("RIESGO EXTREMO",BB17)))</formula>
    </cfRule>
    <cfRule type="containsText" dxfId="1660" priority="1163" operator="containsText" text="RIESGO ALTO">
      <formula>NOT(ISERROR(SEARCH("RIESGO ALTO",BB17)))</formula>
    </cfRule>
    <cfRule type="containsText" dxfId="1659" priority="1164" operator="containsText" text="RIESGO MODERADO">
      <formula>NOT(ISERROR(SEARCH("RIESGO MODERADO",BB17)))</formula>
    </cfRule>
    <cfRule type="containsText" dxfId="1658" priority="1165" operator="containsText" text="RIESGO BAJO">
      <formula>NOT(ISERROR(SEARCH("RIESGO BAJO",BB17)))</formula>
    </cfRule>
  </conditionalFormatting>
  <conditionalFormatting sqref="BC17">
    <cfRule type="containsText" dxfId="1657" priority="1158" operator="containsText" text="RIESGO EXTREMO">
      <formula>NOT(ISERROR(SEARCH("RIESGO EXTREMO",BC17)))</formula>
    </cfRule>
    <cfRule type="containsText" dxfId="1656" priority="1159" operator="containsText" text="RIESGO ALTO">
      <formula>NOT(ISERROR(SEARCH("RIESGO ALTO",BC17)))</formula>
    </cfRule>
    <cfRule type="containsText" dxfId="1655" priority="1160" operator="containsText" text="RIESGO MODERADO">
      <formula>NOT(ISERROR(SEARCH("RIESGO MODERADO",BC17)))</formula>
    </cfRule>
    <cfRule type="containsText" dxfId="1654" priority="1161" operator="containsText" text="RIESGO BAJO">
      <formula>NOT(ISERROR(SEARCH("RIESGO BAJO",BC17)))</formula>
    </cfRule>
  </conditionalFormatting>
  <conditionalFormatting sqref="BB18">
    <cfRule type="containsText" dxfId="1653" priority="1154" operator="containsText" text="RIESGO EXTREMO">
      <formula>NOT(ISERROR(SEARCH("RIESGO EXTREMO",BB18)))</formula>
    </cfRule>
    <cfRule type="containsText" dxfId="1652" priority="1155" operator="containsText" text="RIESGO ALTO">
      <formula>NOT(ISERROR(SEARCH("RIESGO ALTO",BB18)))</formula>
    </cfRule>
    <cfRule type="containsText" dxfId="1651" priority="1156" operator="containsText" text="RIESGO MODERADO">
      <formula>NOT(ISERROR(SEARCH("RIESGO MODERADO",BB18)))</formula>
    </cfRule>
    <cfRule type="containsText" dxfId="1650" priority="1157" operator="containsText" text="RIESGO BAJO">
      <formula>NOT(ISERROR(SEARCH("RIESGO BAJO",BB18)))</formula>
    </cfRule>
  </conditionalFormatting>
  <conditionalFormatting sqref="BD17">
    <cfRule type="containsText" dxfId="1649" priority="1150" operator="containsText" text="RIESGO EXTREMO">
      <formula>NOT(ISERROR(SEARCH("RIESGO EXTREMO",BD17)))</formula>
    </cfRule>
    <cfRule type="containsText" dxfId="1648" priority="1151" operator="containsText" text="RIESGO ALTO">
      <formula>NOT(ISERROR(SEARCH("RIESGO ALTO",BD17)))</formula>
    </cfRule>
    <cfRule type="containsText" dxfId="1647" priority="1152" operator="containsText" text="RIESGO MODERADO">
      <formula>NOT(ISERROR(SEARCH("RIESGO MODERADO",BD17)))</formula>
    </cfRule>
    <cfRule type="containsText" dxfId="1646" priority="1153" operator="containsText" text="RIESGO BAJO">
      <formula>NOT(ISERROR(SEARCH("RIESGO BAJO",BD17)))</formula>
    </cfRule>
  </conditionalFormatting>
  <conditionalFormatting sqref="BD18">
    <cfRule type="containsText" dxfId="1645" priority="1146" operator="containsText" text="RIESGO EXTREMO">
      <formula>NOT(ISERROR(SEARCH("RIESGO EXTREMO",BD18)))</formula>
    </cfRule>
    <cfRule type="containsText" dxfId="1644" priority="1147" operator="containsText" text="RIESGO ALTO">
      <formula>NOT(ISERROR(SEARCH("RIESGO ALTO",BD18)))</formula>
    </cfRule>
    <cfRule type="containsText" dxfId="1643" priority="1148" operator="containsText" text="RIESGO MODERADO">
      <formula>NOT(ISERROR(SEARCH("RIESGO MODERADO",BD18)))</formula>
    </cfRule>
    <cfRule type="containsText" dxfId="1642" priority="1149" operator="containsText" text="RIESGO BAJO">
      <formula>NOT(ISERROR(SEARCH("RIESGO BAJO",BD18)))</formula>
    </cfRule>
  </conditionalFormatting>
  <conditionalFormatting sqref="BE17">
    <cfRule type="containsText" dxfId="1641" priority="1142" operator="containsText" text="RIESGO EXTREMO">
      <formula>NOT(ISERROR(SEARCH("RIESGO EXTREMO",BE17)))</formula>
    </cfRule>
    <cfRule type="containsText" dxfId="1640" priority="1143" operator="containsText" text="RIESGO ALTO">
      <formula>NOT(ISERROR(SEARCH("RIESGO ALTO",BE17)))</formula>
    </cfRule>
    <cfRule type="containsText" dxfId="1639" priority="1144" operator="containsText" text="RIESGO MODERADO">
      <formula>NOT(ISERROR(SEARCH("RIESGO MODERADO",BE17)))</formula>
    </cfRule>
    <cfRule type="containsText" dxfId="1638" priority="1145" operator="containsText" text="RIESGO BAJO">
      <formula>NOT(ISERROR(SEARCH("RIESGO BAJO",BE17)))</formula>
    </cfRule>
  </conditionalFormatting>
  <conditionalFormatting sqref="BE18">
    <cfRule type="containsText" dxfId="1637" priority="1138" operator="containsText" text="RIESGO EXTREMO">
      <formula>NOT(ISERROR(SEARCH("RIESGO EXTREMO",BE18)))</formula>
    </cfRule>
    <cfRule type="containsText" dxfId="1636" priority="1139" operator="containsText" text="RIESGO ALTO">
      <formula>NOT(ISERROR(SEARCH("RIESGO ALTO",BE18)))</formula>
    </cfRule>
    <cfRule type="containsText" dxfId="1635" priority="1140" operator="containsText" text="RIESGO MODERADO">
      <formula>NOT(ISERROR(SEARCH("RIESGO MODERADO",BE18)))</formula>
    </cfRule>
    <cfRule type="containsText" dxfId="1634" priority="1141" operator="containsText" text="RIESGO BAJO">
      <formula>NOT(ISERROR(SEARCH("RIESGO BAJO",BE18)))</formula>
    </cfRule>
  </conditionalFormatting>
  <conditionalFormatting sqref="BF17">
    <cfRule type="containsText" dxfId="1633" priority="1134" operator="containsText" text="RIESGO EXTREMO">
      <formula>NOT(ISERROR(SEARCH("RIESGO EXTREMO",BF17)))</formula>
    </cfRule>
    <cfRule type="containsText" dxfId="1632" priority="1135" operator="containsText" text="RIESGO ALTO">
      <formula>NOT(ISERROR(SEARCH("RIESGO ALTO",BF17)))</formula>
    </cfRule>
    <cfRule type="containsText" dxfId="1631" priority="1136" operator="containsText" text="RIESGO MODERADO">
      <formula>NOT(ISERROR(SEARCH("RIESGO MODERADO",BF17)))</formula>
    </cfRule>
    <cfRule type="containsText" dxfId="1630" priority="1137" operator="containsText" text="RIESGO BAJO">
      <formula>NOT(ISERROR(SEARCH("RIESGO BAJO",BF17)))</formula>
    </cfRule>
  </conditionalFormatting>
  <conditionalFormatting sqref="BB72:BE72">
    <cfRule type="containsText" dxfId="1629" priority="1218" operator="containsText" text="RIESGO EXTREMO">
      <formula>NOT(ISERROR(SEARCH("RIESGO EXTREMO",BB72)))</formula>
    </cfRule>
    <cfRule type="containsText" dxfId="1628" priority="1219" operator="containsText" text="RIESGO ALTO">
      <formula>NOT(ISERROR(SEARCH("RIESGO ALTO",BB72)))</formula>
    </cfRule>
    <cfRule type="containsText" dxfId="1627" priority="1220" operator="containsText" text="RIESGO MODERADO">
      <formula>NOT(ISERROR(SEARCH("RIESGO MODERADO",BB72)))</formula>
    </cfRule>
    <cfRule type="containsText" dxfId="1626" priority="1221" operator="containsText" text="RIESGO BAJO">
      <formula>NOT(ISERROR(SEARCH("RIESGO BAJO",BB72)))</formula>
    </cfRule>
  </conditionalFormatting>
  <conditionalFormatting sqref="BF72">
    <cfRule type="containsText" dxfId="1625" priority="1214" operator="containsText" text="RIESGO EXTREMO">
      <formula>NOT(ISERROR(SEARCH("RIESGO EXTREMO",BF72)))</formula>
    </cfRule>
    <cfRule type="containsText" dxfId="1624" priority="1215" operator="containsText" text="RIESGO ALTO">
      <formula>NOT(ISERROR(SEARCH("RIESGO ALTO",BF72)))</formula>
    </cfRule>
    <cfRule type="containsText" dxfId="1623" priority="1216" operator="containsText" text="RIESGO MODERADO">
      <formula>NOT(ISERROR(SEARCH("RIESGO MODERADO",BF72)))</formula>
    </cfRule>
    <cfRule type="containsText" dxfId="1622" priority="1217" operator="containsText" text="RIESGO BAJO">
      <formula>NOT(ISERROR(SEARCH("RIESGO BAJO",BF72)))</formula>
    </cfRule>
  </conditionalFormatting>
  <conditionalFormatting sqref="BG72:BJ72">
    <cfRule type="containsText" dxfId="1621" priority="1210" operator="containsText" text="RIESGO EXTREMO">
      <formula>NOT(ISERROR(SEARCH("RIESGO EXTREMO",BG72)))</formula>
    </cfRule>
    <cfRule type="containsText" dxfId="1620" priority="1211" operator="containsText" text="RIESGO ALTO">
      <formula>NOT(ISERROR(SEARCH("RIESGO ALTO",BG72)))</formula>
    </cfRule>
    <cfRule type="containsText" dxfId="1619" priority="1212" operator="containsText" text="RIESGO MODERADO">
      <formula>NOT(ISERROR(SEARCH("RIESGO MODERADO",BG72)))</formula>
    </cfRule>
    <cfRule type="containsText" dxfId="1618" priority="1213" operator="containsText" text="RIESGO BAJO">
      <formula>NOT(ISERROR(SEARCH("RIESGO BAJO",BG72)))</formula>
    </cfRule>
  </conditionalFormatting>
  <conditionalFormatting sqref="BB79:BE79">
    <cfRule type="containsText" dxfId="1617" priority="1206" operator="containsText" text="RIESGO EXTREMO">
      <formula>NOT(ISERROR(SEARCH("RIESGO EXTREMO",BB79)))</formula>
    </cfRule>
    <cfRule type="containsText" dxfId="1616" priority="1207" operator="containsText" text="RIESGO ALTO">
      <formula>NOT(ISERROR(SEARCH("RIESGO ALTO",BB79)))</formula>
    </cfRule>
    <cfRule type="containsText" dxfId="1615" priority="1208" operator="containsText" text="RIESGO MODERADO">
      <formula>NOT(ISERROR(SEARCH("RIESGO MODERADO",BB79)))</formula>
    </cfRule>
    <cfRule type="containsText" dxfId="1614" priority="1209" operator="containsText" text="RIESGO BAJO">
      <formula>NOT(ISERROR(SEARCH("RIESGO BAJO",BB79)))</formula>
    </cfRule>
  </conditionalFormatting>
  <conditionalFormatting sqref="BG79:BJ79">
    <cfRule type="containsText" dxfId="1613" priority="1202" operator="containsText" text="RIESGO EXTREMO">
      <formula>NOT(ISERROR(SEARCH("RIESGO EXTREMO",BG79)))</formula>
    </cfRule>
    <cfRule type="containsText" dxfId="1612" priority="1203" operator="containsText" text="RIESGO ALTO">
      <formula>NOT(ISERROR(SEARCH("RIESGO ALTO",BG79)))</formula>
    </cfRule>
    <cfRule type="containsText" dxfId="1611" priority="1204" operator="containsText" text="RIESGO MODERADO">
      <formula>NOT(ISERROR(SEARCH("RIESGO MODERADO",BG79)))</formula>
    </cfRule>
    <cfRule type="containsText" dxfId="1610" priority="1205" operator="containsText" text="RIESGO BAJO">
      <formula>NOT(ISERROR(SEARCH("RIESGO BAJO",BG79)))</formula>
    </cfRule>
  </conditionalFormatting>
  <conditionalFormatting sqref="BB20">
    <cfRule type="containsText" dxfId="1609" priority="1110" operator="containsText" text="RIESGO EXTREMO">
      <formula>NOT(ISERROR(SEARCH("RIESGO EXTREMO",BB20)))</formula>
    </cfRule>
    <cfRule type="containsText" dxfId="1608" priority="1111" operator="containsText" text="RIESGO ALTO">
      <formula>NOT(ISERROR(SEARCH("RIESGO ALTO",BB20)))</formula>
    </cfRule>
    <cfRule type="containsText" dxfId="1607" priority="1112" operator="containsText" text="RIESGO MODERADO">
      <formula>NOT(ISERROR(SEARCH("RIESGO MODERADO",BB20)))</formula>
    </cfRule>
    <cfRule type="containsText" dxfId="1606" priority="1113" operator="containsText" text="RIESGO BAJO">
      <formula>NOT(ISERROR(SEARCH("RIESGO BAJO",BB20)))</formula>
    </cfRule>
  </conditionalFormatting>
  <conditionalFormatting sqref="BF18">
    <cfRule type="containsText" dxfId="1605" priority="1130" operator="containsText" text="RIESGO EXTREMO">
      <formula>NOT(ISERROR(SEARCH("RIESGO EXTREMO",BF18)))</formula>
    </cfRule>
    <cfRule type="containsText" dxfId="1604" priority="1131" operator="containsText" text="RIESGO ALTO">
      <formula>NOT(ISERROR(SEARCH("RIESGO ALTO",BF18)))</formula>
    </cfRule>
    <cfRule type="containsText" dxfId="1603" priority="1132" operator="containsText" text="RIESGO MODERADO">
      <formula>NOT(ISERROR(SEARCH("RIESGO MODERADO",BF18)))</formula>
    </cfRule>
    <cfRule type="containsText" dxfId="1602" priority="1133" operator="containsText" text="RIESGO BAJO">
      <formula>NOT(ISERROR(SEARCH("RIESGO BAJO",BF18)))</formula>
    </cfRule>
  </conditionalFormatting>
  <conditionalFormatting sqref="BB19">
    <cfRule type="containsText" dxfId="1601" priority="1126" operator="containsText" text="RIESGO EXTREMO">
      <formula>NOT(ISERROR(SEARCH("RIESGO EXTREMO",BB19)))</formula>
    </cfRule>
    <cfRule type="containsText" dxfId="1600" priority="1127" operator="containsText" text="RIESGO ALTO">
      <formula>NOT(ISERROR(SEARCH("RIESGO ALTO",BB19)))</formula>
    </cfRule>
    <cfRule type="containsText" dxfId="1599" priority="1128" operator="containsText" text="RIESGO MODERADO">
      <formula>NOT(ISERROR(SEARCH("RIESGO MODERADO",BB19)))</formula>
    </cfRule>
    <cfRule type="containsText" dxfId="1598" priority="1129" operator="containsText" text="RIESGO BAJO">
      <formula>NOT(ISERROR(SEARCH("RIESGO BAJO",BB19)))</formula>
    </cfRule>
  </conditionalFormatting>
  <conditionalFormatting sqref="BC19">
    <cfRule type="containsText" dxfId="1597" priority="1122" operator="containsText" text="RIESGO EXTREMO">
      <formula>NOT(ISERROR(SEARCH("RIESGO EXTREMO",BC19)))</formula>
    </cfRule>
    <cfRule type="containsText" dxfId="1596" priority="1123" operator="containsText" text="RIESGO ALTO">
      <formula>NOT(ISERROR(SEARCH("RIESGO ALTO",BC19)))</formula>
    </cfRule>
    <cfRule type="containsText" dxfId="1595" priority="1124" operator="containsText" text="RIESGO MODERADO">
      <formula>NOT(ISERROR(SEARCH("RIESGO MODERADO",BC19)))</formula>
    </cfRule>
    <cfRule type="containsText" dxfId="1594" priority="1125" operator="containsText" text="RIESGO BAJO">
      <formula>NOT(ISERROR(SEARCH("RIESGO BAJO",BC19)))</formula>
    </cfRule>
  </conditionalFormatting>
  <conditionalFormatting sqref="BD19">
    <cfRule type="containsText" dxfId="1593" priority="1118" operator="containsText" text="RIESGO EXTREMO">
      <formula>NOT(ISERROR(SEARCH("RIESGO EXTREMO",BD19)))</formula>
    </cfRule>
    <cfRule type="containsText" dxfId="1592" priority="1119" operator="containsText" text="RIESGO ALTO">
      <formula>NOT(ISERROR(SEARCH("RIESGO ALTO",BD19)))</formula>
    </cfRule>
    <cfRule type="containsText" dxfId="1591" priority="1120" operator="containsText" text="RIESGO MODERADO">
      <formula>NOT(ISERROR(SEARCH("RIESGO MODERADO",BD19)))</formula>
    </cfRule>
    <cfRule type="containsText" dxfId="1590" priority="1121" operator="containsText" text="RIESGO BAJO">
      <formula>NOT(ISERROR(SEARCH("RIESGO BAJO",BD19)))</formula>
    </cfRule>
  </conditionalFormatting>
  <conditionalFormatting sqref="BE19">
    <cfRule type="containsText" dxfId="1589" priority="1114" operator="containsText" text="RIESGO EXTREMO">
      <formula>NOT(ISERROR(SEARCH("RIESGO EXTREMO",BE19)))</formula>
    </cfRule>
    <cfRule type="containsText" dxfId="1588" priority="1115" operator="containsText" text="RIESGO ALTO">
      <formula>NOT(ISERROR(SEARCH("RIESGO ALTO",BE19)))</formula>
    </cfRule>
    <cfRule type="containsText" dxfId="1587" priority="1116" operator="containsText" text="RIESGO MODERADO">
      <formula>NOT(ISERROR(SEARCH("RIESGO MODERADO",BE19)))</formula>
    </cfRule>
    <cfRule type="containsText" dxfId="1586" priority="1117" operator="containsText" text="RIESGO BAJO">
      <formula>NOT(ISERROR(SEARCH("RIESGO BAJO",BE19)))</formula>
    </cfRule>
  </conditionalFormatting>
  <conditionalFormatting sqref="BD20">
    <cfRule type="containsText" dxfId="1585" priority="1106" operator="containsText" text="RIESGO EXTREMO">
      <formula>NOT(ISERROR(SEARCH("RIESGO EXTREMO",BD20)))</formula>
    </cfRule>
    <cfRule type="containsText" dxfId="1584" priority="1107" operator="containsText" text="RIESGO ALTO">
      <formula>NOT(ISERROR(SEARCH("RIESGO ALTO",BD20)))</formula>
    </cfRule>
    <cfRule type="containsText" dxfId="1583" priority="1108" operator="containsText" text="RIESGO MODERADO">
      <formula>NOT(ISERROR(SEARCH("RIESGO MODERADO",BD20)))</formula>
    </cfRule>
    <cfRule type="containsText" dxfId="1582" priority="1109" operator="containsText" text="RIESGO BAJO">
      <formula>NOT(ISERROR(SEARCH("RIESGO BAJO",BD20)))</formula>
    </cfRule>
  </conditionalFormatting>
  <conditionalFormatting sqref="BI19">
    <cfRule type="containsText" dxfId="1581" priority="1086" operator="containsText" text="RIESGO EXTREMO">
      <formula>NOT(ISERROR(SEARCH("RIESGO EXTREMO",BI19)))</formula>
    </cfRule>
    <cfRule type="containsText" dxfId="1580" priority="1087" operator="containsText" text="RIESGO ALTO">
      <formula>NOT(ISERROR(SEARCH("RIESGO ALTO",BI19)))</formula>
    </cfRule>
    <cfRule type="containsText" dxfId="1579" priority="1088" operator="containsText" text="RIESGO MODERADO">
      <formula>NOT(ISERROR(SEARCH("RIESGO MODERADO",BI19)))</formula>
    </cfRule>
    <cfRule type="containsText" dxfId="1578" priority="1089" operator="containsText" text="RIESGO BAJO">
      <formula>NOT(ISERROR(SEARCH("RIESGO BAJO",BI19)))</formula>
    </cfRule>
  </conditionalFormatting>
  <conditionalFormatting sqref="BE20">
    <cfRule type="containsText" dxfId="1577" priority="1102" operator="containsText" text="RIESGO EXTREMO">
      <formula>NOT(ISERROR(SEARCH("RIESGO EXTREMO",BE20)))</formula>
    </cfRule>
    <cfRule type="containsText" dxfId="1576" priority="1103" operator="containsText" text="RIESGO ALTO">
      <formula>NOT(ISERROR(SEARCH("RIESGO ALTO",BE20)))</formula>
    </cfRule>
    <cfRule type="containsText" dxfId="1575" priority="1104" operator="containsText" text="RIESGO MODERADO">
      <formula>NOT(ISERROR(SEARCH("RIESGO MODERADO",BE20)))</formula>
    </cfRule>
    <cfRule type="containsText" dxfId="1574" priority="1105" operator="containsText" text="RIESGO BAJO">
      <formula>NOT(ISERROR(SEARCH("RIESGO BAJO",BE20)))</formula>
    </cfRule>
  </conditionalFormatting>
  <conditionalFormatting sqref="BJ19">
    <cfRule type="containsText" dxfId="1573" priority="1082" operator="containsText" text="RIESGO EXTREMO">
      <formula>NOT(ISERROR(SEARCH("RIESGO EXTREMO",BJ19)))</formula>
    </cfRule>
    <cfRule type="containsText" dxfId="1572" priority="1083" operator="containsText" text="RIESGO ALTO">
      <formula>NOT(ISERROR(SEARCH("RIESGO ALTO",BJ19)))</formula>
    </cfRule>
    <cfRule type="containsText" dxfId="1571" priority="1084" operator="containsText" text="RIESGO MODERADO">
      <formula>NOT(ISERROR(SEARCH("RIESGO MODERADO",BJ19)))</formula>
    </cfRule>
    <cfRule type="containsText" dxfId="1570" priority="1085" operator="containsText" text="RIESGO BAJO">
      <formula>NOT(ISERROR(SEARCH("RIESGO BAJO",BJ19)))</formula>
    </cfRule>
  </conditionalFormatting>
  <conditionalFormatting sqref="BB24">
    <cfRule type="containsText" dxfId="1569" priority="1036" operator="containsText" text="RIESGO EXTREMO">
      <formula>NOT(ISERROR(SEARCH("RIESGO EXTREMO",BB24)))</formula>
    </cfRule>
    <cfRule type="containsText" dxfId="1568" priority="1037" operator="containsText" text="RIESGO ALTO">
      <formula>NOT(ISERROR(SEARCH("RIESGO ALTO",BB24)))</formula>
    </cfRule>
    <cfRule type="containsText" dxfId="1567" priority="1038" operator="containsText" text="RIESGO MODERADO">
      <formula>NOT(ISERROR(SEARCH("RIESGO MODERADO",BB24)))</formula>
    </cfRule>
    <cfRule type="containsText" dxfId="1566" priority="1039" operator="containsText" text="RIESGO BAJO">
      <formula>NOT(ISERROR(SEARCH("RIESGO BAJO",BB24)))</formula>
    </cfRule>
  </conditionalFormatting>
  <conditionalFormatting sqref="BD24">
    <cfRule type="containsText" dxfId="1565" priority="1032" operator="containsText" text="RIESGO EXTREMO">
      <formula>NOT(ISERROR(SEARCH("RIESGO EXTREMO",BD24)))</formula>
    </cfRule>
    <cfRule type="containsText" dxfId="1564" priority="1033" operator="containsText" text="RIESGO ALTO">
      <formula>NOT(ISERROR(SEARCH("RIESGO ALTO",BD24)))</formula>
    </cfRule>
    <cfRule type="containsText" dxfId="1563" priority="1034" operator="containsText" text="RIESGO MODERADO">
      <formula>NOT(ISERROR(SEARCH("RIESGO MODERADO",BD24)))</formula>
    </cfRule>
    <cfRule type="containsText" dxfId="1562" priority="1035" operator="containsText" text="RIESGO BAJO">
      <formula>NOT(ISERROR(SEARCH("RIESGO BAJO",BD24)))</formula>
    </cfRule>
  </conditionalFormatting>
  <conditionalFormatting sqref="BE24">
    <cfRule type="containsText" dxfId="1561" priority="1028" operator="containsText" text="RIESGO EXTREMO">
      <formula>NOT(ISERROR(SEARCH("RIESGO EXTREMO",BE24)))</formula>
    </cfRule>
    <cfRule type="containsText" dxfId="1560" priority="1029" operator="containsText" text="RIESGO ALTO">
      <formula>NOT(ISERROR(SEARCH("RIESGO ALTO",BE24)))</formula>
    </cfRule>
    <cfRule type="containsText" dxfId="1559" priority="1030" operator="containsText" text="RIESGO MODERADO">
      <formula>NOT(ISERROR(SEARCH("RIESGO MODERADO",BE24)))</formula>
    </cfRule>
    <cfRule type="containsText" dxfId="1558" priority="1031" operator="containsText" text="RIESGO BAJO">
      <formula>NOT(ISERROR(SEARCH("RIESGO BAJO",BE24)))</formula>
    </cfRule>
  </conditionalFormatting>
  <conditionalFormatting sqref="BB23:BD23">
    <cfRule type="containsText" dxfId="1557" priority="1024" operator="containsText" text="RIESGO EXTREMO">
      <formula>NOT(ISERROR(SEARCH("RIESGO EXTREMO",BB23)))</formula>
    </cfRule>
    <cfRule type="containsText" dxfId="1556" priority="1025" operator="containsText" text="RIESGO ALTO">
      <formula>NOT(ISERROR(SEARCH("RIESGO ALTO",BB23)))</formula>
    </cfRule>
    <cfRule type="containsText" dxfId="1555" priority="1026" operator="containsText" text="RIESGO MODERADO">
      <formula>NOT(ISERROR(SEARCH("RIESGO MODERADO",BB23)))</formula>
    </cfRule>
    <cfRule type="containsText" dxfId="1554" priority="1027" operator="containsText" text="RIESGO BAJO">
      <formula>NOT(ISERROR(SEARCH("RIESGO BAJO",BB23)))</formula>
    </cfRule>
  </conditionalFormatting>
  <conditionalFormatting sqref="Q21:Q22">
    <cfRule type="containsText" dxfId="1553" priority="1044" operator="containsText" text="RIESGO EXTREMO">
      <formula>NOT(ISERROR(SEARCH("RIESGO EXTREMO",Q21)))</formula>
    </cfRule>
    <cfRule type="containsText" dxfId="1552" priority="1045" operator="containsText" text="RIESGO ALTO">
      <formula>NOT(ISERROR(SEARCH("RIESGO ALTO",Q21)))</formula>
    </cfRule>
    <cfRule type="containsText" dxfId="1551" priority="1046" operator="containsText" text="RIESGO MODERADO">
      <formula>NOT(ISERROR(SEARCH("RIESGO MODERADO",Q21)))</formula>
    </cfRule>
    <cfRule type="containsText" dxfId="1550" priority="1047" operator="containsText" text="RIESGO BAJO">
      <formula>NOT(ISERROR(SEARCH("RIESGO BAJO",Q21)))</formula>
    </cfRule>
  </conditionalFormatting>
  <conditionalFormatting sqref="AZ21">
    <cfRule type="containsText" dxfId="1549" priority="1040" operator="containsText" text="RIESGO EXTREMO">
      <formula>NOT(ISERROR(SEARCH("RIESGO EXTREMO",AZ21)))</formula>
    </cfRule>
    <cfRule type="containsText" dxfId="1548" priority="1041" operator="containsText" text="RIESGO ALTO">
      <formula>NOT(ISERROR(SEARCH("RIESGO ALTO",AZ21)))</formula>
    </cfRule>
    <cfRule type="containsText" dxfId="1547" priority="1042" operator="containsText" text="RIESGO MODERADO">
      <formula>NOT(ISERROR(SEARCH("RIESGO MODERADO",AZ21)))</formula>
    </cfRule>
    <cfRule type="containsText" dxfId="1546" priority="1043" operator="containsText" text="RIESGO BAJO">
      <formula>NOT(ISERROR(SEARCH("RIESGO BAJO",AZ21)))</formula>
    </cfRule>
  </conditionalFormatting>
  <conditionalFormatting sqref="I21">
    <cfRule type="expression" dxfId="1545" priority="1081">
      <formula>EXACT(F21,"Seguridad_de_la_informacion")</formula>
    </cfRule>
  </conditionalFormatting>
  <conditionalFormatting sqref="J21">
    <cfRule type="expression" dxfId="1544" priority="1080">
      <formula>EXACT(F21,"Seguridad_de_la_informacion")</formula>
    </cfRule>
  </conditionalFormatting>
  <conditionalFormatting sqref="BE23">
    <cfRule type="containsText" dxfId="1543" priority="1020" operator="containsText" text="RIESGO EXTREMO">
      <formula>NOT(ISERROR(SEARCH("RIESGO EXTREMO",BE23)))</formula>
    </cfRule>
    <cfRule type="containsText" dxfId="1542" priority="1021" operator="containsText" text="RIESGO ALTO">
      <formula>NOT(ISERROR(SEARCH("RIESGO ALTO",BE23)))</formula>
    </cfRule>
    <cfRule type="containsText" dxfId="1541" priority="1022" operator="containsText" text="RIESGO MODERADO">
      <formula>NOT(ISERROR(SEARCH("RIESGO MODERADO",BE23)))</formula>
    </cfRule>
    <cfRule type="containsText" dxfId="1540" priority="1023" operator="containsText" text="RIESGO BAJO">
      <formula>NOT(ISERROR(SEARCH("RIESGO BAJO",BE23)))</formula>
    </cfRule>
  </conditionalFormatting>
  <conditionalFormatting sqref="BH23:BJ23">
    <cfRule type="containsText" dxfId="1539" priority="1016" operator="containsText" text="RIESGO EXTREMO">
      <formula>NOT(ISERROR(SEARCH("RIESGO EXTREMO",BH23)))</formula>
    </cfRule>
    <cfRule type="containsText" dxfId="1538" priority="1017" operator="containsText" text="RIESGO ALTO">
      <formula>NOT(ISERROR(SEARCH("RIESGO ALTO",BH23)))</formula>
    </cfRule>
    <cfRule type="containsText" dxfId="1537" priority="1018" operator="containsText" text="RIESGO MODERADO">
      <formula>NOT(ISERROR(SEARCH("RIESGO MODERADO",BH23)))</formula>
    </cfRule>
    <cfRule type="containsText" dxfId="1536" priority="1019" operator="containsText" text="RIESGO BAJO">
      <formula>NOT(ISERROR(SEARCH("RIESGO BAJO",BH23)))</formula>
    </cfRule>
  </conditionalFormatting>
  <conditionalFormatting sqref="BH99 BJ99">
    <cfRule type="containsText" dxfId="1535" priority="1012" operator="containsText" text="RIESGO EXTREMO">
      <formula>NOT(ISERROR(SEARCH("RIESGO EXTREMO",BH99)))</formula>
    </cfRule>
    <cfRule type="containsText" dxfId="1534" priority="1013" operator="containsText" text="RIESGO ALTO">
      <formula>NOT(ISERROR(SEARCH("RIESGO ALTO",BH99)))</formula>
    </cfRule>
    <cfRule type="containsText" dxfId="1533" priority="1014" operator="containsText" text="RIESGO MODERADO">
      <formula>NOT(ISERROR(SEARCH("RIESGO MODERADO",BH99)))</formula>
    </cfRule>
    <cfRule type="containsText" dxfId="1532" priority="1015" operator="containsText" text="RIESGO BAJO">
      <formula>NOT(ISERROR(SEARCH("RIESGO BAJO",BH99)))</formula>
    </cfRule>
  </conditionalFormatting>
  <conditionalFormatting sqref="BI99">
    <cfRule type="containsText" dxfId="1531" priority="1008" operator="containsText" text="RIESGO EXTREMO">
      <formula>NOT(ISERROR(SEARCH("RIESGO EXTREMO",BI99)))</formula>
    </cfRule>
    <cfRule type="containsText" dxfId="1530" priority="1009" operator="containsText" text="RIESGO ALTO">
      <formula>NOT(ISERROR(SEARCH("RIESGO ALTO",BI99)))</formula>
    </cfRule>
    <cfRule type="containsText" dxfId="1529" priority="1010" operator="containsText" text="RIESGO MODERADO">
      <formula>NOT(ISERROR(SEARCH("RIESGO MODERADO",BI99)))</formula>
    </cfRule>
    <cfRule type="containsText" dxfId="1528" priority="1011" operator="containsText" text="RIESGO BAJO">
      <formula>NOT(ISERROR(SEARCH("RIESGO BAJO",BI99)))</formula>
    </cfRule>
  </conditionalFormatting>
  <conditionalFormatting sqref="Q25:Q26 BF25">
    <cfRule type="containsText" dxfId="1527" priority="1002" operator="containsText" text="RIESGO EXTREMO">
      <formula>NOT(ISERROR(SEARCH("RIESGO EXTREMO",Q25)))</formula>
    </cfRule>
    <cfRule type="containsText" dxfId="1526" priority="1003" operator="containsText" text="RIESGO ALTO">
      <formula>NOT(ISERROR(SEARCH("RIESGO ALTO",Q25)))</formula>
    </cfRule>
    <cfRule type="containsText" dxfId="1525" priority="1004" operator="containsText" text="RIESGO MODERADO">
      <formula>NOT(ISERROR(SEARCH("RIESGO MODERADO",Q25)))</formula>
    </cfRule>
    <cfRule type="containsText" dxfId="1524" priority="1005" operator="containsText" text="RIESGO BAJO">
      <formula>NOT(ISERROR(SEARCH("RIESGO BAJO",Q25)))</formula>
    </cfRule>
  </conditionalFormatting>
  <conditionalFormatting sqref="I25:I26">
    <cfRule type="expression" dxfId="1523" priority="1001">
      <formula>EXACT(F25,"Seguridad_de_la_informacion")</formula>
    </cfRule>
  </conditionalFormatting>
  <conditionalFormatting sqref="J25:J26">
    <cfRule type="expression" dxfId="1522" priority="1000">
      <formula>EXACT(F25,"Seguridad_de_la_informacion")</formula>
    </cfRule>
  </conditionalFormatting>
  <conditionalFormatting sqref="AZ25:BA25">
    <cfRule type="containsText" dxfId="1521" priority="998" operator="containsText" text="RIESGO EXTREMO">
      <formula>NOT(ISERROR(SEARCH("RIESGO EXTREMO",AZ25)))</formula>
    </cfRule>
    <cfRule type="containsText" dxfId="1520" priority="999" operator="containsText" text="RIESGO ALTO">
      <formula>NOT(ISERROR(SEARCH("RIESGO ALTO",AZ25)))</formula>
    </cfRule>
    <cfRule type="containsText" dxfId="1519" priority="1006" operator="containsText" text="RIESGO MODERADO">
      <formula>NOT(ISERROR(SEARCH("RIESGO MODERADO",AZ25)))</formula>
    </cfRule>
  </conditionalFormatting>
  <conditionalFormatting sqref="BG25:BJ25">
    <cfRule type="containsText" dxfId="1518" priority="994" operator="containsText" text="RIESGO EXTREMO">
      <formula>NOT(ISERROR(SEARCH("RIESGO EXTREMO",BG25)))</formula>
    </cfRule>
    <cfRule type="containsText" dxfId="1517" priority="995" operator="containsText" text="RIESGO ALTO">
      <formula>NOT(ISERROR(SEARCH("RIESGO ALTO",BG25)))</formula>
    </cfRule>
    <cfRule type="containsText" dxfId="1516" priority="996" operator="containsText" text="RIESGO MODERADO">
      <formula>NOT(ISERROR(SEARCH("RIESGO MODERADO",BG25)))</formula>
    </cfRule>
    <cfRule type="containsText" dxfId="1515" priority="997" operator="containsText" text="RIESGO BAJO">
      <formula>NOT(ISERROR(SEARCH("RIESGO BAJO",BG25)))</formula>
    </cfRule>
  </conditionalFormatting>
  <conditionalFormatting sqref="BJ27 BJ31">
    <cfRule type="containsText" dxfId="1514" priority="986" operator="containsText" text="RIESGO EXTREMO">
      <formula>NOT(ISERROR(SEARCH("RIESGO EXTREMO",BJ27)))</formula>
    </cfRule>
    <cfRule type="containsText" dxfId="1513" priority="987" operator="containsText" text="RIESGO ALTO">
      <formula>NOT(ISERROR(SEARCH("RIESGO ALTO",BJ27)))</formula>
    </cfRule>
    <cfRule type="containsText" dxfId="1512" priority="988" operator="containsText" text="RIESGO MODERADO">
      <formula>NOT(ISERROR(SEARCH("RIESGO MODERADO",BJ27)))</formula>
    </cfRule>
    <cfRule type="containsText" dxfId="1511" priority="989" operator="containsText" text="RIESGO BAJO">
      <formula>NOT(ISERROR(SEARCH("RIESGO BAJO",BJ27)))</formula>
    </cfRule>
  </conditionalFormatting>
  <conditionalFormatting sqref="BB27:BD27 BB31:BD31">
    <cfRule type="containsText" dxfId="1510" priority="982" operator="containsText" text="RIESGO EXTREMO">
      <formula>NOT(ISERROR(SEARCH("RIESGO EXTREMO",BB27)))</formula>
    </cfRule>
    <cfRule type="containsText" dxfId="1509" priority="983" operator="containsText" text="RIESGO ALTO">
      <formula>NOT(ISERROR(SEARCH("RIESGO ALTO",BB27)))</formula>
    </cfRule>
    <cfRule type="containsText" dxfId="1508" priority="984" operator="containsText" text="RIESGO MODERADO">
      <formula>NOT(ISERROR(SEARCH("RIESGO MODERADO",BB27)))</formula>
    </cfRule>
    <cfRule type="containsText" dxfId="1507" priority="985" operator="containsText" text="RIESGO BAJO">
      <formula>NOT(ISERROR(SEARCH("RIESGO BAJO",BB27)))</formula>
    </cfRule>
  </conditionalFormatting>
  <conditionalFormatting sqref="BG27 BG31 BI31">
    <cfRule type="containsText" dxfId="1506" priority="978" operator="containsText" text="RIESGO EXTREMO">
      <formula>NOT(ISERROR(SEARCH("RIESGO EXTREMO",BG27)))</formula>
    </cfRule>
    <cfRule type="containsText" dxfId="1505" priority="979" operator="containsText" text="RIESGO ALTO">
      <formula>NOT(ISERROR(SEARCH("RIESGO ALTO",BG27)))</formula>
    </cfRule>
    <cfRule type="containsText" dxfId="1504" priority="980" operator="containsText" text="RIESGO MODERADO">
      <formula>NOT(ISERROR(SEARCH("RIESGO MODERADO",BG27)))</formula>
    </cfRule>
    <cfRule type="containsText" dxfId="1503" priority="981" operator="containsText" text="RIESGO BAJO">
      <formula>NOT(ISERROR(SEARCH("RIESGO BAJO",BG27)))</formula>
    </cfRule>
  </conditionalFormatting>
  <conditionalFormatting sqref="I27">
    <cfRule type="expression" dxfId="1502" priority="977">
      <formula>EXACT(F27,"Seguridad_de_la_informacion")</formula>
    </cfRule>
  </conditionalFormatting>
  <conditionalFormatting sqref="J27">
    <cfRule type="expression" dxfId="1501" priority="976">
      <formula>EXACT(F27,"Seguridad_de_la_informacion")</formula>
    </cfRule>
  </conditionalFormatting>
  <conditionalFormatting sqref="AZ27:BA27">
    <cfRule type="containsText" dxfId="1500" priority="972" operator="containsText" text="RIESGO EXTREMO">
      <formula>NOT(ISERROR(SEARCH("RIESGO EXTREMO",AZ27)))</formula>
    </cfRule>
    <cfRule type="containsText" dxfId="1499" priority="973" operator="containsText" text="RIESGO ALTO">
      <formula>NOT(ISERROR(SEARCH("RIESGO ALTO",AZ27)))</formula>
    </cfRule>
    <cfRule type="containsText" dxfId="1498" priority="974" operator="containsText" text="RIESGO MODERADO">
      <formula>NOT(ISERROR(SEARCH("RIESGO MODERADO",AZ27)))</formula>
    </cfRule>
    <cfRule type="containsText" dxfId="1497" priority="975" operator="containsText" text="RIESGO BAJO">
      <formula>NOT(ISERROR(SEARCH("RIESGO BAJO",AZ27)))</formula>
    </cfRule>
  </conditionalFormatting>
  <conditionalFormatting sqref="Q27">
    <cfRule type="containsText" dxfId="1496" priority="964" operator="containsText" text="RIESGO EXTREMO">
      <formula>NOT(ISERROR(SEARCH("RIESGO EXTREMO",Q27)))</formula>
    </cfRule>
    <cfRule type="containsText" dxfId="1495" priority="965" operator="containsText" text="RIESGO ALTO">
      <formula>NOT(ISERROR(SEARCH("RIESGO ALTO",Q27)))</formula>
    </cfRule>
    <cfRule type="containsText" dxfId="1494" priority="966" operator="containsText" text="RIESGO MODERADO">
      <formula>NOT(ISERROR(SEARCH("RIESGO MODERADO",Q27)))</formula>
    </cfRule>
    <cfRule type="containsText" dxfId="1493" priority="967" operator="containsText" text="RIESGO BAJO">
      <formula>NOT(ISERROR(SEARCH("RIESGO BAJO",Q27)))</formula>
    </cfRule>
  </conditionalFormatting>
  <conditionalFormatting sqref="BE27 BE31">
    <cfRule type="containsText" dxfId="1492" priority="960" operator="containsText" text="RIESGO EXTREMO">
      <formula>NOT(ISERROR(SEARCH("RIESGO EXTREMO",BE27)))</formula>
    </cfRule>
    <cfRule type="containsText" dxfId="1491" priority="961" operator="containsText" text="RIESGO ALTO">
      <formula>NOT(ISERROR(SEARCH("RIESGO ALTO",BE27)))</formula>
    </cfRule>
    <cfRule type="containsText" dxfId="1490" priority="962" operator="containsText" text="RIESGO MODERADO">
      <formula>NOT(ISERROR(SEARCH("RIESGO MODERADO",BE27)))</formula>
    </cfRule>
    <cfRule type="containsText" dxfId="1489" priority="963" operator="containsText" text="RIESGO BAJO">
      <formula>NOT(ISERROR(SEARCH("RIESGO BAJO",BE27)))</formula>
    </cfRule>
  </conditionalFormatting>
  <conditionalFormatting sqref="BH27">
    <cfRule type="containsText" dxfId="1488" priority="956" operator="containsText" text="RIESGO EXTREMO">
      <formula>NOT(ISERROR(SEARCH("RIESGO EXTREMO",BH27)))</formula>
    </cfRule>
    <cfRule type="containsText" dxfId="1487" priority="957" operator="containsText" text="RIESGO ALTO">
      <formula>NOT(ISERROR(SEARCH("RIESGO ALTO",BH27)))</formula>
    </cfRule>
    <cfRule type="containsText" dxfId="1486" priority="958" operator="containsText" text="RIESGO MODERADO">
      <formula>NOT(ISERROR(SEARCH("RIESGO MODERADO",BH27)))</formula>
    </cfRule>
    <cfRule type="containsText" dxfId="1485" priority="959" operator="containsText" text="RIESGO BAJO">
      <formula>NOT(ISERROR(SEARCH("RIESGO BAJO",BH27)))</formula>
    </cfRule>
  </conditionalFormatting>
  <conditionalFormatting sqref="BH31">
    <cfRule type="containsText" dxfId="1484" priority="952" operator="containsText" text="RIESGO EXTREMO">
      <formula>NOT(ISERROR(SEARCH("RIESGO EXTREMO",BH31)))</formula>
    </cfRule>
    <cfRule type="containsText" dxfId="1483" priority="953" operator="containsText" text="RIESGO ALTO">
      <formula>NOT(ISERROR(SEARCH("RIESGO ALTO",BH31)))</formula>
    </cfRule>
    <cfRule type="containsText" dxfId="1482" priority="954" operator="containsText" text="RIESGO MODERADO">
      <formula>NOT(ISERROR(SEARCH("RIESGO MODERADO",BH31)))</formula>
    </cfRule>
    <cfRule type="containsText" dxfId="1481" priority="955" operator="containsText" text="RIESGO BAJO">
      <formula>NOT(ISERROR(SEARCH("RIESGO BAJO",BH31)))</formula>
    </cfRule>
  </conditionalFormatting>
  <conditionalFormatting sqref="BI27">
    <cfRule type="containsText" dxfId="1480" priority="948" operator="containsText" text="RIESGO EXTREMO">
      <formula>NOT(ISERROR(SEARCH("RIESGO EXTREMO",BI27)))</formula>
    </cfRule>
    <cfRule type="containsText" dxfId="1479" priority="949" operator="containsText" text="RIESGO ALTO">
      <formula>NOT(ISERROR(SEARCH("RIESGO ALTO",BI27)))</formula>
    </cfRule>
    <cfRule type="containsText" dxfId="1478" priority="950" operator="containsText" text="RIESGO MODERADO">
      <formula>NOT(ISERROR(SEARCH("RIESGO MODERADO",BI27)))</formula>
    </cfRule>
    <cfRule type="containsText" dxfId="1477" priority="951" operator="containsText" text="RIESGO BAJO">
      <formula>NOT(ISERROR(SEARCH("RIESGO BAJO",BI27)))</formula>
    </cfRule>
  </conditionalFormatting>
  <conditionalFormatting sqref="J54:J55">
    <cfRule type="expression" dxfId="1476" priority="913">
      <formula>EXACT(F54,"Seguridad_de_la_informacion")</formula>
    </cfRule>
  </conditionalFormatting>
  <conditionalFormatting sqref="I54:I55">
    <cfRule type="expression" dxfId="1475" priority="904">
      <formula>EXACT(F54,"Seguridad_de_la_informacion")</formula>
    </cfRule>
  </conditionalFormatting>
  <conditionalFormatting sqref="AZ54:BA54">
    <cfRule type="containsText" dxfId="1474" priority="900" operator="containsText" text="RIESGO EXTREMO">
      <formula>NOT(ISERROR(SEARCH("RIESGO EXTREMO",AZ54)))</formula>
    </cfRule>
    <cfRule type="containsText" dxfId="1473" priority="901" operator="containsText" text="RIESGO ALTO">
      <formula>NOT(ISERROR(SEARCH("RIESGO ALTO",AZ54)))</formula>
    </cfRule>
    <cfRule type="containsText" dxfId="1472" priority="902" operator="containsText" text="RIESGO MODERADO">
      <formula>NOT(ISERROR(SEARCH("RIESGO MODERADO",AZ54)))</formula>
    </cfRule>
    <cfRule type="containsText" dxfId="1471" priority="903" operator="containsText" text="RIESGO BAJO">
      <formula>NOT(ISERROR(SEARCH("RIESGO BAJO",AZ54)))</formula>
    </cfRule>
  </conditionalFormatting>
  <conditionalFormatting sqref="BG54">
    <cfRule type="containsText" dxfId="1470" priority="896" operator="containsText" text="RIESGO EXTREMO">
      <formula>NOT(ISERROR(SEARCH("RIESGO EXTREMO",BG54)))</formula>
    </cfRule>
    <cfRule type="containsText" dxfId="1469" priority="897" operator="containsText" text="RIESGO ALTO">
      <formula>NOT(ISERROR(SEARCH("RIESGO ALTO",BG54)))</formula>
    </cfRule>
    <cfRule type="containsText" dxfId="1468" priority="898" operator="containsText" text="RIESGO MODERADO">
      <formula>NOT(ISERROR(SEARCH("RIESGO MODERADO",BG54)))</formula>
    </cfRule>
    <cfRule type="containsText" dxfId="1467" priority="899" operator="containsText" text="RIESGO BAJO">
      <formula>NOT(ISERROR(SEARCH("RIESGO BAJO",BG54)))</formula>
    </cfRule>
  </conditionalFormatting>
  <conditionalFormatting sqref="Q54:Q55">
    <cfRule type="containsText" dxfId="1466" priority="888" operator="containsText" text="RIESGO EXTREMO">
      <formula>NOT(ISERROR(SEARCH("RIESGO EXTREMO",Q54)))</formula>
    </cfRule>
    <cfRule type="containsText" dxfId="1465" priority="889" operator="containsText" text="RIESGO ALTO">
      <formula>NOT(ISERROR(SEARCH("RIESGO ALTO",Q54)))</formula>
    </cfRule>
    <cfRule type="containsText" dxfId="1464" priority="890" operator="containsText" text="RIESGO MODERADO">
      <formula>NOT(ISERROR(SEARCH("RIESGO MODERADO",Q54)))</formula>
    </cfRule>
    <cfRule type="containsText" dxfId="1463" priority="891" operator="containsText" text="RIESGO BAJO">
      <formula>NOT(ISERROR(SEARCH("RIESGO BAJO",Q54)))</formula>
    </cfRule>
  </conditionalFormatting>
  <conditionalFormatting sqref="BA62">
    <cfRule type="containsText" dxfId="1462" priority="822" operator="containsText" text="RIESGO EXTREMO">
      <formula>NOT(ISERROR(SEARCH("RIESGO EXTREMO",BA62)))</formula>
    </cfRule>
    <cfRule type="containsText" dxfId="1461" priority="823" operator="containsText" text="RIESGO ALTO">
      <formula>NOT(ISERROR(SEARCH("RIESGO ALTO",BA62)))</formula>
    </cfRule>
    <cfRule type="containsText" dxfId="1460" priority="824" operator="containsText" text="RIESGO MODERADO">
      <formula>NOT(ISERROR(SEARCH("RIESGO MODERADO",BA62)))</formula>
    </cfRule>
    <cfRule type="containsText" dxfId="1459" priority="825" operator="containsText" text="RIESGO BAJO">
      <formula>NOT(ISERROR(SEARCH("RIESGO BAJO",BA62)))</formula>
    </cfRule>
  </conditionalFormatting>
  <conditionalFormatting sqref="Q62:Q63 BB63">
    <cfRule type="containsText" dxfId="1458" priority="828" operator="containsText" text="RIESGO EXTREMO">
      <formula>NOT(ISERROR(SEARCH("RIESGO EXTREMO",Q62)))</formula>
    </cfRule>
    <cfRule type="containsText" dxfId="1457" priority="829" operator="containsText" text="RIESGO ALTO">
      <formula>NOT(ISERROR(SEARCH("RIESGO ALTO",Q62)))</formula>
    </cfRule>
    <cfRule type="containsText" dxfId="1456" priority="830" operator="containsText" text="RIESGO MODERADO">
      <formula>NOT(ISERROR(SEARCH("RIESGO MODERADO",Q62)))</formula>
    </cfRule>
    <cfRule type="containsText" dxfId="1455" priority="831" operator="containsText" text="RIESGO BAJO">
      <formula>NOT(ISERROR(SEARCH("RIESGO BAJO",Q62)))</formula>
    </cfRule>
  </conditionalFormatting>
  <conditionalFormatting sqref="AZ62">
    <cfRule type="containsText" dxfId="1454" priority="814" operator="containsText" text="RIESGO EXTREMO">
      <formula>NOT(ISERROR(SEARCH("RIESGO EXTREMO",AZ62)))</formula>
    </cfRule>
    <cfRule type="containsText" dxfId="1453" priority="815" operator="containsText" text="RIESGO ALTO">
      <formula>NOT(ISERROR(SEARCH("RIESGO ALTO",AZ62)))</formula>
    </cfRule>
    <cfRule type="containsText" dxfId="1452" priority="816" operator="containsText" text="RIESGO MODERADO">
      <formula>NOT(ISERROR(SEARCH("RIESGO MODERADO",AZ62)))</formula>
    </cfRule>
    <cfRule type="containsText" dxfId="1451" priority="817" operator="containsText" text="RIESGO BAJO">
      <formula>NOT(ISERROR(SEARCH("RIESGO BAJO",AZ62)))</formula>
    </cfRule>
  </conditionalFormatting>
  <conditionalFormatting sqref="BB62">
    <cfRule type="containsText" dxfId="1450" priority="810" operator="containsText" text="RIESGO EXTREMO">
      <formula>NOT(ISERROR(SEARCH("RIESGO EXTREMO",BB62)))</formula>
    </cfRule>
    <cfRule type="containsText" dxfId="1449" priority="811" operator="containsText" text="RIESGO ALTO">
      <formula>NOT(ISERROR(SEARCH("RIESGO ALTO",BB62)))</formula>
    </cfRule>
    <cfRule type="containsText" dxfId="1448" priority="812" operator="containsText" text="RIESGO MODERADO">
      <formula>NOT(ISERROR(SEARCH("RIESGO MODERADO",BB62)))</formula>
    </cfRule>
    <cfRule type="containsText" dxfId="1447" priority="813" operator="containsText" text="RIESGO BAJO">
      <formula>NOT(ISERROR(SEARCH("RIESGO BAJO",BB62)))</formula>
    </cfRule>
  </conditionalFormatting>
  <conditionalFormatting sqref="BC62 BE62">
    <cfRule type="containsText" dxfId="1446" priority="806" operator="containsText" text="RIESGO EXTREMO">
      <formula>NOT(ISERROR(SEARCH("RIESGO EXTREMO",BC62)))</formula>
    </cfRule>
    <cfRule type="containsText" dxfId="1445" priority="807" operator="containsText" text="RIESGO ALTO">
      <formula>NOT(ISERROR(SEARCH("RIESGO ALTO",BC62)))</formula>
    </cfRule>
    <cfRule type="containsText" dxfId="1444" priority="808" operator="containsText" text="RIESGO MODERADO">
      <formula>NOT(ISERROR(SEARCH("RIESGO MODERADO",BC62)))</formula>
    </cfRule>
    <cfRule type="containsText" dxfId="1443" priority="809" operator="containsText" text="RIESGO BAJO">
      <formula>NOT(ISERROR(SEARCH("RIESGO BAJO",BC62)))</formula>
    </cfRule>
  </conditionalFormatting>
  <conditionalFormatting sqref="BE63">
    <cfRule type="containsText" dxfId="1442" priority="802" operator="containsText" text="RIESGO EXTREMO">
      <formula>NOT(ISERROR(SEARCH("RIESGO EXTREMO",BE63)))</formula>
    </cfRule>
    <cfRule type="containsText" dxfId="1441" priority="803" operator="containsText" text="RIESGO ALTO">
      <formula>NOT(ISERROR(SEARCH("RIESGO ALTO",BE63)))</formula>
    </cfRule>
    <cfRule type="containsText" dxfId="1440" priority="804" operator="containsText" text="RIESGO MODERADO">
      <formula>NOT(ISERROR(SEARCH("RIESGO MODERADO",BE63)))</formula>
    </cfRule>
    <cfRule type="containsText" dxfId="1439" priority="805" operator="containsText" text="RIESGO BAJO">
      <formula>NOT(ISERROR(SEARCH("RIESGO BAJO",BE63)))</formula>
    </cfRule>
  </conditionalFormatting>
  <conditionalFormatting sqref="BG62:BH62 BJ62">
    <cfRule type="containsText" dxfId="1438" priority="798" operator="containsText" text="RIESGO EXTREMO">
      <formula>NOT(ISERROR(SEARCH("RIESGO EXTREMO",BG62)))</formula>
    </cfRule>
    <cfRule type="containsText" dxfId="1437" priority="799" operator="containsText" text="RIESGO ALTO">
      <formula>NOT(ISERROR(SEARCH("RIESGO ALTO",BG62)))</formula>
    </cfRule>
    <cfRule type="containsText" dxfId="1436" priority="800" operator="containsText" text="RIESGO MODERADO">
      <formula>NOT(ISERROR(SEARCH("RIESGO MODERADO",BG62)))</formula>
    </cfRule>
    <cfRule type="containsText" dxfId="1435" priority="801" operator="containsText" text="RIESGO BAJO">
      <formula>NOT(ISERROR(SEARCH("RIESGO BAJO",BG62)))</formula>
    </cfRule>
  </conditionalFormatting>
  <conditionalFormatting sqref="BC63">
    <cfRule type="containsText" dxfId="1434" priority="794" operator="containsText" text="RIESGO EXTREMO">
      <formula>NOT(ISERROR(SEARCH("RIESGO EXTREMO",BC63)))</formula>
    </cfRule>
    <cfRule type="containsText" dxfId="1433" priority="795" operator="containsText" text="RIESGO ALTO">
      <formula>NOT(ISERROR(SEARCH("RIESGO ALTO",BC63)))</formula>
    </cfRule>
    <cfRule type="containsText" dxfId="1432" priority="796" operator="containsText" text="RIESGO MODERADO">
      <formula>NOT(ISERROR(SEARCH("RIESGO MODERADO",BC63)))</formula>
    </cfRule>
    <cfRule type="containsText" dxfId="1431" priority="797" operator="containsText" text="RIESGO BAJO">
      <formula>NOT(ISERROR(SEARCH("RIESGO BAJO",BC63)))</formula>
    </cfRule>
  </conditionalFormatting>
  <conditionalFormatting sqref="J62:J63">
    <cfRule type="expression" dxfId="1430" priority="793">
      <formula>EXACT(F62,"Seguridad_de_la_informacion")</formula>
    </cfRule>
  </conditionalFormatting>
  <conditionalFormatting sqref="I62:I63">
    <cfRule type="expression" dxfId="1429" priority="792">
      <formula>EXACT(F62,"Seguridad_de_la_informacion")</formula>
    </cfRule>
  </conditionalFormatting>
  <conditionalFormatting sqref="I62:I63">
    <cfRule type="expression" dxfId="1428" priority="791">
      <formula>EXACT(F62,"Seguridad_de_la_informacion")</formula>
    </cfRule>
  </conditionalFormatting>
  <conditionalFormatting sqref="Q64:Q65 AZ64 BB64:BB65 BC64">
    <cfRule type="containsText" dxfId="1427" priority="787" operator="containsText" text="RIESGO EXTREMO">
      <formula>NOT(ISERROR(SEARCH("RIESGO EXTREMO",Q64)))</formula>
    </cfRule>
    <cfRule type="containsText" dxfId="1426" priority="788" operator="containsText" text="RIESGO ALTO">
      <formula>NOT(ISERROR(SEARCH("RIESGO ALTO",Q64)))</formula>
    </cfRule>
    <cfRule type="containsText" dxfId="1425" priority="789" operator="containsText" text="RIESGO MODERADO">
      <formula>NOT(ISERROR(SEARCH("RIESGO MODERADO",Q64)))</formula>
    </cfRule>
    <cfRule type="containsText" dxfId="1424" priority="790" operator="containsText" text="RIESGO BAJO">
      <formula>NOT(ISERROR(SEARCH("RIESGO BAJO",Q64)))</formula>
    </cfRule>
  </conditionalFormatting>
  <conditionalFormatting sqref="I64:I65">
    <cfRule type="expression" dxfId="1423" priority="786">
      <formula>EXACT(F64,"Seguridad_de_la_informacion")</formula>
    </cfRule>
  </conditionalFormatting>
  <conditionalFormatting sqref="J64:J65">
    <cfRule type="expression" dxfId="1422" priority="785">
      <formula>EXACT(F64,"Seguridad_de_la_informacion")</formula>
    </cfRule>
  </conditionalFormatting>
  <conditionalFormatting sqref="BA64">
    <cfRule type="containsText" dxfId="1421" priority="781" operator="containsText" text="RIESGO EXTREMO">
      <formula>NOT(ISERROR(SEARCH("RIESGO EXTREMO",BA64)))</formula>
    </cfRule>
    <cfRule type="containsText" dxfId="1420" priority="782" operator="containsText" text="RIESGO ALTO">
      <formula>NOT(ISERROR(SEARCH("RIESGO ALTO",BA64)))</formula>
    </cfRule>
    <cfRule type="containsText" dxfId="1419" priority="783" operator="containsText" text="RIESGO MODERADO">
      <formula>NOT(ISERROR(SEARCH("RIESGO MODERADO",BA64)))</formula>
    </cfRule>
    <cfRule type="containsText" dxfId="1418" priority="784" operator="containsText" text="RIESGO BAJO">
      <formula>NOT(ISERROR(SEARCH("RIESGO BAJO",BA64)))</formula>
    </cfRule>
  </conditionalFormatting>
  <conditionalFormatting sqref="BE65">
    <cfRule type="containsText" dxfId="1417" priority="769" operator="containsText" text="RIESGO EXTREMO">
      <formula>NOT(ISERROR(SEARCH("RIESGO EXTREMO",BE65)))</formula>
    </cfRule>
    <cfRule type="containsText" dxfId="1416" priority="770" operator="containsText" text="RIESGO ALTO">
      <formula>NOT(ISERROR(SEARCH("RIESGO ALTO",BE65)))</formula>
    </cfRule>
    <cfRule type="containsText" dxfId="1415" priority="771" operator="containsText" text="RIESGO MODERADO">
      <formula>NOT(ISERROR(SEARCH("RIESGO MODERADO",BE65)))</formula>
    </cfRule>
    <cfRule type="containsText" dxfId="1414" priority="772" operator="containsText" text="RIESGO BAJO">
      <formula>NOT(ISERROR(SEARCH("RIESGO BAJO",BE65)))</formula>
    </cfRule>
  </conditionalFormatting>
  <conditionalFormatting sqref="BG64:BJ64">
    <cfRule type="containsText" dxfId="1413" priority="773" operator="containsText" text="RIESGO EXTREMO">
      <formula>NOT(ISERROR(SEARCH("RIESGO EXTREMO",BG64)))</formula>
    </cfRule>
    <cfRule type="containsText" dxfId="1412" priority="774" operator="containsText" text="RIESGO ALTO">
      <formula>NOT(ISERROR(SEARCH("RIESGO ALTO",BG64)))</formula>
    </cfRule>
    <cfRule type="containsText" dxfId="1411" priority="775" operator="containsText" text="RIESGO MODERADO">
      <formula>NOT(ISERROR(SEARCH("RIESGO MODERADO",BG64)))</formula>
    </cfRule>
    <cfRule type="containsText" dxfId="1410" priority="776" operator="containsText" text="RIESGO BAJO">
      <formula>NOT(ISERROR(SEARCH("RIESGO BAJO",BG64)))</formula>
    </cfRule>
  </conditionalFormatting>
  <conditionalFormatting sqref="BE64">
    <cfRule type="containsText" dxfId="1409" priority="765" operator="containsText" text="RIESGO EXTREMO">
      <formula>NOT(ISERROR(SEARCH("RIESGO EXTREMO",BE64)))</formula>
    </cfRule>
    <cfRule type="containsText" dxfId="1408" priority="766" operator="containsText" text="RIESGO ALTO">
      <formula>NOT(ISERROR(SEARCH("RIESGO ALTO",BE64)))</formula>
    </cfRule>
    <cfRule type="containsText" dxfId="1407" priority="767" operator="containsText" text="RIESGO MODERADO">
      <formula>NOT(ISERROR(SEARCH("RIESGO MODERADO",BE64)))</formula>
    </cfRule>
    <cfRule type="containsText" dxfId="1406" priority="768" operator="containsText" text="RIESGO BAJO">
      <formula>NOT(ISERROR(SEARCH("RIESGO BAJO",BE64)))</formula>
    </cfRule>
  </conditionalFormatting>
  <conditionalFormatting sqref="Q66">
    <cfRule type="containsText" dxfId="1405" priority="761" operator="containsText" text="RIESGO EXTREMO">
      <formula>NOT(ISERROR(SEARCH("RIESGO EXTREMO",Q66)))</formula>
    </cfRule>
    <cfRule type="containsText" dxfId="1404" priority="762" operator="containsText" text="RIESGO ALTO">
      <formula>NOT(ISERROR(SEARCH("RIESGO ALTO",Q66)))</formula>
    </cfRule>
    <cfRule type="containsText" dxfId="1403" priority="763" operator="containsText" text="RIESGO MODERADO">
      <formula>NOT(ISERROR(SEARCH("RIESGO MODERADO",Q66)))</formula>
    </cfRule>
    <cfRule type="containsText" dxfId="1402" priority="764" operator="containsText" text="RIESGO BAJO">
      <formula>NOT(ISERROR(SEARCH("RIESGO BAJO",Q66)))</formula>
    </cfRule>
  </conditionalFormatting>
  <conditionalFormatting sqref="I66:I67">
    <cfRule type="expression" dxfId="1401" priority="760">
      <formula>EXACT(F66,"Seguridad_de_la_informacion")</formula>
    </cfRule>
  </conditionalFormatting>
  <conditionalFormatting sqref="J66:J67">
    <cfRule type="expression" dxfId="1400" priority="759">
      <formula>EXACT(F66,"Seguridad_de_la_informacion")</formula>
    </cfRule>
  </conditionalFormatting>
  <conditionalFormatting sqref="AZ66">
    <cfRule type="containsText" dxfId="1399" priority="755" operator="containsText" text="RIESGO EXTREMO">
      <formula>NOT(ISERROR(SEARCH("RIESGO EXTREMO",AZ66)))</formula>
    </cfRule>
    <cfRule type="containsText" dxfId="1398" priority="756" operator="containsText" text="RIESGO ALTO">
      <formula>NOT(ISERROR(SEARCH("RIESGO ALTO",AZ66)))</formula>
    </cfRule>
    <cfRule type="containsText" dxfId="1397" priority="757" operator="containsText" text="RIESGO MODERADO">
      <formula>NOT(ISERROR(SEARCH("RIESGO MODERADO",AZ66)))</formula>
    </cfRule>
    <cfRule type="containsText" dxfId="1396" priority="758" operator="containsText" text="RIESGO BAJO">
      <formula>NOT(ISERROR(SEARCH("RIESGO BAJO",AZ66)))</formula>
    </cfRule>
  </conditionalFormatting>
  <conditionalFormatting sqref="BA66">
    <cfRule type="containsText" dxfId="1391" priority="747" operator="containsText" text="RIESGO EXTREMO">
      <formula>NOT(ISERROR(SEARCH("RIESGO EXTREMO",BA66)))</formula>
    </cfRule>
    <cfRule type="containsText" dxfId="1390" priority="748" operator="containsText" text="RIESGO ALTO">
      <formula>NOT(ISERROR(SEARCH("RIESGO ALTO",BA66)))</formula>
    </cfRule>
    <cfRule type="containsText" dxfId="1389" priority="749" operator="containsText" text="RIESGO MODERADO">
      <formula>NOT(ISERROR(SEARCH("RIESGO MODERADO",BA66)))</formula>
    </cfRule>
    <cfRule type="containsText" dxfId="1388" priority="750" operator="containsText" text="RIESGO BAJO">
      <formula>NOT(ISERROR(SEARCH("RIESGO BAJO",BA66)))</formula>
    </cfRule>
  </conditionalFormatting>
  <conditionalFormatting sqref="BB66">
    <cfRule type="containsText" dxfId="1387" priority="743" operator="containsText" text="RIESGO EXTREMO">
      <formula>NOT(ISERROR(SEARCH("RIESGO EXTREMO",BB66)))</formula>
    </cfRule>
    <cfRule type="containsText" dxfId="1386" priority="744" operator="containsText" text="RIESGO ALTO">
      <formula>NOT(ISERROR(SEARCH("RIESGO ALTO",BB66)))</formula>
    </cfRule>
    <cfRule type="containsText" dxfId="1385" priority="745" operator="containsText" text="RIESGO MODERADO">
      <formula>NOT(ISERROR(SEARCH("RIESGO MODERADO",BB66)))</formula>
    </cfRule>
    <cfRule type="containsText" dxfId="1384" priority="746" operator="containsText" text="RIESGO BAJO">
      <formula>NOT(ISERROR(SEARCH("RIESGO BAJO",BB66)))</formula>
    </cfRule>
  </conditionalFormatting>
  <conditionalFormatting sqref="BC66">
    <cfRule type="containsText" dxfId="1383" priority="739" operator="containsText" text="RIESGO EXTREMO">
      <formula>NOT(ISERROR(SEARCH("RIESGO EXTREMO",BC66)))</formula>
    </cfRule>
    <cfRule type="containsText" dxfId="1382" priority="740" operator="containsText" text="RIESGO ALTO">
      <formula>NOT(ISERROR(SEARCH("RIESGO ALTO",BC66)))</formula>
    </cfRule>
    <cfRule type="containsText" dxfId="1381" priority="741" operator="containsText" text="RIESGO MODERADO">
      <formula>NOT(ISERROR(SEARCH("RIESGO MODERADO",BC66)))</formula>
    </cfRule>
    <cfRule type="containsText" dxfId="1380" priority="742" operator="containsText" text="RIESGO BAJO">
      <formula>NOT(ISERROR(SEARCH("RIESGO BAJO",BC66)))</formula>
    </cfRule>
  </conditionalFormatting>
  <conditionalFormatting sqref="BD66">
    <cfRule type="containsText" dxfId="1379" priority="735" operator="containsText" text="RIESGO EXTREMO">
      <formula>NOT(ISERROR(SEARCH("RIESGO EXTREMO",BD66)))</formula>
    </cfRule>
    <cfRule type="containsText" dxfId="1378" priority="736" operator="containsText" text="RIESGO ALTO">
      <formula>NOT(ISERROR(SEARCH("RIESGO ALTO",BD66)))</formula>
    </cfRule>
    <cfRule type="containsText" dxfId="1377" priority="737" operator="containsText" text="RIESGO MODERADO">
      <formula>NOT(ISERROR(SEARCH("RIESGO MODERADO",BD66)))</formula>
    </cfRule>
    <cfRule type="containsText" dxfId="1376" priority="738" operator="containsText" text="RIESGO BAJO">
      <formula>NOT(ISERROR(SEARCH("RIESGO BAJO",BD66)))</formula>
    </cfRule>
  </conditionalFormatting>
  <conditionalFormatting sqref="BE66">
    <cfRule type="containsText" dxfId="1375" priority="731" operator="containsText" text="RIESGO EXTREMO">
      <formula>NOT(ISERROR(SEARCH("RIESGO EXTREMO",BE66)))</formula>
    </cfRule>
    <cfRule type="containsText" dxfId="1374" priority="732" operator="containsText" text="RIESGO ALTO">
      <formula>NOT(ISERROR(SEARCH("RIESGO ALTO",BE66)))</formula>
    </cfRule>
    <cfRule type="containsText" dxfId="1373" priority="733" operator="containsText" text="RIESGO MODERADO">
      <formula>NOT(ISERROR(SEARCH("RIESGO MODERADO",BE66)))</formula>
    </cfRule>
    <cfRule type="containsText" dxfId="1372" priority="734" operator="containsText" text="RIESGO BAJO">
      <formula>NOT(ISERROR(SEARCH("RIESGO BAJO",BE66)))</formula>
    </cfRule>
  </conditionalFormatting>
  <conditionalFormatting sqref="BF66">
    <cfRule type="containsText" dxfId="1371" priority="727" operator="containsText" text="RIESGO EXTREMO">
      <formula>NOT(ISERROR(SEARCH("RIESGO EXTREMO",BF66)))</formula>
    </cfRule>
    <cfRule type="containsText" dxfId="1370" priority="728" operator="containsText" text="RIESGO ALTO">
      <formula>NOT(ISERROR(SEARCH("RIESGO ALTO",BF66)))</formula>
    </cfRule>
    <cfRule type="containsText" dxfId="1369" priority="729" operator="containsText" text="RIESGO MODERADO">
      <formula>NOT(ISERROR(SEARCH("RIESGO MODERADO",BF66)))</formula>
    </cfRule>
    <cfRule type="containsText" dxfId="1368" priority="730" operator="containsText" text="RIESGO BAJO">
      <formula>NOT(ISERROR(SEARCH("RIESGO BAJO",BF66)))</formula>
    </cfRule>
  </conditionalFormatting>
  <conditionalFormatting sqref="BG66">
    <cfRule type="containsText" dxfId="1367" priority="723" operator="containsText" text="RIESGO EXTREMO">
      <formula>NOT(ISERROR(SEARCH("RIESGO EXTREMO",BG66)))</formula>
    </cfRule>
    <cfRule type="containsText" dxfId="1366" priority="724" operator="containsText" text="RIESGO ALTO">
      <formula>NOT(ISERROR(SEARCH("RIESGO ALTO",BG66)))</formula>
    </cfRule>
    <cfRule type="containsText" dxfId="1365" priority="725" operator="containsText" text="RIESGO MODERADO">
      <formula>NOT(ISERROR(SEARCH("RIESGO MODERADO",BG66)))</formula>
    </cfRule>
    <cfRule type="containsText" dxfId="1364" priority="726" operator="containsText" text="RIESGO BAJO">
      <formula>NOT(ISERROR(SEARCH("RIESGO BAJO",BG66)))</formula>
    </cfRule>
  </conditionalFormatting>
  <conditionalFormatting sqref="BH66">
    <cfRule type="containsText" dxfId="1363" priority="719" operator="containsText" text="RIESGO EXTREMO">
      <formula>NOT(ISERROR(SEARCH("RIESGO EXTREMO",BH66)))</formula>
    </cfRule>
    <cfRule type="containsText" dxfId="1362" priority="720" operator="containsText" text="RIESGO ALTO">
      <formula>NOT(ISERROR(SEARCH("RIESGO ALTO",BH66)))</formula>
    </cfRule>
    <cfRule type="containsText" dxfId="1361" priority="721" operator="containsText" text="RIESGO MODERADO">
      <formula>NOT(ISERROR(SEARCH("RIESGO MODERADO",BH66)))</formula>
    </cfRule>
    <cfRule type="containsText" dxfId="1360" priority="722" operator="containsText" text="RIESGO BAJO">
      <formula>NOT(ISERROR(SEARCH("RIESGO BAJO",BH66)))</formula>
    </cfRule>
  </conditionalFormatting>
  <conditionalFormatting sqref="BJ66">
    <cfRule type="containsText" dxfId="1359" priority="715" operator="containsText" text="RIESGO EXTREMO">
      <formula>NOT(ISERROR(SEARCH("RIESGO EXTREMO",BJ66)))</formula>
    </cfRule>
    <cfRule type="containsText" dxfId="1358" priority="716" operator="containsText" text="RIESGO ALTO">
      <formula>NOT(ISERROR(SEARCH("RIESGO ALTO",BJ66)))</formula>
    </cfRule>
    <cfRule type="containsText" dxfId="1357" priority="717" operator="containsText" text="RIESGO MODERADO">
      <formula>NOT(ISERROR(SEARCH("RIESGO MODERADO",BJ66)))</formula>
    </cfRule>
    <cfRule type="containsText" dxfId="1356" priority="718" operator="containsText" text="RIESGO BAJO">
      <formula>NOT(ISERROR(SEARCH("RIESGO BAJO",BJ66)))</formula>
    </cfRule>
  </conditionalFormatting>
  <conditionalFormatting sqref="BI66">
    <cfRule type="containsText" dxfId="1355" priority="711" operator="containsText" text="RIESGO EXTREMO">
      <formula>NOT(ISERROR(SEARCH("RIESGO EXTREMO",BI66)))</formula>
    </cfRule>
    <cfRule type="containsText" dxfId="1354" priority="712" operator="containsText" text="RIESGO ALTO">
      <formula>NOT(ISERROR(SEARCH("RIESGO ALTO",BI66)))</formula>
    </cfRule>
    <cfRule type="containsText" dxfId="1353" priority="713" operator="containsText" text="RIESGO MODERADO">
      <formula>NOT(ISERROR(SEARCH("RIESGO MODERADO",BI66)))</formula>
    </cfRule>
    <cfRule type="containsText" dxfId="1352" priority="714" operator="containsText" text="RIESGO BAJO">
      <formula>NOT(ISERROR(SEARCH("RIESGO BAJO",BI66)))</formula>
    </cfRule>
  </conditionalFormatting>
  <conditionalFormatting sqref="I68:I69">
    <cfRule type="expression" dxfId="1351" priority="710">
      <formula>EXACT(F68,"Seguridad_de_la_informacion")</formula>
    </cfRule>
  </conditionalFormatting>
  <conditionalFormatting sqref="J68:J69">
    <cfRule type="expression" dxfId="1350" priority="709">
      <formula>EXACT(F68,"Seguridad_de_la_informacion")</formula>
    </cfRule>
  </conditionalFormatting>
  <conditionalFormatting sqref="AZ68">
    <cfRule type="containsText" dxfId="1349" priority="705" operator="containsText" text="RIESGO EXTREMO">
      <formula>NOT(ISERROR(SEARCH("RIESGO EXTREMO",AZ68)))</formula>
    </cfRule>
    <cfRule type="containsText" dxfId="1348" priority="706" operator="containsText" text="RIESGO ALTO">
      <formula>NOT(ISERROR(SEARCH("RIESGO ALTO",AZ68)))</formula>
    </cfRule>
    <cfRule type="containsText" dxfId="1347" priority="707" operator="containsText" text="RIESGO MODERADO">
      <formula>NOT(ISERROR(SEARCH("RIESGO MODERADO",AZ68)))</formula>
    </cfRule>
    <cfRule type="containsText" dxfId="1346" priority="708" operator="containsText" text="RIESGO BAJO">
      <formula>NOT(ISERROR(SEARCH("RIESGO BAJO",AZ68)))</formula>
    </cfRule>
  </conditionalFormatting>
  <conditionalFormatting sqref="Q68">
    <cfRule type="containsText" dxfId="1341" priority="697" operator="containsText" text="RIESGO EXTREMO">
      <formula>NOT(ISERROR(SEARCH("RIESGO EXTREMO",Q68)))</formula>
    </cfRule>
    <cfRule type="containsText" dxfId="1340" priority="698" operator="containsText" text="RIESGO ALTO">
      <formula>NOT(ISERROR(SEARCH("RIESGO ALTO",Q68)))</formula>
    </cfRule>
    <cfRule type="containsText" dxfId="1339" priority="699" operator="containsText" text="RIESGO MODERADO">
      <formula>NOT(ISERROR(SEARCH("RIESGO MODERADO",Q68)))</formula>
    </cfRule>
    <cfRule type="containsText" dxfId="1338" priority="700" operator="containsText" text="RIESGO BAJO">
      <formula>NOT(ISERROR(SEARCH("RIESGO BAJO",Q68)))</formula>
    </cfRule>
  </conditionalFormatting>
  <conditionalFormatting sqref="BA68">
    <cfRule type="containsText" dxfId="1337" priority="693" operator="containsText" text="RIESGO EXTREMO">
      <formula>NOT(ISERROR(SEARCH("RIESGO EXTREMO",BA68)))</formula>
    </cfRule>
    <cfRule type="containsText" dxfId="1336" priority="694" operator="containsText" text="RIESGO ALTO">
      <formula>NOT(ISERROR(SEARCH("RIESGO ALTO",BA68)))</formula>
    </cfRule>
    <cfRule type="containsText" dxfId="1335" priority="695" operator="containsText" text="RIESGO MODERADO">
      <formula>NOT(ISERROR(SEARCH("RIESGO MODERADO",BA68)))</formula>
    </cfRule>
    <cfRule type="containsText" dxfId="1334" priority="696" operator="containsText" text="RIESGO BAJO">
      <formula>NOT(ISERROR(SEARCH("RIESGO BAJO",BA68)))</formula>
    </cfRule>
  </conditionalFormatting>
  <conditionalFormatting sqref="BB68">
    <cfRule type="containsText" dxfId="1333" priority="689" operator="containsText" text="RIESGO EXTREMO">
      <formula>NOT(ISERROR(SEARCH("RIESGO EXTREMO",BB68)))</formula>
    </cfRule>
    <cfRule type="containsText" dxfId="1332" priority="690" operator="containsText" text="RIESGO ALTO">
      <formula>NOT(ISERROR(SEARCH("RIESGO ALTO",BB68)))</formula>
    </cfRule>
    <cfRule type="containsText" dxfId="1331" priority="691" operator="containsText" text="RIESGO MODERADO">
      <formula>NOT(ISERROR(SEARCH("RIESGO MODERADO",BB68)))</formula>
    </cfRule>
    <cfRule type="containsText" dxfId="1330" priority="692" operator="containsText" text="RIESGO BAJO">
      <formula>NOT(ISERROR(SEARCH("RIESGO BAJO",BB68)))</formula>
    </cfRule>
  </conditionalFormatting>
  <conditionalFormatting sqref="BC68">
    <cfRule type="containsText" dxfId="1329" priority="685" operator="containsText" text="RIESGO EXTREMO">
      <formula>NOT(ISERROR(SEARCH("RIESGO EXTREMO",BC68)))</formula>
    </cfRule>
    <cfRule type="containsText" dxfId="1328" priority="686" operator="containsText" text="RIESGO ALTO">
      <formula>NOT(ISERROR(SEARCH("RIESGO ALTO",BC68)))</formula>
    </cfRule>
    <cfRule type="containsText" dxfId="1327" priority="687" operator="containsText" text="RIESGO MODERADO">
      <formula>NOT(ISERROR(SEARCH("RIESGO MODERADO",BC68)))</formula>
    </cfRule>
    <cfRule type="containsText" dxfId="1326" priority="688" operator="containsText" text="RIESGO BAJO">
      <formula>NOT(ISERROR(SEARCH("RIESGO BAJO",BC68)))</formula>
    </cfRule>
  </conditionalFormatting>
  <conditionalFormatting sqref="BD68">
    <cfRule type="containsText" dxfId="1325" priority="681" operator="containsText" text="RIESGO EXTREMO">
      <formula>NOT(ISERROR(SEARCH("RIESGO EXTREMO",BD68)))</formula>
    </cfRule>
    <cfRule type="containsText" dxfId="1324" priority="682" operator="containsText" text="RIESGO ALTO">
      <formula>NOT(ISERROR(SEARCH("RIESGO ALTO",BD68)))</formula>
    </cfRule>
    <cfRule type="containsText" dxfId="1323" priority="683" operator="containsText" text="RIESGO MODERADO">
      <formula>NOT(ISERROR(SEARCH("RIESGO MODERADO",BD68)))</formula>
    </cfRule>
    <cfRule type="containsText" dxfId="1322" priority="684" operator="containsText" text="RIESGO BAJO">
      <formula>NOT(ISERROR(SEARCH("RIESGO BAJO",BD68)))</formula>
    </cfRule>
  </conditionalFormatting>
  <conditionalFormatting sqref="BE68">
    <cfRule type="containsText" dxfId="1321" priority="677" operator="containsText" text="RIESGO EXTREMO">
      <formula>NOT(ISERROR(SEARCH("RIESGO EXTREMO",BE68)))</formula>
    </cfRule>
    <cfRule type="containsText" dxfId="1320" priority="678" operator="containsText" text="RIESGO ALTO">
      <formula>NOT(ISERROR(SEARCH("RIESGO ALTO",BE68)))</formula>
    </cfRule>
    <cfRule type="containsText" dxfId="1319" priority="679" operator="containsText" text="RIESGO MODERADO">
      <formula>NOT(ISERROR(SEARCH("RIESGO MODERADO",BE68)))</formula>
    </cfRule>
    <cfRule type="containsText" dxfId="1318" priority="680" operator="containsText" text="RIESGO BAJO">
      <formula>NOT(ISERROR(SEARCH("RIESGO BAJO",BE68)))</formula>
    </cfRule>
  </conditionalFormatting>
  <conditionalFormatting sqref="BF68">
    <cfRule type="containsText" dxfId="1317" priority="673" operator="containsText" text="RIESGO EXTREMO">
      <formula>NOT(ISERROR(SEARCH("RIESGO EXTREMO",BF68)))</formula>
    </cfRule>
    <cfRule type="containsText" dxfId="1316" priority="674" operator="containsText" text="RIESGO ALTO">
      <formula>NOT(ISERROR(SEARCH("RIESGO ALTO",BF68)))</formula>
    </cfRule>
    <cfRule type="containsText" dxfId="1315" priority="675" operator="containsText" text="RIESGO MODERADO">
      <formula>NOT(ISERROR(SEARCH("RIESGO MODERADO",BF68)))</formula>
    </cfRule>
    <cfRule type="containsText" dxfId="1314" priority="676" operator="containsText" text="RIESGO BAJO">
      <formula>NOT(ISERROR(SEARCH("RIESGO BAJO",BF68)))</formula>
    </cfRule>
  </conditionalFormatting>
  <conditionalFormatting sqref="BG68">
    <cfRule type="containsText" dxfId="1313" priority="669" operator="containsText" text="RIESGO EXTREMO">
      <formula>NOT(ISERROR(SEARCH("RIESGO EXTREMO",BG68)))</formula>
    </cfRule>
    <cfRule type="containsText" dxfId="1312" priority="670" operator="containsText" text="RIESGO ALTO">
      <formula>NOT(ISERROR(SEARCH("RIESGO ALTO",BG68)))</formula>
    </cfRule>
    <cfRule type="containsText" dxfId="1311" priority="671" operator="containsText" text="RIESGO MODERADO">
      <formula>NOT(ISERROR(SEARCH("RIESGO MODERADO",BG68)))</formula>
    </cfRule>
    <cfRule type="containsText" dxfId="1310" priority="672" operator="containsText" text="RIESGO BAJO">
      <formula>NOT(ISERROR(SEARCH("RIESGO BAJO",BG68)))</formula>
    </cfRule>
  </conditionalFormatting>
  <conditionalFormatting sqref="BH68">
    <cfRule type="containsText" dxfId="1309" priority="665" operator="containsText" text="RIESGO EXTREMO">
      <formula>NOT(ISERROR(SEARCH("RIESGO EXTREMO",BH68)))</formula>
    </cfRule>
    <cfRule type="containsText" dxfId="1308" priority="666" operator="containsText" text="RIESGO ALTO">
      <formula>NOT(ISERROR(SEARCH("RIESGO ALTO",BH68)))</formula>
    </cfRule>
    <cfRule type="containsText" dxfId="1307" priority="667" operator="containsText" text="RIESGO MODERADO">
      <formula>NOT(ISERROR(SEARCH("RIESGO MODERADO",BH68)))</formula>
    </cfRule>
    <cfRule type="containsText" dxfId="1306" priority="668" operator="containsText" text="RIESGO BAJO">
      <formula>NOT(ISERROR(SEARCH("RIESGO BAJO",BH68)))</formula>
    </cfRule>
  </conditionalFormatting>
  <conditionalFormatting sqref="BJ68">
    <cfRule type="containsText" dxfId="1305" priority="661" operator="containsText" text="RIESGO EXTREMO">
      <formula>NOT(ISERROR(SEARCH("RIESGO EXTREMO",BJ68)))</formula>
    </cfRule>
    <cfRule type="containsText" dxfId="1304" priority="662" operator="containsText" text="RIESGO ALTO">
      <formula>NOT(ISERROR(SEARCH("RIESGO ALTO",BJ68)))</formula>
    </cfRule>
    <cfRule type="containsText" dxfId="1303" priority="663" operator="containsText" text="RIESGO MODERADO">
      <formula>NOT(ISERROR(SEARCH("RIESGO MODERADO",BJ68)))</formula>
    </cfRule>
    <cfRule type="containsText" dxfId="1302" priority="664" operator="containsText" text="RIESGO BAJO">
      <formula>NOT(ISERROR(SEARCH("RIESGO BAJO",BJ68)))</formula>
    </cfRule>
  </conditionalFormatting>
  <conditionalFormatting sqref="BI68">
    <cfRule type="containsText" dxfId="1301" priority="657" operator="containsText" text="RIESGO EXTREMO">
      <formula>NOT(ISERROR(SEARCH("RIESGO EXTREMO",BI68)))</formula>
    </cfRule>
    <cfRule type="containsText" dxfId="1300" priority="658" operator="containsText" text="RIESGO ALTO">
      <formula>NOT(ISERROR(SEARCH("RIESGO ALTO",BI68)))</formula>
    </cfRule>
    <cfRule type="containsText" dxfId="1299" priority="659" operator="containsText" text="RIESGO MODERADO">
      <formula>NOT(ISERROR(SEARCH("RIESGO MODERADO",BI68)))</formula>
    </cfRule>
    <cfRule type="containsText" dxfId="1298" priority="660" operator="containsText" text="RIESGO BAJO">
      <formula>NOT(ISERROR(SEARCH("RIESGO BAJO",BI68)))</formula>
    </cfRule>
  </conditionalFormatting>
  <conditionalFormatting sqref="I70:I71">
    <cfRule type="expression" dxfId="1297" priority="656">
      <formula>EXACT(F70,"Seguridad_de_la_informacion")</formula>
    </cfRule>
  </conditionalFormatting>
  <conditionalFormatting sqref="J70:J71">
    <cfRule type="expression" dxfId="1296" priority="655">
      <formula>EXACT(F70,"Seguridad_de_la_informacion")</formula>
    </cfRule>
  </conditionalFormatting>
  <conditionalFormatting sqref="AZ70">
    <cfRule type="containsText" dxfId="1295" priority="651" operator="containsText" text="RIESGO EXTREMO">
      <formula>NOT(ISERROR(SEARCH("RIESGO EXTREMO",AZ70)))</formula>
    </cfRule>
    <cfRule type="containsText" dxfId="1294" priority="652" operator="containsText" text="RIESGO ALTO">
      <formula>NOT(ISERROR(SEARCH("RIESGO ALTO",AZ70)))</formula>
    </cfRule>
    <cfRule type="containsText" dxfId="1293" priority="653" operator="containsText" text="RIESGO MODERADO">
      <formula>NOT(ISERROR(SEARCH("RIESGO MODERADO",AZ70)))</formula>
    </cfRule>
    <cfRule type="containsText" dxfId="1292" priority="654" operator="containsText" text="RIESGO BAJO">
      <formula>NOT(ISERROR(SEARCH("RIESGO BAJO",AZ70)))</formula>
    </cfRule>
  </conditionalFormatting>
  <conditionalFormatting sqref="BA70">
    <cfRule type="containsText" dxfId="1287" priority="643" operator="containsText" text="RIESGO EXTREMO">
      <formula>NOT(ISERROR(SEARCH("RIESGO EXTREMO",BA70)))</formula>
    </cfRule>
    <cfRule type="containsText" dxfId="1286" priority="644" operator="containsText" text="RIESGO ALTO">
      <formula>NOT(ISERROR(SEARCH("RIESGO ALTO",BA70)))</formula>
    </cfRule>
    <cfRule type="containsText" dxfId="1285" priority="645" operator="containsText" text="RIESGO MODERADO">
      <formula>NOT(ISERROR(SEARCH("RIESGO MODERADO",BA70)))</formula>
    </cfRule>
    <cfRule type="containsText" dxfId="1284" priority="646" operator="containsText" text="RIESGO BAJO">
      <formula>NOT(ISERROR(SEARCH("RIESGO BAJO",BA70)))</formula>
    </cfRule>
  </conditionalFormatting>
  <conditionalFormatting sqref="BB70">
    <cfRule type="containsText" dxfId="1283" priority="639" operator="containsText" text="RIESGO EXTREMO">
      <formula>NOT(ISERROR(SEARCH("RIESGO EXTREMO",BB70)))</formula>
    </cfRule>
    <cfRule type="containsText" dxfId="1282" priority="640" operator="containsText" text="RIESGO ALTO">
      <formula>NOT(ISERROR(SEARCH("RIESGO ALTO",BB70)))</formula>
    </cfRule>
    <cfRule type="containsText" dxfId="1281" priority="641" operator="containsText" text="RIESGO MODERADO">
      <formula>NOT(ISERROR(SEARCH("RIESGO MODERADO",BB70)))</formula>
    </cfRule>
    <cfRule type="containsText" dxfId="1280" priority="642" operator="containsText" text="RIESGO BAJO">
      <formula>NOT(ISERROR(SEARCH("RIESGO BAJO",BB70)))</formula>
    </cfRule>
  </conditionalFormatting>
  <conditionalFormatting sqref="BC70">
    <cfRule type="containsText" dxfId="1279" priority="635" operator="containsText" text="RIESGO EXTREMO">
      <formula>NOT(ISERROR(SEARCH("RIESGO EXTREMO",BC70)))</formula>
    </cfRule>
    <cfRule type="containsText" dxfId="1278" priority="636" operator="containsText" text="RIESGO ALTO">
      <formula>NOT(ISERROR(SEARCH("RIESGO ALTO",BC70)))</formula>
    </cfRule>
    <cfRule type="containsText" dxfId="1277" priority="637" operator="containsText" text="RIESGO MODERADO">
      <formula>NOT(ISERROR(SEARCH("RIESGO MODERADO",BC70)))</formula>
    </cfRule>
    <cfRule type="containsText" dxfId="1276" priority="638" operator="containsText" text="RIESGO BAJO">
      <formula>NOT(ISERROR(SEARCH("RIESGO BAJO",BC70)))</formula>
    </cfRule>
  </conditionalFormatting>
  <conditionalFormatting sqref="BD70">
    <cfRule type="containsText" dxfId="1275" priority="631" operator="containsText" text="RIESGO EXTREMO">
      <formula>NOT(ISERROR(SEARCH("RIESGO EXTREMO",BD70)))</formula>
    </cfRule>
    <cfRule type="containsText" dxfId="1274" priority="632" operator="containsText" text="RIESGO ALTO">
      <formula>NOT(ISERROR(SEARCH("RIESGO ALTO",BD70)))</formula>
    </cfRule>
    <cfRule type="containsText" dxfId="1273" priority="633" operator="containsText" text="RIESGO MODERADO">
      <formula>NOT(ISERROR(SEARCH("RIESGO MODERADO",BD70)))</formula>
    </cfRule>
    <cfRule type="containsText" dxfId="1272" priority="634" operator="containsText" text="RIESGO BAJO">
      <formula>NOT(ISERROR(SEARCH("RIESGO BAJO",BD70)))</formula>
    </cfRule>
  </conditionalFormatting>
  <conditionalFormatting sqref="BE70">
    <cfRule type="containsText" dxfId="1271" priority="627" operator="containsText" text="RIESGO EXTREMO">
      <formula>NOT(ISERROR(SEARCH("RIESGO EXTREMO",BE70)))</formula>
    </cfRule>
    <cfRule type="containsText" dxfId="1270" priority="628" operator="containsText" text="RIESGO ALTO">
      <formula>NOT(ISERROR(SEARCH("RIESGO ALTO",BE70)))</formula>
    </cfRule>
    <cfRule type="containsText" dxfId="1269" priority="629" operator="containsText" text="RIESGO MODERADO">
      <formula>NOT(ISERROR(SEARCH("RIESGO MODERADO",BE70)))</formula>
    </cfRule>
    <cfRule type="containsText" dxfId="1268" priority="630" operator="containsText" text="RIESGO BAJO">
      <formula>NOT(ISERROR(SEARCH("RIESGO BAJO",BE70)))</formula>
    </cfRule>
  </conditionalFormatting>
  <conditionalFormatting sqref="BF70">
    <cfRule type="containsText" dxfId="1267" priority="623" operator="containsText" text="RIESGO EXTREMO">
      <formula>NOT(ISERROR(SEARCH("RIESGO EXTREMO",BF70)))</formula>
    </cfRule>
    <cfRule type="containsText" dxfId="1266" priority="624" operator="containsText" text="RIESGO ALTO">
      <formula>NOT(ISERROR(SEARCH("RIESGO ALTO",BF70)))</formula>
    </cfRule>
    <cfRule type="containsText" dxfId="1265" priority="625" operator="containsText" text="RIESGO MODERADO">
      <formula>NOT(ISERROR(SEARCH("RIESGO MODERADO",BF70)))</formula>
    </cfRule>
    <cfRule type="containsText" dxfId="1264" priority="626" operator="containsText" text="RIESGO BAJO">
      <formula>NOT(ISERROR(SEARCH("RIESGO BAJO",BF70)))</formula>
    </cfRule>
  </conditionalFormatting>
  <conditionalFormatting sqref="BG70">
    <cfRule type="containsText" dxfId="1263" priority="619" operator="containsText" text="RIESGO EXTREMO">
      <formula>NOT(ISERROR(SEARCH("RIESGO EXTREMO",BG70)))</formula>
    </cfRule>
    <cfRule type="containsText" dxfId="1262" priority="620" operator="containsText" text="RIESGO ALTO">
      <formula>NOT(ISERROR(SEARCH("RIESGO ALTO",BG70)))</formula>
    </cfRule>
    <cfRule type="containsText" dxfId="1261" priority="621" operator="containsText" text="RIESGO MODERADO">
      <formula>NOT(ISERROR(SEARCH("RIESGO MODERADO",BG70)))</formula>
    </cfRule>
    <cfRule type="containsText" dxfId="1260" priority="622" operator="containsText" text="RIESGO BAJO">
      <formula>NOT(ISERROR(SEARCH("RIESGO BAJO",BG70)))</formula>
    </cfRule>
  </conditionalFormatting>
  <conditionalFormatting sqref="BH70">
    <cfRule type="containsText" dxfId="1259" priority="615" operator="containsText" text="RIESGO EXTREMO">
      <formula>NOT(ISERROR(SEARCH("RIESGO EXTREMO",BH70)))</formula>
    </cfRule>
    <cfRule type="containsText" dxfId="1258" priority="616" operator="containsText" text="RIESGO ALTO">
      <formula>NOT(ISERROR(SEARCH("RIESGO ALTO",BH70)))</formula>
    </cfRule>
    <cfRule type="containsText" dxfId="1257" priority="617" operator="containsText" text="RIESGO MODERADO">
      <formula>NOT(ISERROR(SEARCH("RIESGO MODERADO",BH70)))</formula>
    </cfRule>
    <cfRule type="containsText" dxfId="1256" priority="618" operator="containsText" text="RIESGO BAJO">
      <formula>NOT(ISERROR(SEARCH("RIESGO BAJO",BH70)))</formula>
    </cfRule>
  </conditionalFormatting>
  <conditionalFormatting sqref="BJ70">
    <cfRule type="containsText" dxfId="1255" priority="611" operator="containsText" text="RIESGO EXTREMO">
      <formula>NOT(ISERROR(SEARCH("RIESGO EXTREMO",BJ70)))</formula>
    </cfRule>
    <cfRule type="containsText" dxfId="1254" priority="612" operator="containsText" text="RIESGO ALTO">
      <formula>NOT(ISERROR(SEARCH("RIESGO ALTO",BJ70)))</formula>
    </cfRule>
    <cfRule type="containsText" dxfId="1253" priority="613" operator="containsText" text="RIESGO MODERADO">
      <formula>NOT(ISERROR(SEARCH("RIESGO MODERADO",BJ70)))</formula>
    </cfRule>
    <cfRule type="containsText" dxfId="1252" priority="614" operator="containsText" text="RIESGO BAJO">
      <formula>NOT(ISERROR(SEARCH("RIESGO BAJO",BJ70)))</formula>
    </cfRule>
  </conditionalFormatting>
  <conditionalFormatting sqref="BI70">
    <cfRule type="containsText" dxfId="1251" priority="607" operator="containsText" text="RIESGO EXTREMO">
      <formula>NOT(ISERROR(SEARCH("RIESGO EXTREMO",BI70)))</formula>
    </cfRule>
    <cfRule type="containsText" dxfId="1250" priority="608" operator="containsText" text="RIESGO ALTO">
      <formula>NOT(ISERROR(SEARCH("RIESGO ALTO",BI70)))</formula>
    </cfRule>
    <cfRule type="containsText" dxfId="1249" priority="609" operator="containsText" text="RIESGO MODERADO">
      <formula>NOT(ISERROR(SEARCH("RIESGO MODERADO",BI70)))</formula>
    </cfRule>
    <cfRule type="containsText" dxfId="1248" priority="610" operator="containsText" text="RIESGO BAJO">
      <formula>NOT(ISERROR(SEARCH("RIESGO BAJO",BI70)))</formula>
    </cfRule>
  </conditionalFormatting>
  <conditionalFormatting sqref="Q70">
    <cfRule type="containsText" dxfId="1247" priority="603" operator="containsText" text="RIESGO EXTREMO">
      <formula>NOT(ISERROR(SEARCH("RIESGO EXTREMO",Q70)))</formula>
    </cfRule>
    <cfRule type="containsText" dxfId="1246" priority="604" operator="containsText" text="RIESGO ALTO">
      <formula>NOT(ISERROR(SEARCH("RIESGO ALTO",Q70)))</formula>
    </cfRule>
    <cfRule type="containsText" dxfId="1245" priority="605" operator="containsText" text="RIESGO MODERADO">
      <formula>NOT(ISERROR(SEARCH("RIESGO MODERADO",Q70)))</formula>
    </cfRule>
    <cfRule type="containsText" dxfId="1244" priority="606" operator="containsText" text="RIESGO BAJO">
      <formula>NOT(ISERROR(SEARCH("RIESGO BAJO",Q70)))</formula>
    </cfRule>
  </conditionalFormatting>
  <conditionalFormatting sqref="BB93:BB94 BE93:BE94">
    <cfRule type="containsText" dxfId="1187" priority="471" operator="containsText" text="RIESGO EXTREMO">
      <formula>NOT(ISERROR(SEARCH("RIESGO EXTREMO",BB93)))</formula>
    </cfRule>
    <cfRule type="containsText" dxfId="1186" priority="472" operator="containsText" text="RIESGO ALTO">
      <formula>NOT(ISERROR(SEARCH("RIESGO ALTO",BB93)))</formula>
    </cfRule>
    <cfRule type="containsText" dxfId="1185" priority="473" operator="containsText" text="RIESGO MODERADO">
      <formula>NOT(ISERROR(SEARCH("RIESGO MODERADO",BB93)))</formula>
    </cfRule>
    <cfRule type="containsText" dxfId="1184" priority="474" operator="containsText" text="RIESGO BAJO">
      <formula>NOT(ISERROR(SEARCH("RIESGO BAJO",BB93)))</formula>
    </cfRule>
  </conditionalFormatting>
  <conditionalFormatting sqref="BC94">
    <cfRule type="containsText" dxfId="1153" priority="463" operator="containsText" text="RIESGO EXTREMO">
      <formula>NOT(ISERROR(SEARCH("RIESGO EXTREMO",BC94)))</formula>
    </cfRule>
    <cfRule type="containsText" dxfId="1152" priority="464" operator="containsText" text="RIESGO ALTO">
      <formula>NOT(ISERROR(SEARCH("RIESGO ALTO",BC94)))</formula>
    </cfRule>
    <cfRule type="containsText" dxfId="1151" priority="465" operator="containsText" text="RIESGO MODERADO">
      <formula>NOT(ISERROR(SEARCH("RIESGO MODERADO",BC94)))</formula>
    </cfRule>
    <cfRule type="containsText" dxfId="1150" priority="466" operator="containsText" text="RIESGO BAJO">
      <formula>NOT(ISERROR(SEARCH("RIESGO BAJO",BC94)))</formula>
    </cfRule>
  </conditionalFormatting>
  <conditionalFormatting sqref="Q93:Q94 BF93">
    <cfRule type="containsText" dxfId="1133" priority="485" operator="containsText" text="RIESGO EXTREMO">
      <formula>NOT(ISERROR(SEARCH("RIESGO EXTREMO",Q93)))</formula>
    </cfRule>
    <cfRule type="containsText" dxfId="1132" priority="486" operator="containsText" text="RIESGO ALTO">
      <formula>NOT(ISERROR(SEARCH("RIESGO ALTO",Q93)))</formula>
    </cfRule>
    <cfRule type="containsText" dxfId="1131" priority="487" operator="containsText" text="RIESGO MODERADO">
      <formula>NOT(ISERROR(SEARCH("RIESGO MODERADO",Q93)))</formula>
    </cfRule>
    <cfRule type="containsText" dxfId="1130" priority="488" operator="containsText" text="RIESGO BAJO">
      <formula>NOT(ISERROR(SEARCH("RIESGO BAJO",Q93)))</formula>
    </cfRule>
  </conditionalFormatting>
  <conditionalFormatting sqref="I93:I94">
    <cfRule type="expression" dxfId="1129" priority="484">
      <formula>EXACT(F93,"Seguridad_de_la_informacion")</formula>
    </cfRule>
  </conditionalFormatting>
  <conditionalFormatting sqref="AZ93:BA93">
    <cfRule type="containsText" dxfId="1128" priority="479" operator="containsText" text="RIESGO EXTREMO">
      <formula>NOT(ISERROR(SEARCH("RIESGO EXTREMO",AZ93)))</formula>
    </cfRule>
    <cfRule type="containsText" dxfId="1127" priority="480" operator="containsText" text="RIESGO ALTO">
      <formula>NOT(ISERROR(SEARCH("RIESGO ALTO",AZ93)))</formula>
    </cfRule>
    <cfRule type="containsText" dxfId="1126" priority="481" operator="containsText" text="RIESGO MODERADO">
      <formula>NOT(ISERROR(SEARCH("RIESGO MODERADO",AZ93)))</formula>
    </cfRule>
    <cfRule type="containsText" dxfId="1125" priority="482" operator="containsText" text="RIESGO BAJO">
      <formula>NOT(ISERROR(SEARCH("RIESGO BAJO",AZ93)))</formula>
    </cfRule>
  </conditionalFormatting>
  <conditionalFormatting sqref="BC93">
    <cfRule type="containsText" dxfId="1124" priority="467" operator="containsText" text="RIESGO EXTREMO">
      <formula>NOT(ISERROR(SEARCH("RIESGO EXTREMO",BC93)))</formula>
    </cfRule>
    <cfRule type="containsText" dxfId="1123" priority="468" operator="containsText" text="RIESGO ALTO">
      <formula>NOT(ISERROR(SEARCH("RIESGO ALTO",BC93)))</formula>
    </cfRule>
    <cfRule type="containsText" dxfId="1122" priority="469" operator="containsText" text="RIESGO MODERADO">
      <formula>NOT(ISERROR(SEARCH("RIESGO MODERADO",BC93)))</formula>
    </cfRule>
    <cfRule type="containsText" dxfId="1121" priority="470" operator="containsText" text="RIESGO BAJO">
      <formula>NOT(ISERROR(SEARCH("RIESGO BAJO",BC93)))</formula>
    </cfRule>
  </conditionalFormatting>
  <conditionalFormatting sqref="BG93:BJ93">
    <cfRule type="containsText" dxfId="1120" priority="459" operator="containsText" text="RIESGO EXTREMO">
      <formula>NOT(ISERROR(SEARCH("RIESGO EXTREMO",BG93)))</formula>
    </cfRule>
    <cfRule type="containsText" dxfId="1119" priority="460" operator="containsText" text="RIESGO ALTO">
      <formula>NOT(ISERROR(SEARCH("RIESGO ALTO",BG93)))</formula>
    </cfRule>
    <cfRule type="containsText" dxfId="1118" priority="461" operator="containsText" text="RIESGO MODERADO">
      <formula>NOT(ISERROR(SEARCH("RIESGO MODERADO",BG93)))</formula>
    </cfRule>
    <cfRule type="containsText" dxfId="1117" priority="462" operator="containsText" text="RIESGO BAJO">
      <formula>NOT(ISERROR(SEARCH("RIESGO BAJO",BG93)))</formula>
    </cfRule>
  </conditionalFormatting>
  <conditionalFormatting sqref="BH94:BI94">
    <cfRule type="containsText" dxfId="1116" priority="455" operator="containsText" text="RIESGO EXTREMO">
      <formula>NOT(ISERROR(SEARCH("RIESGO EXTREMO",BH94)))</formula>
    </cfRule>
    <cfRule type="containsText" dxfId="1115" priority="456" operator="containsText" text="RIESGO ALTO">
      <formula>NOT(ISERROR(SEARCH("RIESGO ALTO",BH94)))</formula>
    </cfRule>
    <cfRule type="containsText" dxfId="1114" priority="457" operator="containsText" text="RIESGO MODERADO">
      <formula>NOT(ISERROR(SEARCH("RIESGO MODERADO",BH94)))</formula>
    </cfRule>
    <cfRule type="containsText" dxfId="1113" priority="458" operator="containsText" text="RIESGO BAJO">
      <formula>NOT(ISERROR(SEARCH("RIESGO BAJO",BH94)))</formula>
    </cfRule>
  </conditionalFormatting>
  <conditionalFormatting sqref="BG94">
    <cfRule type="containsText" dxfId="1112" priority="451" operator="containsText" text="RIESGO EXTREMO">
      <formula>NOT(ISERROR(SEARCH("RIESGO EXTREMO",BG94)))</formula>
    </cfRule>
    <cfRule type="containsText" dxfId="1111" priority="452" operator="containsText" text="RIESGO ALTO">
      <formula>NOT(ISERROR(SEARCH("RIESGO ALTO",BG94)))</formula>
    </cfRule>
    <cfRule type="containsText" dxfId="1110" priority="453" operator="containsText" text="RIESGO MODERADO">
      <formula>NOT(ISERROR(SEARCH("RIESGO MODERADO",BG94)))</formula>
    </cfRule>
    <cfRule type="containsText" dxfId="1109" priority="454" operator="containsText" text="RIESGO BAJO">
      <formula>NOT(ISERROR(SEARCH("RIESGO BAJO",BG94)))</formula>
    </cfRule>
  </conditionalFormatting>
  <conditionalFormatting sqref="BJ94">
    <cfRule type="containsText" dxfId="1108" priority="447" operator="containsText" text="RIESGO EXTREMO">
      <formula>NOT(ISERROR(SEARCH("RIESGO EXTREMO",BJ94)))</formula>
    </cfRule>
    <cfRule type="containsText" dxfId="1107" priority="448" operator="containsText" text="RIESGO ALTO">
      <formula>NOT(ISERROR(SEARCH("RIESGO ALTO",BJ94)))</formula>
    </cfRule>
    <cfRule type="containsText" dxfId="1106" priority="449" operator="containsText" text="RIESGO MODERADO">
      <formula>NOT(ISERROR(SEARCH("RIESGO MODERADO",BJ94)))</formula>
    </cfRule>
    <cfRule type="containsText" dxfId="1105" priority="450" operator="containsText" text="RIESGO BAJO">
      <formula>NOT(ISERROR(SEARCH("RIESGO BAJO",BJ94)))</formula>
    </cfRule>
  </conditionalFormatting>
  <conditionalFormatting sqref="I95:I96">
    <cfRule type="expression" dxfId="1104" priority="446">
      <formula>EXACT(F95,"Seguridad_de_la_informacion")</formula>
    </cfRule>
  </conditionalFormatting>
  <conditionalFormatting sqref="J95:J98">
    <cfRule type="expression" dxfId="1103" priority="445">
      <formula>EXACT(F95,"Seguridad_de_la_informacion")</formula>
    </cfRule>
  </conditionalFormatting>
  <conditionalFormatting sqref="AZ95:BA95 AZ96:AZ97">
    <cfRule type="containsText" dxfId="1102" priority="441" operator="containsText" text="RIESGO EXTREMO">
      <formula>NOT(ISERROR(SEARCH("RIESGO EXTREMO",AZ95)))</formula>
    </cfRule>
    <cfRule type="containsText" dxfId="1101" priority="442" operator="containsText" text="RIESGO ALTO">
      <formula>NOT(ISERROR(SEARCH("RIESGO ALTO",AZ95)))</formula>
    </cfRule>
    <cfRule type="containsText" dxfId="1100" priority="443" operator="containsText" text="RIESGO MODERADO">
      <formula>NOT(ISERROR(SEARCH("RIESGO MODERADO",AZ95)))</formula>
    </cfRule>
    <cfRule type="containsText" dxfId="1099" priority="444" operator="containsText" text="RIESGO BAJO">
      <formula>NOT(ISERROR(SEARCH("RIESGO BAJO",AZ95)))</formula>
    </cfRule>
  </conditionalFormatting>
  <conditionalFormatting sqref="Q95:Q97">
    <cfRule type="containsText" dxfId="1094" priority="433" operator="containsText" text="RIESGO EXTREMO">
      <formula>NOT(ISERROR(SEARCH("RIESGO EXTREMO",Q95)))</formula>
    </cfRule>
    <cfRule type="containsText" dxfId="1093" priority="434" operator="containsText" text="RIESGO ALTO">
      <formula>NOT(ISERROR(SEARCH("RIESGO ALTO",Q95)))</formula>
    </cfRule>
    <cfRule type="containsText" dxfId="1092" priority="435" operator="containsText" text="RIESGO MODERADO">
      <formula>NOT(ISERROR(SEARCH("RIESGO MODERADO",Q95)))</formula>
    </cfRule>
    <cfRule type="containsText" dxfId="1091" priority="436" operator="containsText" text="RIESGO BAJO">
      <formula>NOT(ISERROR(SEARCH("RIESGO BAJO",Q95)))</formula>
    </cfRule>
  </conditionalFormatting>
  <conditionalFormatting sqref="BE95:BE98">
    <cfRule type="containsText" dxfId="1090" priority="429" operator="containsText" text="RIESGO EXTREMO">
      <formula>NOT(ISERROR(SEARCH("RIESGO EXTREMO",BE95)))</formula>
    </cfRule>
    <cfRule type="containsText" dxfId="1089" priority="430" operator="containsText" text="RIESGO ALTO">
      <formula>NOT(ISERROR(SEARCH("RIESGO ALTO",BE95)))</formula>
    </cfRule>
    <cfRule type="containsText" dxfId="1088" priority="431" operator="containsText" text="RIESGO MODERADO">
      <formula>NOT(ISERROR(SEARCH("RIESGO MODERADO",BE95)))</formula>
    </cfRule>
    <cfRule type="containsText" dxfId="1087" priority="432" operator="containsText" text="RIESGO BAJO">
      <formula>NOT(ISERROR(SEARCH("RIESGO BAJO",BE95)))</formula>
    </cfRule>
  </conditionalFormatting>
  <conditionalFormatting sqref="BB95:BC95 BB98:BD98 BD96">
    <cfRule type="containsText" dxfId="1086" priority="425" operator="containsText" text="RIESGO EXTREMO">
      <formula>NOT(ISERROR(SEARCH("RIESGO EXTREMO",BB95)))</formula>
    </cfRule>
    <cfRule type="containsText" dxfId="1085" priority="426" operator="containsText" text="RIESGO ALTO">
      <formula>NOT(ISERROR(SEARCH("RIESGO ALTO",BB95)))</formula>
    </cfRule>
    <cfRule type="containsText" dxfId="1084" priority="427" operator="containsText" text="RIESGO MODERADO">
      <formula>NOT(ISERROR(SEARCH("RIESGO MODERADO",BB95)))</formula>
    </cfRule>
    <cfRule type="containsText" dxfId="1083" priority="428" operator="containsText" text="RIESGO BAJO">
      <formula>NOT(ISERROR(SEARCH("RIESGO BAJO",BB95)))</formula>
    </cfRule>
  </conditionalFormatting>
  <conditionalFormatting sqref="BG95:BJ95 BG97:BH97 BI98">
    <cfRule type="containsText" dxfId="1082" priority="421" operator="containsText" text="RIESGO EXTREMO">
      <formula>NOT(ISERROR(SEARCH("RIESGO EXTREMO",BG95)))</formula>
    </cfRule>
    <cfRule type="containsText" dxfId="1081" priority="422" operator="containsText" text="RIESGO ALTO">
      <formula>NOT(ISERROR(SEARCH("RIESGO ALTO",BG95)))</formula>
    </cfRule>
    <cfRule type="containsText" dxfId="1080" priority="423" operator="containsText" text="RIESGO MODERADO">
      <formula>NOT(ISERROR(SEARCH("RIESGO MODERADO",BG95)))</formula>
    </cfRule>
    <cfRule type="containsText" dxfId="1079" priority="424" operator="containsText" text="RIESGO BAJO">
      <formula>NOT(ISERROR(SEARCH("RIESGO BAJO",BG95)))</formula>
    </cfRule>
  </conditionalFormatting>
  <conditionalFormatting sqref="BH96">
    <cfRule type="containsText" dxfId="1078" priority="417" operator="containsText" text="RIESGO EXTREMO">
      <formula>NOT(ISERROR(SEARCH("RIESGO EXTREMO",BH96)))</formula>
    </cfRule>
    <cfRule type="containsText" dxfId="1077" priority="418" operator="containsText" text="RIESGO ALTO">
      <formula>NOT(ISERROR(SEARCH("RIESGO ALTO",BH96)))</formula>
    </cfRule>
    <cfRule type="containsText" dxfId="1076" priority="419" operator="containsText" text="RIESGO MODERADO">
      <formula>NOT(ISERROR(SEARCH("RIESGO MODERADO",BH96)))</formula>
    </cfRule>
    <cfRule type="containsText" dxfId="1075" priority="420" operator="containsText" text="RIESGO BAJO">
      <formula>NOT(ISERROR(SEARCH("RIESGO BAJO",BH96)))</formula>
    </cfRule>
  </conditionalFormatting>
  <conditionalFormatting sqref="BG98">
    <cfRule type="containsText" dxfId="1074" priority="413" operator="containsText" text="RIESGO EXTREMO">
      <formula>NOT(ISERROR(SEARCH("RIESGO EXTREMO",BG98)))</formula>
    </cfRule>
    <cfRule type="containsText" dxfId="1073" priority="414" operator="containsText" text="RIESGO ALTO">
      <formula>NOT(ISERROR(SEARCH("RIESGO ALTO",BG98)))</formula>
    </cfRule>
    <cfRule type="containsText" dxfId="1072" priority="415" operator="containsText" text="RIESGO MODERADO">
      <formula>NOT(ISERROR(SEARCH("RIESGO MODERADO",BG98)))</formula>
    </cfRule>
    <cfRule type="containsText" dxfId="1071" priority="416" operator="containsText" text="RIESGO BAJO">
      <formula>NOT(ISERROR(SEARCH("RIESGO BAJO",BG98)))</formula>
    </cfRule>
  </conditionalFormatting>
  <conditionalFormatting sqref="BH98">
    <cfRule type="containsText" dxfId="1070" priority="409" operator="containsText" text="RIESGO EXTREMO">
      <formula>NOT(ISERROR(SEARCH("RIESGO EXTREMO",BH98)))</formula>
    </cfRule>
    <cfRule type="containsText" dxfId="1069" priority="410" operator="containsText" text="RIESGO ALTO">
      <formula>NOT(ISERROR(SEARCH("RIESGO ALTO",BH98)))</formula>
    </cfRule>
    <cfRule type="containsText" dxfId="1068" priority="411" operator="containsText" text="RIESGO MODERADO">
      <formula>NOT(ISERROR(SEARCH("RIESGO MODERADO",BH98)))</formula>
    </cfRule>
    <cfRule type="containsText" dxfId="1067" priority="412" operator="containsText" text="RIESGO BAJO">
      <formula>NOT(ISERROR(SEARCH("RIESGO BAJO",BH98)))</formula>
    </cfRule>
  </conditionalFormatting>
  <conditionalFormatting sqref="Q56">
    <cfRule type="containsText" dxfId="1066" priority="405" operator="containsText" text="RIESGO EXTREMO">
      <formula>NOT(ISERROR(SEARCH("RIESGO EXTREMO",Q56)))</formula>
    </cfRule>
    <cfRule type="containsText" dxfId="1065" priority="406" operator="containsText" text="RIESGO ALTO">
      <formula>NOT(ISERROR(SEARCH("RIESGO ALTO",Q56)))</formula>
    </cfRule>
    <cfRule type="containsText" dxfId="1064" priority="407" operator="containsText" text="RIESGO MODERADO">
      <formula>NOT(ISERROR(SEARCH("RIESGO MODERADO",Q56)))</formula>
    </cfRule>
    <cfRule type="containsText" dxfId="1063" priority="408" operator="containsText" text="RIESGO BAJO">
      <formula>NOT(ISERROR(SEARCH("RIESGO BAJO",Q56)))</formula>
    </cfRule>
  </conditionalFormatting>
  <conditionalFormatting sqref="AZ56">
    <cfRule type="containsText" dxfId="1062" priority="351" operator="containsText" text="RIESGO EXTREMO">
      <formula>NOT(ISERROR(SEARCH("RIESGO EXTREMO",AZ56)))</formula>
    </cfRule>
    <cfRule type="containsText" dxfId="1061" priority="352" operator="containsText" text="RIESGO ALTO">
      <formula>NOT(ISERROR(SEARCH("RIESGO ALTO",AZ56)))</formula>
    </cfRule>
    <cfRule type="containsText" dxfId="1060" priority="353" operator="containsText" text="RIESGO MODERADO">
      <formula>NOT(ISERROR(SEARCH("RIESGO MODERADO",AZ56)))</formula>
    </cfRule>
    <cfRule type="containsText" dxfId="1059" priority="354" operator="containsText" text="RIESGO BAJO">
      <formula>NOT(ISERROR(SEARCH("RIESGO BAJO",AZ56)))</formula>
    </cfRule>
  </conditionalFormatting>
  <conditionalFormatting sqref="BA56">
    <cfRule type="containsText" dxfId="1058" priority="347" operator="containsText" text="RIESGO EXTREMO">
      <formula>NOT(ISERROR(SEARCH("RIESGO EXTREMO",BA56)))</formula>
    </cfRule>
    <cfRule type="containsText" dxfId="1057" priority="348" operator="containsText" text="RIESGO ALTO">
      <formula>NOT(ISERROR(SEARCH("RIESGO ALTO",BA56)))</formula>
    </cfRule>
    <cfRule type="containsText" dxfId="1056" priority="349" operator="containsText" text="RIESGO MODERADO">
      <formula>NOT(ISERROR(SEARCH("RIESGO MODERADO",BA56)))</formula>
    </cfRule>
    <cfRule type="containsText" dxfId="1055" priority="350" operator="containsText" text="RIESGO BAJO">
      <formula>NOT(ISERROR(SEARCH("RIESGO BAJO",BA56)))</formula>
    </cfRule>
  </conditionalFormatting>
  <conditionalFormatting sqref="BB56">
    <cfRule type="containsText" dxfId="1054" priority="343" operator="containsText" text="RIESGO EXTREMO">
      <formula>NOT(ISERROR(SEARCH("RIESGO EXTREMO",BB56)))</formula>
    </cfRule>
    <cfRule type="containsText" dxfId="1053" priority="344" operator="containsText" text="RIESGO ALTO">
      <formula>NOT(ISERROR(SEARCH("RIESGO ALTO",BB56)))</formula>
    </cfRule>
    <cfRule type="containsText" dxfId="1052" priority="345" operator="containsText" text="RIESGO MODERADO">
      <formula>NOT(ISERROR(SEARCH("RIESGO MODERADO",BB56)))</formula>
    </cfRule>
    <cfRule type="containsText" dxfId="1051" priority="346" operator="containsText" text="RIESGO BAJO">
      <formula>NOT(ISERROR(SEARCH("RIESGO BAJO",BB56)))</formula>
    </cfRule>
  </conditionalFormatting>
  <conditionalFormatting sqref="BC56">
    <cfRule type="containsText" dxfId="1050" priority="339" operator="containsText" text="RIESGO EXTREMO">
      <formula>NOT(ISERROR(SEARCH("RIESGO EXTREMO",BC56)))</formula>
    </cfRule>
    <cfRule type="containsText" dxfId="1049" priority="340" operator="containsText" text="RIESGO ALTO">
      <formula>NOT(ISERROR(SEARCH("RIESGO ALTO",BC56)))</formula>
    </cfRule>
    <cfRule type="containsText" dxfId="1048" priority="341" operator="containsText" text="RIESGO MODERADO">
      <formula>NOT(ISERROR(SEARCH("RIESGO MODERADO",BC56)))</formula>
    </cfRule>
    <cfRule type="containsText" dxfId="1047" priority="342" operator="containsText" text="RIESGO BAJO">
      <formula>NOT(ISERROR(SEARCH("RIESGO BAJO",BC56)))</formula>
    </cfRule>
  </conditionalFormatting>
  <conditionalFormatting sqref="BD56">
    <cfRule type="containsText" dxfId="1046" priority="335" operator="containsText" text="RIESGO EXTREMO">
      <formula>NOT(ISERROR(SEARCH("RIESGO EXTREMO",BD56)))</formula>
    </cfRule>
    <cfRule type="containsText" dxfId="1045" priority="336" operator="containsText" text="RIESGO ALTO">
      <formula>NOT(ISERROR(SEARCH("RIESGO ALTO",BD56)))</formula>
    </cfRule>
    <cfRule type="containsText" dxfId="1044" priority="337" operator="containsText" text="RIESGO MODERADO">
      <formula>NOT(ISERROR(SEARCH("RIESGO MODERADO",BD56)))</formula>
    </cfRule>
    <cfRule type="containsText" dxfId="1043" priority="338" operator="containsText" text="RIESGO BAJO">
      <formula>NOT(ISERROR(SEARCH("RIESGO BAJO",BD56)))</formula>
    </cfRule>
  </conditionalFormatting>
  <conditionalFormatting sqref="BE56">
    <cfRule type="containsText" dxfId="1042" priority="331" operator="containsText" text="RIESGO EXTREMO">
      <formula>NOT(ISERROR(SEARCH("RIESGO EXTREMO",BE56)))</formula>
    </cfRule>
    <cfRule type="containsText" dxfId="1041" priority="332" operator="containsText" text="RIESGO ALTO">
      <formula>NOT(ISERROR(SEARCH("RIESGO ALTO",BE56)))</formula>
    </cfRule>
    <cfRule type="containsText" dxfId="1040" priority="333" operator="containsText" text="RIESGO MODERADO">
      <formula>NOT(ISERROR(SEARCH("RIESGO MODERADO",BE56)))</formula>
    </cfRule>
    <cfRule type="containsText" dxfId="1039" priority="334" operator="containsText" text="RIESGO BAJO">
      <formula>NOT(ISERROR(SEARCH("RIESGO BAJO",BE56)))</formula>
    </cfRule>
  </conditionalFormatting>
  <conditionalFormatting sqref="BF56">
    <cfRule type="containsText" dxfId="1038" priority="327" operator="containsText" text="RIESGO EXTREMO">
      <formula>NOT(ISERROR(SEARCH("RIESGO EXTREMO",BF56)))</formula>
    </cfRule>
    <cfRule type="containsText" dxfId="1037" priority="328" operator="containsText" text="RIESGO ALTO">
      <formula>NOT(ISERROR(SEARCH("RIESGO ALTO",BF56)))</formula>
    </cfRule>
    <cfRule type="containsText" dxfId="1036" priority="329" operator="containsText" text="RIESGO MODERADO">
      <formula>NOT(ISERROR(SEARCH("RIESGO MODERADO",BF56)))</formula>
    </cfRule>
    <cfRule type="containsText" dxfId="1035" priority="330" operator="containsText" text="RIESGO BAJO">
      <formula>NOT(ISERROR(SEARCH("RIESGO BAJO",BF56)))</formula>
    </cfRule>
  </conditionalFormatting>
  <conditionalFormatting sqref="BG56">
    <cfRule type="containsText" dxfId="1034" priority="323" operator="containsText" text="RIESGO EXTREMO">
      <formula>NOT(ISERROR(SEARCH("RIESGO EXTREMO",BG56)))</formula>
    </cfRule>
    <cfRule type="containsText" dxfId="1033" priority="324" operator="containsText" text="RIESGO ALTO">
      <formula>NOT(ISERROR(SEARCH("RIESGO ALTO",BG56)))</formula>
    </cfRule>
    <cfRule type="containsText" dxfId="1032" priority="325" operator="containsText" text="RIESGO MODERADO">
      <formula>NOT(ISERROR(SEARCH("RIESGO MODERADO",BG56)))</formula>
    </cfRule>
    <cfRule type="containsText" dxfId="1031" priority="326" operator="containsText" text="RIESGO BAJO">
      <formula>NOT(ISERROR(SEARCH("RIESGO BAJO",BG56)))</formula>
    </cfRule>
  </conditionalFormatting>
  <conditionalFormatting sqref="BH56">
    <cfRule type="containsText" dxfId="1030" priority="319" operator="containsText" text="RIESGO EXTREMO">
      <formula>NOT(ISERROR(SEARCH("RIESGO EXTREMO",BH56)))</formula>
    </cfRule>
    <cfRule type="containsText" dxfId="1029" priority="320" operator="containsText" text="RIESGO ALTO">
      <formula>NOT(ISERROR(SEARCH("RIESGO ALTO",BH56)))</formula>
    </cfRule>
    <cfRule type="containsText" dxfId="1028" priority="321" operator="containsText" text="RIESGO MODERADO">
      <formula>NOT(ISERROR(SEARCH("RIESGO MODERADO",BH56)))</formula>
    </cfRule>
    <cfRule type="containsText" dxfId="1027" priority="322" operator="containsText" text="RIESGO BAJO">
      <formula>NOT(ISERROR(SEARCH("RIESGO BAJO",BH56)))</formula>
    </cfRule>
  </conditionalFormatting>
  <conditionalFormatting sqref="BJ56">
    <cfRule type="containsText" dxfId="1026" priority="315" operator="containsText" text="RIESGO EXTREMO">
      <formula>NOT(ISERROR(SEARCH("RIESGO EXTREMO",BJ56)))</formula>
    </cfRule>
    <cfRule type="containsText" dxfId="1025" priority="316" operator="containsText" text="RIESGO ALTO">
      <formula>NOT(ISERROR(SEARCH("RIESGO ALTO",BJ56)))</formula>
    </cfRule>
    <cfRule type="containsText" dxfId="1024" priority="317" operator="containsText" text="RIESGO MODERADO">
      <formula>NOT(ISERROR(SEARCH("RIESGO MODERADO",BJ56)))</formula>
    </cfRule>
    <cfRule type="containsText" dxfId="1023" priority="318" operator="containsText" text="RIESGO BAJO">
      <formula>NOT(ISERROR(SEARCH("RIESGO BAJO",BJ56)))</formula>
    </cfRule>
  </conditionalFormatting>
  <conditionalFormatting sqref="BI56">
    <cfRule type="containsText" dxfId="1022" priority="311" operator="containsText" text="RIESGO EXTREMO">
      <formula>NOT(ISERROR(SEARCH("RIESGO EXTREMO",BI56)))</formula>
    </cfRule>
    <cfRule type="containsText" dxfId="1021" priority="312" operator="containsText" text="RIESGO ALTO">
      <formula>NOT(ISERROR(SEARCH("RIESGO ALTO",BI56)))</formula>
    </cfRule>
    <cfRule type="containsText" dxfId="1020" priority="313" operator="containsText" text="RIESGO MODERADO">
      <formula>NOT(ISERROR(SEARCH("RIESGO MODERADO",BI56)))</formula>
    </cfRule>
    <cfRule type="containsText" dxfId="1019" priority="314" operator="containsText" text="RIESGO BAJO">
      <formula>NOT(ISERROR(SEARCH("RIESGO BAJO",BI56)))</formula>
    </cfRule>
  </conditionalFormatting>
  <conditionalFormatting sqref="Q58">
    <cfRule type="containsText" dxfId="1018" priority="301" operator="containsText" text="RIESGO EXTREMO">
      <formula>NOT(ISERROR(SEARCH("RIESGO EXTREMO",Q58)))</formula>
    </cfRule>
    <cfRule type="containsText" dxfId="1017" priority="302" operator="containsText" text="RIESGO ALTO">
      <formula>NOT(ISERROR(SEARCH("RIESGO ALTO",Q58)))</formula>
    </cfRule>
    <cfRule type="containsText" dxfId="1016" priority="303" operator="containsText" text="RIESGO MODERADO">
      <formula>NOT(ISERROR(SEARCH("RIESGO MODERADO",Q58)))</formula>
    </cfRule>
    <cfRule type="containsText" dxfId="1015" priority="304" operator="containsText" text="RIESGO BAJO">
      <formula>NOT(ISERROR(SEARCH("RIESGO BAJO",Q58)))</formula>
    </cfRule>
  </conditionalFormatting>
  <conditionalFormatting sqref="AZ58">
    <cfRule type="containsText" dxfId="1014" priority="209" operator="containsText" text="RIESGO EXTREMO">
      <formula>NOT(ISERROR(SEARCH("RIESGO EXTREMO",AZ58)))</formula>
    </cfRule>
    <cfRule type="containsText" dxfId="1013" priority="210" operator="containsText" text="RIESGO ALTO">
      <formula>NOT(ISERROR(SEARCH("RIESGO ALTO",AZ58)))</formula>
    </cfRule>
    <cfRule type="containsText" dxfId="1012" priority="211" operator="containsText" text="RIESGO MODERADO">
      <formula>NOT(ISERROR(SEARCH("RIESGO MODERADO",AZ58)))</formula>
    </cfRule>
    <cfRule type="containsText" dxfId="1011" priority="212" operator="containsText" text="RIESGO BAJO">
      <formula>NOT(ISERROR(SEARCH("RIESGO BAJO",AZ58)))</formula>
    </cfRule>
  </conditionalFormatting>
  <conditionalFormatting sqref="BA58">
    <cfRule type="containsText" dxfId="1010" priority="205" operator="containsText" text="RIESGO EXTREMO">
      <formula>NOT(ISERROR(SEARCH("RIESGO EXTREMO",BA58)))</formula>
    </cfRule>
    <cfRule type="containsText" dxfId="1009" priority="206" operator="containsText" text="RIESGO ALTO">
      <formula>NOT(ISERROR(SEARCH("RIESGO ALTO",BA58)))</formula>
    </cfRule>
    <cfRule type="containsText" dxfId="1008" priority="207" operator="containsText" text="RIESGO MODERADO">
      <formula>NOT(ISERROR(SEARCH("RIESGO MODERADO",BA58)))</formula>
    </cfRule>
    <cfRule type="containsText" dxfId="1007" priority="208" operator="containsText" text="RIESGO BAJO">
      <formula>NOT(ISERROR(SEARCH("RIESGO BAJO",BA58)))</formula>
    </cfRule>
  </conditionalFormatting>
  <conditionalFormatting sqref="BB58">
    <cfRule type="containsText" dxfId="1006" priority="201" operator="containsText" text="RIESGO EXTREMO">
      <formula>NOT(ISERROR(SEARCH("RIESGO EXTREMO",BB58)))</formula>
    </cfRule>
    <cfRule type="containsText" dxfId="1005" priority="202" operator="containsText" text="RIESGO ALTO">
      <formula>NOT(ISERROR(SEARCH("RIESGO ALTO",BB58)))</formula>
    </cfRule>
    <cfRule type="containsText" dxfId="1004" priority="203" operator="containsText" text="RIESGO MODERADO">
      <formula>NOT(ISERROR(SEARCH("RIESGO MODERADO",BB58)))</formula>
    </cfRule>
    <cfRule type="containsText" dxfId="1003" priority="204" operator="containsText" text="RIESGO BAJO">
      <formula>NOT(ISERROR(SEARCH("RIESGO BAJO",BB58)))</formula>
    </cfRule>
  </conditionalFormatting>
  <conditionalFormatting sqref="BC58">
    <cfRule type="containsText" dxfId="1002" priority="197" operator="containsText" text="RIESGO EXTREMO">
      <formula>NOT(ISERROR(SEARCH("RIESGO EXTREMO",BC58)))</formula>
    </cfRule>
    <cfRule type="containsText" dxfId="1001" priority="198" operator="containsText" text="RIESGO ALTO">
      <formula>NOT(ISERROR(SEARCH("RIESGO ALTO",BC58)))</formula>
    </cfRule>
    <cfRule type="containsText" dxfId="1000" priority="199" operator="containsText" text="RIESGO MODERADO">
      <formula>NOT(ISERROR(SEARCH("RIESGO MODERADO",BC58)))</formula>
    </cfRule>
    <cfRule type="containsText" dxfId="999" priority="200" operator="containsText" text="RIESGO BAJO">
      <formula>NOT(ISERROR(SEARCH("RIESGO BAJO",BC58)))</formula>
    </cfRule>
  </conditionalFormatting>
  <conditionalFormatting sqref="BD58">
    <cfRule type="containsText" dxfId="998" priority="193" operator="containsText" text="RIESGO EXTREMO">
      <formula>NOT(ISERROR(SEARCH("RIESGO EXTREMO",BD58)))</formula>
    </cfRule>
    <cfRule type="containsText" dxfId="997" priority="194" operator="containsText" text="RIESGO ALTO">
      <formula>NOT(ISERROR(SEARCH("RIESGO ALTO",BD58)))</formula>
    </cfRule>
    <cfRule type="containsText" dxfId="996" priority="195" operator="containsText" text="RIESGO MODERADO">
      <formula>NOT(ISERROR(SEARCH("RIESGO MODERADO",BD58)))</formula>
    </cfRule>
    <cfRule type="containsText" dxfId="995" priority="196" operator="containsText" text="RIESGO BAJO">
      <formula>NOT(ISERROR(SEARCH("RIESGO BAJO",BD58)))</formula>
    </cfRule>
  </conditionalFormatting>
  <conditionalFormatting sqref="BE58">
    <cfRule type="containsText" dxfId="994" priority="189" operator="containsText" text="RIESGO EXTREMO">
      <formula>NOT(ISERROR(SEARCH("RIESGO EXTREMO",BE58)))</formula>
    </cfRule>
    <cfRule type="containsText" dxfId="993" priority="190" operator="containsText" text="RIESGO ALTO">
      <formula>NOT(ISERROR(SEARCH("RIESGO ALTO",BE58)))</formula>
    </cfRule>
    <cfRule type="containsText" dxfId="992" priority="191" operator="containsText" text="RIESGO MODERADO">
      <formula>NOT(ISERROR(SEARCH("RIESGO MODERADO",BE58)))</formula>
    </cfRule>
    <cfRule type="containsText" dxfId="991" priority="192" operator="containsText" text="RIESGO BAJO">
      <formula>NOT(ISERROR(SEARCH("RIESGO BAJO",BE58)))</formula>
    </cfRule>
  </conditionalFormatting>
  <conditionalFormatting sqref="BF58">
    <cfRule type="containsText" dxfId="990" priority="185" operator="containsText" text="RIESGO EXTREMO">
      <formula>NOT(ISERROR(SEARCH("RIESGO EXTREMO",BF58)))</formula>
    </cfRule>
    <cfRule type="containsText" dxfId="989" priority="186" operator="containsText" text="RIESGO ALTO">
      <formula>NOT(ISERROR(SEARCH("RIESGO ALTO",BF58)))</formula>
    </cfRule>
    <cfRule type="containsText" dxfId="988" priority="187" operator="containsText" text="RIESGO MODERADO">
      <formula>NOT(ISERROR(SEARCH("RIESGO MODERADO",BF58)))</formula>
    </cfRule>
    <cfRule type="containsText" dxfId="987" priority="188" operator="containsText" text="RIESGO BAJO">
      <formula>NOT(ISERROR(SEARCH("RIESGO BAJO",BF58)))</formula>
    </cfRule>
  </conditionalFormatting>
  <conditionalFormatting sqref="BG58">
    <cfRule type="containsText" dxfId="986" priority="181" operator="containsText" text="RIESGO EXTREMO">
      <formula>NOT(ISERROR(SEARCH("RIESGO EXTREMO",BG58)))</formula>
    </cfRule>
    <cfRule type="containsText" dxfId="985" priority="182" operator="containsText" text="RIESGO ALTO">
      <formula>NOT(ISERROR(SEARCH("RIESGO ALTO",BG58)))</formula>
    </cfRule>
    <cfRule type="containsText" dxfId="984" priority="183" operator="containsText" text="RIESGO MODERADO">
      <formula>NOT(ISERROR(SEARCH("RIESGO MODERADO",BG58)))</formula>
    </cfRule>
    <cfRule type="containsText" dxfId="983" priority="184" operator="containsText" text="RIESGO BAJO">
      <formula>NOT(ISERROR(SEARCH("RIESGO BAJO",BG58)))</formula>
    </cfRule>
  </conditionalFormatting>
  <conditionalFormatting sqref="BH58">
    <cfRule type="containsText" dxfId="982" priority="177" operator="containsText" text="RIESGO EXTREMO">
      <formula>NOT(ISERROR(SEARCH("RIESGO EXTREMO",BH58)))</formula>
    </cfRule>
    <cfRule type="containsText" dxfId="981" priority="178" operator="containsText" text="RIESGO ALTO">
      <formula>NOT(ISERROR(SEARCH("RIESGO ALTO",BH58)))</formula>
    </cfRule>
    <cfRule type="containsText" dxfId="980" priority="179" operator="containsText" text="RIESGO MODERADO">
      <formula>NOT(ISERROR(SEARCH("RIESGO MODERADO",BH58)))</formula>
    </cfRule>
    <cfRule type="containsText" dxfId="979" priority="180" operator="containsText" text="RIESGO BAJO">
      <formula>NOT(ISERROR(SEARCH("RIESGO BAJO",BH58)))</formula>
    </cfRule>
  </conditionalFormatting>
  <conditionalFormatting sqref="BJ58">
    <cfRule type="containsText" dxfId="978" priority="173" operator="containsText" text="RIESGO EXTREMO">
      <formula>NOT(ISERROR(SEARCH("RIESGO EXTREMO",BJ58)))</formula>
    </cfRule>
    <cfRule type="containsText" dxfId="977" priority="174" operator="containsText" text="RIESGO ALTO">
      <formula>NOT(ISERROR(SEARCH("RIESGO ALTO",BJ58)))</formula>
    </cfRule>
    <cfRule type="containsText" dxfId="976" priority="175" operator="containsText" text="RIESGO MODERADO">
      <formula>NOT(ISERROR(SEARCH("RIESGO MODERADO",BJ58)))</formula>
    </cfRule>
    <cfRule type="containsText" dxfId="975" priority="176" operator="containsText" text="RIESGO BAJO">
      <formula>NOT(ISERROR(SEARCH("RIESGO BAJO",BJ58)))</formula>
    </cfRule>
  </conditionalFormatting>
  <conditionalFormatting sqref="BI58">
    <cfRule type="containsText" dxfId="974" priority="169" operator="containsText" text="RIESGO EXTREMO">
      <formula>NOT(ISERROR(SEARCH("RIESGO EXTREMO",BI58)))</formula>
    </cfRule>
    <cfRule type="containsText" dxfId="973" priority="170" operator="containsText" text="RIESGO ALTO">
      <formula>NOT(ISERROR(SEARCH("RIESGO ALTO",BI58)))</formula>
    </cfRule>
    <cfRule type="containsText" dxfId="972" priority="171" operator="containsText" text="RIESGO MODERADO">
      <formula>NOT(ISERROR(SEARCH("RIESGO MODERADO",BI58)))</formula>
    </cfRule>
    <cfRule type="containsText" dxfId="971" priority="172" operator="containsText" text="RIESGO BAJO">
      <formula>NOT(ISERROR(SEARCH("RIESGO BAJO",BI58)))</formula>
    </cfRule>
  </conditionalFormatting>
  <conditionalFormatting sqref="I60:I61">
    <cfRule type="expression" dxfId="970" priority="168">
      <formula>EXACT(F60,"Seguridad_de_la_informacion")</formula>
    </cfRule>
  </conditionalFormatting>
  <conditionalFormatting sqref="J60:J61">
    <cfRule type="expression" dxfId="969" priority="167">
      <formula>EXACT(F60,"Seguridad_de_la_informacion")</formula>
    </cfRule>
  </conditionalFormatting>
  <conditionalFormatting sqref="Q60">
    <cfRule type="containsText" dxfId="968" priority="159" operator="containsText" text="RIESGO EXTREMO">
      <formula>NOT(ISERROR(SEARCH("RIESGO EXTREMO",Q60)))</formula>
    </cfRule>
    <cfRule type="containsText" dxfId="967" priority="160" operator="containsText" text="RIESGO ALTO">
      <formula>NOT(ISERROR(SEARCH("RIESGO ALTO",Q60)))</formula>
    </cfRule>
    <cfRule type="containsText" dxfId="966" priority="161" operator="containsText" text="RIESGO MODERADO">
      <formula>NOT(ISERROR(SEARCH("RIESGO MODERADO",Q60)))</formula>
    </cfRule>
    <cfRule type="containsText" dxfId="965" priority="162" operator="containsText" text="RIESGO BAJO">
      <formula>NOT(ISERROR(SEARCH("RIESGO BAJO",Q60)))</formula>
    </cfRule>
  </conditionalFormatting>
  <conditionalFormatting sqref="AZ60">
    <cfRule type="containsText" dxfId="157" priority="155" operator="containsText" text="RIESGO EXTREMO">
      <formula>NOT(ISERROR(SEARCH("RIESGO EXTREMO",AZ60)))</formula>
    </cfRule>
    <cfRule type="containsText" dxfId="156" priority="156" operator="containsText" text="RIESGO ALTO">
      <formula>NOT(ISERROR(SEARCH("RIESGO ALTO",AZ60)))</formula>
    </cfRule>
    <cfRule type="containsText" dxfId="155" priority="157" operator="containsText" text="RIESGO MODERADO">
      <formula>NOT(ISERROR(SEARCH("RIESGO MODERADO",AZ60)))</formula>
    </cfRule>
    <cfRule type="containsText" dxfId="154" priority="158" operator="containsText" text="RIESGO BAJO">
      <formula>NOT(ISERROR(SEARCH("RIESGO BAJO",AZ60)))</formula>
    </cfRule>
  </conditionalFormatting>
  <conditionalFormatting sqref="BA60">
    <cfRule type="containsText" dxfId="153" priority="151" operator="containsText" text="RIESGO EXTREMO">
      <formula>NOT(ISERROR(SEARCH("RIESGO EXTREMO",BA60)))</formula>
    </cfRule>
    <cfRule type="containsText" dxfId="152" priority="152" operator="containsText" text="RIESGO ALTO">
      <formula>NOT(ISERROR(SEARCH("RIESGO ALTO",BA60)))</formula>
    </cfRule>
    <cfRule type="containsText" dxfId="151" priority="153" operator="containsText" text="RIESGO MODERADO">
      <formula>NOT(ISERROR(SEARCH("RIESGO MODERADO",BA60)))</formula>
    </cfRule>
    <cfRule type="containsText" dxfId="150" priority="154" operator="containsText" text="RIESGO BAJO">
      <formula>NOT(ISERROR(SEARCH("RIESGO BAJO",BA60)))</formula>
    </cfRule>
  </conditionalFormatting>
  <conditionalFormatting sqref="BB60">
    <cfRule type="containsText" dxfId="149" priority="147" operator="containsText" text="RIESGO EXTREMO">
      <formula>NOT(ISERROR(SEARCH("RIESGO EXTREMO",BB60)))</formula>
    </cfRule>
    <cfRule type="containsText" dxfId="148" priority="148" operator="containsText" text="RIESGO ALTO">
      <formula>NOT(ISERROR(SEARCH("RIESGO ALTO",BB60)))</formula>
    </cfRule>
    <cfRule type="containsText" dxfId="147" priority="149" operator="containsText" text="RIESGO MODERADO">
      <formula>NOT(ISERROR(SEARCH("RIESGO MODERADO",BB60)))</formula>
    </cfRule>
    <cfRule type="containsText" dxfId="146" priority="150" operator="containsText" text="RIESGO BAJO">
      <formula>NOT(ISERROR(SEARCH("RIESGO BAJO",BB60)))</formula>
    </cfRule>
  </conditionalFormatting>
  <conditionalFormatting sqref="BC60">
    <cfRule type="containsText" dxfId="145" priority="143" operator="containsText" text="RIESGO EXTREMO">
      <formula>NOT(ISERROR(SEARCH("RIESGO EXTREMO",BC60)))</formula>
    </cfRule>
    <cfRule type="containsText" dxfId="144" priority="144" operator="containsText" text="RIESGO ALTO">
      <formula>NOT(ISERROR(SEARCH("RIESGO ALTO",BC60)))</formula>
    </cfRule>
    <cfRule type="containsText" dxfId="143" priority="145" operator="containsText" text="RIESGO MODERADO">
      <formula>NOT(ISERROR(SEARCH("RIESGO MODERADO",BC60)))</formula>
    </cfRule>
    <cfRule type="containsText" dxfId="142" priority="146" operator="containsText" text="RIESGO BAJO">
      <formula>NOT(ISERROR(SEARCH("RIESGO BAJO",BC60)))</formula>
    </cfRule>
  </conditionalFormatting>
  <conditionalFormatting sqref="BD60">
    <cfRule type="containsText" dxfId="141" priority="139" operator="containsText" text="RIESGO EXTREMO">
      <formula>NOT(ISERROR(SEARCH("RIESGO EXTREMO",BD60)))</formula>
    </cfRule>
    <cfRule type="containsText" dxfId="140" priority="140" operator="containsText" text="RIESGO ALTO">
      <formula>NOT(ISERROR(SEARCH("RIESGO ALTO",BD60)))</formula>
    </cfRule>
    <cfRule type="containsText" dxfId="139" priority="141" operator="containsText" text="RIESGO MODERADO">
      <formula>NOT(ISERROR(SEARCH("RIESGO MODERADO",BD60)))</formula>
    </cfRule>
    <cfRule type="containsText" dxfId="138" priority="142" operator="containsText" text="RIESGO BAJO">
      <formula>NOT(ISERROR(SEARCH("RIESGO BAJO",BD60)))</formula>
    </cfRule>
  </conditionalFormatting>
  <conditionalFormatting sqref="BE60">
    <cfRule type="containsText" dxfId="137" priority="135" operator="containsText" text="RIESGO EXTREMO">
      <formula>NOT(ISERROR(SEARCH("RIESGO EXTREMO",BE60)))</formula>
    </cfRule>
    <cfRule type="containsText" dxfId="136" priority="136" operator="containsText" text="RIESGO ALTO">
      <formula>NOT(ISERROR(SEARCH("RIESGO ALTO",BE60)))</formula>
    </cfRule>
    <cfRule type="containsText" dxfId="135" priority="137" operator="containsText" text="RIESGO MODERADO">
      <formula>NOT(ISERROR(SEARCH("RIESGO MODERADO",BE60)))</formula>
    </cfRule>
    <cfRule type="containsText" dxfId="134" priority="138" operator="containsText" text="RIESGO BAJO">
      <formula>NOT(ISERROR(SEARCH("RIESGO BAJO",BE60)))</formula>
    </cfRule>
  </conditionalFormatting>
  <conditionalFormatting sqref="BF60">
    <cfRule type="containsText" dxfId="133" priority="131" operator="containsText" text="RIESGO EXTREMO">
      <formula>NOT(ISERROR(SEARCH("RIESGO EXTREMO",BF60)))</formula>
    </cfRule>
    <cfRule type="containsText" dxfId="132" priority="132" operator="containsText" text="RIESGO ALTO">
      <formula>NOT(ISERROR(SEARCH("RIESGO ALTO",BF60)))</formula>
    </cfRule>
    <cfRule type="containsText" dxfId="131" priority="133" operator="containsText" text="RIESGO MODERADO">
      <formula>NOT(ISERROR(SEARCH("RIESGO MODERADO",BF60)))</formula>
    </cfRule>
    <cfRule type="containsText" dxfId="130" priority="134" operator="containsText" text="RIESGO BAJO">
      <formula>NOT(ISERROR(SEARCH("RIESGO BAJO",BF60)))</formula>
    </cfRule>
  </conditionalFormatting>
  <conditionalFormatting sqref="BG60">
    <cfRule type="containsText" dxfId="129" priority="127" operator="containsText" text="RIESGO EXTREMO">
      <formula>NOT(ISERROR(SEARCH("RIESGO EXTREMO",BG60)))</formula>
    </cfRule>
    <cfRule type="containsText" dxfId="128" priority="128" operator="containsText" text="RIESGO ALTO">
      <formula>NOT(ISERROR(SEARCH("RIESGO ALTO",BG60)))</formula>
    </cfRule>
    <cfRule type="containsText" dxfId="127" priority="129" operator="containsText" text="RIESGO MODERADO">
      <formula>NOT(ISERROR(SEARCH("RIESGO MODERADO",BG60)))</formula>
    </cfRule>
    <cfRule type="containsText" dxfId="126" priority="130" operator="containsText" text="RIESGO BAJO">
      <formula>NOT(ISERROR(SEARCH("RIESGO BAJO",BG60)))</formula>
    </cfRule>
  </conditionalFormatting>
  <conditionalFormatting sqref="BH60">
    <cfRule type="containsText" dxfId="125" priority="123" operator="containsText" text="RIESGO EXTREMO">
      <formula>NOT(ISERROR(SEARCH("RIESGO EXTREMO",BH60)))</formula>
    </cfRule>
    <cfRule type="containsText" dxfId="124" priority="124" operator="containsText" text="RIESGO ALTO">
      <formula>NOT(ISERROR(SEARCH("RIESGO ALTO",BH60)))</formula>
    </cfRule>
    <cfRule type="containsText" dxfId="123" priority="125" operator="containsText" text="RIESGO MODERADO">
      <formula>NOT(ISERROR(SEARCH("RIESGO MODERADO",BH60)))</formula>
    </cfRule>
    <cfRule type="containsText" dxfId="122" priority="126" operator="containsText" text="RIESGO BAJO">
      <formula>NOT(ISERROR(SEARCH("RIESGO BAJO",BH60)))</formula>
    </cfRule>
  </conditionalFormatting>
  <conditionalFormatting sqref="BJ60">
    <cfRule type="containsText" dxfId="121" priority="119" operator="containsText" text="RIESGO EXTREMO">
      <formula>NOT(ISERROR(SEARCH("RIESGO EXTREMO",BJ60)))</formula>
    </cfRule>
    <cfRule type="containsText" dxfId="120" priority="120" operator="containsText" text="RIESGO ALTO">
      <formula>NOT(ISERROR(SEARCH("RIESGO ALTO",BJ60)))</formula>
    </cfRule>
    <cfRule type="containsText" dxfId="119" priority="121" operator="containsText" text="RIESGO MODERADO">
      <formula>NOT(ISERROR(SEARCH("RIESGO MODERADO",BJ60)))</formula>
    </cfRule>
    <cfRule type="containsText" dxfId="118" priority="122" operator="containsText" text="RIESGO BAJO">
      <formula>NOT(ISERROR(SEARCH("RIESGO BAJO",BJ60)))</formula>
    </cfRule>
  </conditionalFormatting>
  <conditionalFormatting sqref="BI60">
    <cfRule type="containsText" dxfId="117" priority="115" operator="containsText" text="RIESGO EXTREMO">
      <formula>NOT(ISERROR(SEARCH("RIESGO EXTREMO",BI60)))</formula>
    </cfRule>
    <cfRule type="containsText" dxfId="116" priority="116" operator="containsText" text="RIESGO ALTO">
      <formula>NOT(ISERROR(SEARCH("RIESGO ALTO",BI60)))</formula>
    </cfRule>
    <cfRule type="containsText" dxfId="115" priority="117" operator="containsText" text="RIESGO MODERADO">
      <formula>NOT(ISERROR(SEARCH("RIESGO MODERADO",BI60)))</formula>
    </cfRule>
    <cfRule type="containsText" dxfId="114" priority="118" operator="containsText" text="RIESGO BAJO">
      <formula>NOT(ISERROR(SEARCH("RIESGO BAJO",BI60)))</formula>
    </cfRule>
  </conditionalFormatting>
  <conditionalFormatting sqref="Q82:Q83">
    <cfRule type="containsText" dxfId="113" priority="111" operator="containsText" text="RIESGO EXTREMO">
      <formula>NOT(ISERROR(SEARCH("RIESGO EXTREMO",Q82)))</formula>
    </cfRule>
    <cfRule type="containsText" dxfId="112" priority="112" operator="containsText" text="RIESGO ALTO">
      <formula>NOT(ISERROR(SEARCH("RIESGO ALTO",Q82)))</formula>
    </cfRule>
    <cfRule type="containsText" dxfId="111" priority="113" operator="containsText" text="RIESGO MODERADO">
      <formula>NOT(ISERROR(SEARCH("RIESGO MODERADO",Q82)))</formula>
    </cfRule>
    <cfRule type="containsText" dxfId="110" priority="114" operator="containsText" text="RIESGO BAJO">
      <formula>NOT(ISERROR(SEARCH("RIESGO BAJO",Q82)))</formula>
    </cfRule>
  </conditionalFormatting>
  <conditionalFormatting sqref="I82:I83">
    <cfRule type="expression" dxfId="109" priority="110">
      <formula>EXACT(F82,"Seguridad_de_la_informacion")</formula>
    </cfRule>
  </conditionalFormatting>
  <conditionalFormatting sqref="J82:J83">
    <cfRule type="expression" dxfId="108" priority="109">
      <formula>EXACT(F82,"Seguridad_de_la_informacion")</formula>
    </cfRule>
  </conditionalFormatting>
  <conditionalFormatting sqref="AZ82:BA82 AZ83">
    <cfRule type="containsText" dxfId="107" priority="105" operator="containsText" text="RIESGO EXTREMO">
      <formula>NOT(ISERROR(SEARCH("RIESGO EXTREMO",AZ82)))</formula>
    </cfRule>
    <cfRule type="containsText" dxfId="106" priority="106" operator="containsText" text="RIESGO ALTO">
      <formula>NOT(ISERROR(SEARCH("RIESGO ALTO",AZ82)))</formula>
    </cfRule>
    <cfRule type="containsText" dxfId="105" priority="107" operator="containsText" text="RIESGO MODERADO">
      <formula>NOT(ISERROR(SEARCH("RIESGO MODERADO",AZ82)))</formula>
    </cfRule>
    <cfRule type="containsText" dxfId="104" priority="108" operator="containsText" text="RIESGO BAJO">
      <formula>NOT(ISERROR(SEARCH("RIESGO BAJO",AZ82)))</formula>
    </cfRule>
  </conditionalFormatting>
  <conditionalFormatting sqref="BB82:BE82">
    <cfRule type="containsText" dxfId="99" priority="97" operator="containsText" text="RIESGO EXTREMO">
      <formula>NOT(ISERROR(SEARCH("RIESGO EXTREMO",BB82)))</formula>
    </cfRule>
    <cfRule type="containsText" dxfId="98" priority="98" operator="containsText" text="RIESGO ALTO">
      <formula>NOT(ISERROR(SEARCH("RIESGO ALTO",BB82)))</formula>
    </cfRule>
    <cfRule type="containsText" dxfId="97" priority="99" operator="containsText" text="RIESGO MODERADO">
      <formula>NOT(ISERROR(SEARCH("RIESGO MODERADO",BB82)))</formula>
    </cfRule>
    <cfRule type="containsText" dxfId="96" priority="100" operator="containsText" text="RIESGO BAJO">
      <formula>NOT(ISERROR(SEARCH("RIESGO BAJO",BB82)))</formula>
    </cfRule>
  </conditionalFormatting>
  <conditionalFormatting sqref="BB83:BE83">
    <cfRule type="containsText" dxfId="95" priority="93" operator="containsText" text="RIESGO EXTREMO">
      <formula>NOT(ISERROR(SEARCH("RIESGO EXTREMO",BB83)))</formula>
    </cfRule>
    <cfRule type="containsText" dxfId="94" priority="94" operator="containsText" text="RIESGO ALTO">
      <formula>NOT(ISERROR(SEARCH("RIESGO ALTO",BB83)))</formula>
    </cfRule>
    <cfRule type="containsText" dxfId="93" priority="95" operator="containsText" text="RIESGO MODERADO">
      <formula>NOT(ISERROR(SEARCH("RIESGO MODERADO",BB83)))</formula>
    </cfRule>
    <cfRule type="containsText" dxfId="92" priority="96" operator="containsText" text="RIESGO BAJO">
      <formula>NOT(ISERROR(SEARCH("RIESGO BAJO",BB83)))</formula>
    </cfRule>
  </conditionalFormatting>
  <conditionalFormatting sqref="BF82">
    <cfRule type="containsText" dxfId="91" priority="89" operator="containsText" text="RIESGO EXTREMO">
      <formula>NOT(ISERROR(SEARCH("RIESGO EXTREMO",BF82)))</formula>
    </cfRule>
    <cfRule type="containsText" dxfId="90" priority="90" operator="containsText" text="RIESGO ALTO">
      <formula>NOT(ISERROR(SEARCH("RIESGO ALTO",BF82)))</formula>
    </cfRule>
    <cfRule type="containsText" dxfId="89" priority="91" operator="containsText" text="RIESGO MODERADO">
      <formula>NOT(ISERROR(SEARCH("RIESGO MODERADO",BF82)))</formula>
    </cfRule>
    <cfRule type="containsText" dxfId="88" priority="92" operator="containsText" text="RIESGO BAJO">
      <formula>NOT(ISERROR(SEARCH("RIESGO BAJO",BF82)))</formula>
    </cfRule>
  </conditionalFormatting>
  <conditionalFormatting sqref="BF83">
    <cfRule type="containsText" dxfId="87" priority="85" operator="containsText" text="RIESGO EXTREMO">
      <formula>NOT(ISERROR(SEARCH("RIESGO EXTREMO",BF83)))</formula>
    </cfRule>
    <cfRule type="containsText" dxfId="86" priority="86" operator="containsText" text="RIESGO ALTO">
      <formula>NOT(ISERROR(SEARCH("RIESGO ALTO",BF83)))</formula>
    </cfRule>
    <cfRule type="containsText" dxfId="85" priority="87" operator="containsText" text="RIESGO MODERADO">
      <formula>NOT(ISERROR(SEARCH("RIESGO MODERADO",BF83)))</formula>
    </cfRule>
    <cfRule type="containsText" dxfId="84" priority="88" operator="containsText" text="RIESGO BAJO">
      <formula>NOT(ISERROR(SEARCH("RIESGO BAJO",BF83)))</formula>
    </cfRule>
  </conditionalFormatting>
  <conditionalFormatting sqref="BI82">
    <cfRule type="containsText" dxfId="83" priority="81" operator="containsText" text="RIESGO EXTREMO">
      <formula>NOT(ISERROR(SEARCH("RIESGO EXTREMO",BI82)))</formula>
    </cfRule>
    <cfRule type="containsText" dxfId="82" priority="82" operator="containsText" text="RIESGO ALTO">
      <formula>NOT(ISERROR(SEARCH("RIESGO ALTO",BI82)))</formula>
    </cfRule>
    <cfRule type="containsText" dxfId="81" priority="83" operator="containsText" text="RIESGO MODERADO">
      <formula>NOT(ISERROR(SEARCH("RIESGO MODERADO",BI82)))</formula>
    </cfRule>
    <cfRule type="containsText" dxfId="80" priority="84" operator="containsText" text="RIESGO BAJO">
      <formula>NOT(ISERROR(SEARCH("RIESGO BAJO",BI82)))</formula>
    </cfRule>
  </conditionalFormatting>
  <conditionalFormatting sqref="BI83">
    <cfRule type="containsText" dxfId="79" priority="77" operator="containsText" text="RIESGO EXTREMO">
      <formula>NOT(ISERROR(SEARCH("RIESGO EXTREMO",BI83)))</formula>
    </cfRule>
    <cfRule type="containsText" dxfId="78" priority="78" operator="containsText" text="RIESGO ALTO">
      <formula>NOT(ISERROR(SEARCH("RIESGO ALTO",BI83)))</formula>
    </cfRule>
    <cfRule type="containsText" dxfId="77" priority="79" operator="containsText" text="RIESGO MODERADO">
      <formula>NOT(ISERROR(SEARCH("RIESGO MODERADO",BI83)))</formula>
    </cfRule>
    <cfRule type="containsText" dxfId="76" priority="80" operator="containsText" text="RIESGO BAJO">
      <formula>NOT(ISERROR(SEARCH("RIESGO BAJO",BI83)))</formula>
    </cfRule>
  </conditionalFormatting>
  <conditionalFormatting sqref="J84:J85">
    <cfRule type="expression" dxfId="75" priority="76">
      <formula>EXACT(F84,"Seguridad_de_la_informacion")</formula>
    </cfRule>
  </conditionalFormatting>
  <conditionalFormatting sqref="I84:I85">
    <cfRule type="expression" dxfId="74" priority="75">
      <formula>EXACT(F84,"Seguridad_de_la_informacion")</formula>
    </cfRule>
  </conditionalFormatting>
  <conditionalFormatting sqref="AZ84:BA84 AZ85">
    <cfRule type="containsText" dxfId="73" priority="71" operator="containsText" text="RIESGO EXTREMO">
      <formula>NOT(ISERROR(SEARCH("RIESGO EXTREMO",AZ84)))</formula>
    </cfRule>
    <cfRule type="containsText" dxfId="72" priority="72" operator="containsText" text="RIESGO ALTO">
      <formula>NOT(ISERROR(SEARCH("RIESGO ALTO",AZ84)))</formula>
    </cfRule>
    <cfRule type="containsText" dxfId="71" priority="73" operator="containsText" text="RIESGO MODERADO">
      <formula>NOT(ISERROR(SEARCH("RIESGO MODERADO",AZ84)))</formula>
    </cfRule>
    <cfRule type="containsText" dxfId="70" priority="74" operator="containsText" text="RIESGO BAJO">
      <formula>NOT(ISERROR(SEARCH("RIESGO BAJO",AZ84)))</formula>
    </cfRule>
  </conditionalFormatting>
  <conditionalFormatting sqref="BH85">
    <cfRule type="containsText" dxfId="69" priority="67" operator="containsText" text="RIESGO EXTREMO">
      <formula>NOT(ISERROR(SEARCH("RIESGO EXTREMO",BH85)))</formula>
    </cfRule>
    <cfRule type="containsText" dxfId="68" priority="68" operator="containsText" text="RIESGO ALTO">
      <formula>NOT(ISERROR(SEARCH("RIESGO ALTO",BH85)))</formula>
    </cfRule>
    <cfRule type="containsText" dxfId="67" priority="69" operator="containsText" text="RIESGO MODERADO">
      <formula>NOT(ISERROR(SEARCH("RIESGO MODERADO",BH85)))</formula>
    </cfRule>
    <cfRule type="containsText" dxfId="66" priority="70" operator="containsText" text="RIESGO BAJO">
      <formula>NOT(ISERROR(SEARCH("RIESGO BAJO",BH85)))</formula>
    </cfRule>
  </conditionalFormatting>
  <conditionalFormatting sqref="Q84:Q85">
    <cfRule type="containsText" dxfId="61" priority="59" operator="containsText" text="RIESGO EXTREMO">
      <formula>NOT(ISERROR(SEARCH("RIESGO EXTREMO",Q84)))</formula>
    </cfRule>
    <cfRule type="containsText" dxfId="60" priority="60" operator="containsText" text="RIESGO ALTO">
      <formula>NOT(ISERROR(SEARCH("RIESGO ALTO",Q84)))</formula>
    </cfRule>
    <cfRule type="containsText" dxfId="59" priority="61" operator="containsText" text="RIESGO MODERADO">
      <formula>NOT(ISERROR(SEARCH("RIESGO MODERADO",Q84)))</formula>
    </cfRule>
    <cfRule type="containsText" dxfId="58" priority="62" operator="containsText" text="RIESGO BAJO">
      <formula>NOT(ISERROR(SEARCH("RIESGO BAJO",Q84)))</formula>
    </cfRule>
  </conditionalFormatting>
  <conditionalFormatting sqref="BD84:BE85">
    <cfRule type="containsText" dxfId="57" priority="55" operator="containsText" text="RIESGO EXTREMO">
      <formula>NOT(ISERROR(SEARCH("RIESGO EXTREMO",BD84)))</formula>
    </cfRule>
    <cfRule type="containsText" dxfId="56" priority="56" operator="containsText" text="RIESGO ALTO">
      <formula>NOT(ISERROR(SEARCH("RIESGO ALTO",BD84)))</formula>
    </cfRule>
    <cfRule type="containsText" dxfId="55" priority="57" operator="containsText" text="RIESGO MODERADO">
      <formula>NOT(ISERROR(SEARCH("RIESGO MODERADO",BD84)))</formula>
    </cfRule>
    <cfRule type="containsText" dxfId="54" priority="58" operator="containsText" text="RIESGO BAJO">
      <formula>NOT(ISERROR(SEARCH("RIESGO BAJO",BD84)))</formula>
    </cfRule>
  </conditionalFormatting>
  <conditionalFormatting sqref="BB84:BC84 BC85">
    <cfRule type="containsText" dxfId="53" priority="51" operator="containsText" text="RIESGO EXTREMO">
      <formula>NOT(ISERROR(SEARCH("RIESGO EXTREMO",BB84)))</formula>
    </cfRule>
    <cfRule type="containsText" dxfId="52" priority="52" operator="containsText" text="RIESGO ALTO">
      <formula>NOT(ISERROR(SEARCH("RIESGO ALTO",BB84)))</formula>
    </cfRule>
    <cfRule type="containsText" dxfId="51" priority="53" operator="containsText" text="RIESGO MODERADO">
      <formula>NOT(ISERROR(SEARCH("RIESGO MODERADO",BB84)))</formula>
    </cfRule>
    <cfRule type="containsText" dxfId="50" priority="54" operator="containsText" text="RIESGO BAJO">
      <formula>NOT(ISERROR(SEARCH("RIESGO BAJO",BB84)))</formula>
    </cfRule>
  </conditionalFormatting>
  <conditionalFormatting sqref="BB85">
    <cfRule type="containsText" dxfId="49" priority="47" operator="containsText" text="RIESGO EXTREMO">
      <formula>NOT(ISERROR(SEARCH("RIESGO EXTREMO",BB85)))</formula>
    </cfRule>
    <cfRule type="containsText" dxfId="48" priority="48" operator="containsText" text="RIESGO ALTO">
      <formula>NOT(ISERROR(SEARCH("RIESGO ALTO",BB85)))</formula>
    </cfRule>
    <cfRule type="containsText" dxfId="47" priority="49" operator="containsText" text="RIESGO MODERADO">
      <formula>NOT(ISERROR(SEARCH("RIESGO MODERADO",BB85)))</formula>
    </cfRule>
    <cfRule type="containsText" dxfId="46" priority="50" operator="containsText" text="RIESGO BAJO">
      <formula>NOT(ISERROR(SEARCH("RIESGO BAJO",BB85)))</formula>
    </cfRule>
  </conditionalFormatting>
  <conditionalFormatting sqref="BH84">
    <cfRule type="containsText" dxfId="45" priority="43" operator="containsText" text="RIESGO EXTREMO">
      <formula>NOT(ISERROR(SEARCH("RIESGO EXTREMO",BH84)))</formula>
    </cfRule>
    <cfRule type="containsText" dxfId="44" priority="44" operator="containsText" text="RIESGO ALTO">
      <formula>NOT(ISERROR(SEARCH("RIESGO ALTO",BH84)))</formula>
    </cfRule>
    <cfRule type="containsText" dxfId="43" priority="45" operator="containsText" text="RIESGO MODERADO">
      <formula>NOT(ISERROR(SEARCH("RIESGO MODERADO",BH84)))</formula>
    </cfRule>
    <cfRule type="containsText" dxfId="42" priority="46" operator="containsText" text="RIESGO BAJO">
      <formula>NOT(ISERROR(SEARCH("RIESGO BAJO",BH84)))</formula>
    </cfRule>
  </conditionalFormatting>
  <conditionalFormatting sqref="BJ84">
    <cfRule type="containsText" dxfId="41" priority="39" operator="containsText" text="RIESGO EXTREMO">
      <formula>NOT(ISERROR(SEARCH("RIESGO EXTREMO",BJ84)))</formula>
    </cfRule>
    <cfRule type="containsText" dxfId="40" priority="40" operator="containsText" text="RIESGO ALTO">
      <formula>NOT(ISERROR(SEARCH("RIESGO ALTO",BJ84)))</formula>
    </cfRule>
    <cfRule type="containsText" dxfId="39" priority="41" operator="containsText" text="RIESGO MODERADO">
      <formula>NOT(ISERROR(SEARCH("RIESGO MODERADO",BJ84)))</formula>
    </cfRule>
    <cfRule type="containsText" dxfId="38" priority="42" operator="containsText" text="RIESGO BAJO">
      <formula>NOT(ISERROR(SEARCH("RIESGO BAJO",BJ84)))</formula>
    </cfRule>
  </conditionalFormatting>
  <conditionalFormatting sqref="BJ85">
    <cfRule type="containsText" dxfId="37" priority="35" operator="containsText" text="RIESGO EXTREMO">
      <formula>NOT(ISERROR(SEARCH("RIESGO EXTREMO",BJ85)))</formula>
    </cfRule>
    <cfRule type="containsText" dxfId="36" priority="36" operator="containsText" text="RIESGO ALTO">
      <formula>NOT(ISERROR(SEARCH("RIESGO ALTO",BJ85)))</formula>
    </cfRule>
    <cfRule type="containsText" dxfId="35" priority="37" operator="containsText" text="RIESGO MODERADO">
      <formula>NOT(ISERROR(SEARCH("RIESGO MODERADO",BJ85)))</formula>
    </cfRule>
    <cfRule type="containsText" dxfId="34" priority="38" operator="containsText" text="RIESGO BAJO">
      <formula>NOT(ISERROR(SEARCH("RIESGO BAJO",BJ85)))</formula>
    </cfRule>
  </conditionalFormatting>
  <conditionalFormatting sqref="BI84">
    <cfRule type="containsText" dxfId="33" priority="31" operator="containsText" text="RIESGO EXTREMO">
      <formula>NOT(ISERROR(SEARCH("RIESGO EXTREMO",BI84)))</formula>
    </cfRule>
    <cfRule type="containsText" dxfId="32" priority="32" operator="containsText" text="RIESGO ALTO">
      <formula>NOT(ISERROR(SEARCH("RIESGO ALTO",BI84)))</formula>
    </cfRule>
    <cfRule type="containsText" dxfId="31" priority="33" operator="containsText" text="RIESGO MODERADO">
      <formula>NOT(ISERROR(SEARCH("RIESGO MODERADO",BI84)))</formula>
    </cfRule>
    <cfRule type="containsText" dxfId="30" priority="34" operator="containsText" text="RIESGO BAJO">
      <formula>NOT(ISERROR(SEARCH("RIESGO BAJO",BI84)))</formula>
    </cfRule>
  </conditionalFormatting>
  <conditionalFormatting sqref="BI85">
    <cfRule type="containsText" dxfId="29" priority="27" operator="containsText" text="RIESGO EXTREMO">
      <formula>NOT(ISERROR(SEARCH("RIESGO EXTREMO",BI85)))</formula>
    </cfRule>
    <cfRule type="containsText" dxfId="28" priority="28" operator="containsText" text="RIESGO ALTO">
      <formula>NOT(ISERROR(SEARCH("RIESGO ALTO",BI85)))</formula>
    </cfRule>
    <cfRule type="containsText" dxfId="27" priority="29" operator="containsText" text="RIESGO MODERADO">
      <formula>NOT(ISERROR(SEARCH("RIESGO MODERADO",BI85)))</formula>
    </cfRule>
    <cfRule type="containsText" dxfId="26" priority="30" operator="containsText" text="RIESGO BAJO">
      <formula>NOT(ISERROR(SEARCH("RIESGO BAJO",BI85)))</formula>
    </cfRule>
  </conditionalFormatting>
  <conditionalFormatting sqref="J86:J87">
    <cfRule type="expression" dxfId="25" priority="26">
      <formula>EXACT(F86,"Seguridad_de_la_informacion")</formula>
    </cfRule>
  </conditionalFormatting>
  <conditionalFormatting sqref="AZ86:BA86 AZ87">
    <cfRule type="containsText" dxfId="24" priority="21" operator="containsText" text="RIESGO EXTREMO">
      <formula>NOT(ISERROR(SEARCH("RIESGO EXTREMO",AZ86)))</formula>
    </cfRule>
    <cfRule type="containsText" dxfId="23" priority="22" operator="containsText" text="RIESGO ALTO">
      <formula>NOT(ISERROR(SEARCH("RIESGO ALTO",AZ86)))</formula>
    </cfRule>
    <cfRule type="containsText" dxfId="22" priority="23" operator="containsText" text="RIESGO MODERADO">
      <formula>NOT(ISERROR(SEARCH("RIESGO MODERADO",AZ86)))</formula>
    </cfRule>
    <cfRule type="containsText" dxfId="21" priority="24" operator="containsText" text="RIESGO BAJO">
      <formula>NOT(ISERROR(SEARCH("RIESGO BAJO",AZ86)))</formula>
    </cfRule>
  </conditionalFormatting>
  <conditionalFormatting sqref="I86:I87">
    <cfRule type="expression" dxfId="20" priority="25">
      <formula>EXACT(F86,"Seguridad_de_la_informacion")</formula>
    </cfRule>
  </conditionalFormatting>
  <conditionalFormatting sqref="Q86:Q87">
    <cfRule type="containsText" dxfId="15" priority="13" operator="containsText" text="RIESGO EXTREMO">
      <formula>NOT(ISERROR(SEARCH("RIESGO EXTREMO",Q86)))</formula>
    </cfRule>
    <cfRule type="containsText" dxfId="14" priority="14" operator="containsText" text="RIESGO ALTO">
      <formula>NOT(ISERROR(SEARCH("RIESGO ALTO",Q86)))</formula>
    </cfRule>
    <cfRule type="containsText" dxfId="13" priority="15" operator="containsText" text="RIESGO MODERADO">
      <formula>NOT(ISERROR(SEARCH("RIESGO MODERADO",Q86)))</formula>
    </cfRule>
    <cfRule type="containsText" dxfId="12" priority="16" operator="containsText" text="RIESGO BAJO">
      <formula>NOT(ISERROR(SEARCH("RIESGO BAJO",Q86)))</formula>
    </cfRule>
  </conditionalFormatting>
  <conditionalFormatting sqref="BB86:BE87">
    <cfRule type="containsText" dxfId="11" priority="9" operator="containsText" text="RIESGO EXTREMO">
      <formula>NOT(ISERROR(SEARCH("RIESGO EXTREMO",BB86)))</formula>
    </cfRule>
    <cfRule type="containsText" dxfId="10" priority="10" operator="containsText" text="RIESGO ALTO">
      <formula>NOT(ISERROR(SEARCH("RIESGO ALTO",BB86)))</formula>
    </cfRule>
    <cfRule type="containsText" dxfId="9" priority="11" operator="containsText" text="RIESGO MODERADO">
      <formula>NOT(ISERROR(SEARCH("RIESGO MODERADO",BB86)))</formula>
    </cfRule>
    <cfRule type="containsText" dxfId="8" priority="12" operator="containsText" text="RIESGO BAJO">
      <formula>NOT(ISERROR(SEARCH("RIESGO BAJO",BB86)))</formula>
    </cfRule>
  </conditionalFormatting>
  <conditionalFormatting sqref="BG86 BJ86 BH86:BI87">
    <cfRule type="containsText" dxfId="7" priority="5" operator="containsText" text="RIESGO EXTREMO">
      <formula>NOT(ISERROR(SEARCH("RIESGO EXTREMO",BG86)))</formula>
    </cfRule>
    <cfRule type="containsText" dxfId="6" priority="6" operator="containsText" text="RIESGO ALTO">
      <formula>NOT(ISERROR(SEARCH("RIESGO ALTO",BG86)))</formula>
    </cfRule>
    <cfRule type="containsText" dxfId="5" priority="7" operator="containsText" text="RIESGO MODERADO">
      <formula>NOT(ISERROR(SEARCH("RIESGO MODERADO",BG86)))</formula>
    </cfRule>
    <cfRule type="containsText" dxfId="4" priority="8" operator="containsText" text="RIESGO BAJO">
      <formula>NOT(ISERROR(SEARCH("RIESGO BAJO",BG86)))</formula>
    </cfRule>
  </conditionalFormatting>
  <conditionalFormatting sqref="BJ87">
    <cfRule type="containsText" dxfId="3" priority="1" operator="containsText" text="RIESGO EXTREMO">
      <formula>NOT(ISERROR(SEARCH("RIESGO EXTREMO",BJ87)))</formula>
    </cfRule>
    <cfRule type="containsText" dxfId="2" priority="2" operator="containsText" text="RIESGO ALTO">
      <formula>NOT(ISERROR(SEARCH("RIESGO ALTO",BJ87)))</formula>
    </cfRule>
    <cfRule type="containsText" dxfId="1" priority="3" operator="containsText" text="RIESGO MODERADO">
      <formula>NOT(ISERROR(SEARCH("RIESGO MODERADO",BJ87)))</formula>
    </cfRule>
    <cfRule type="containsText" dxfId="0" priority="4" operator="containsText" text="RIESGO BAJO">
      <formula>NOT(ISERROR(SEARCH("RIESGO BAJO",BJ87)))</formula>
    </cfRule>
  </conditionalFormatting>
  <dataValidations xWindow="410" yWindow="567" count="26">
    <dataValidation allowBlank="1" showInputMessage="1" showErrorMessage="1" prompt="Para cada causa debe existir un control" sqref="S11 R47 S88 R84:R86 R35:R45 S72 S76:S77 R57:R59 S79 S13 S15 S17 S103 S40 S43 S23 S51 S54 S91 S101 BB25:BC26 S19 R67:R69 S35:S38 R11:R25 R27 R31 R72:R81 S81 R82:S83 S93 R88:R104 R60:S64 R70:S71 BB96:BB97 R50:R55 S95"/>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BC45 K72 K101:K104 K31 K62:K68 K11:K27 K35:K45 K88:K99 K48:K58 K79:K86"/>
    <dataValidation allowBlank="1" showInputMessage="1" showErrorMessage="1" prompt="La descripción del riesgo se puede realizar a través de estas preguntas:_x000a_¿Qué puede suceder?_x000a_¿Cómo puede suceder?_x000a_¿Qué consecuencias tendría su materialización?" sqref="E72 E79 E21 E68 E11:E19 E25:E27 E58 E35:E56 E62:E66 E81:E104"/>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E23:E24 D72 D79 D21 D68 D11:D19 D25:D27 D58 D35:D56 D62:D66 D81:D104"/>
    <dataValidation type="list" allowBlank="1" showInputMessage="1" showErrorMessage="1" sqref="BA11:BA19 BA21 BA35:BA54 BA27 BA23:BA25 BA64 BA66 BA72:BA93 BA58 BA68 BA70 BA56 BA60 BA95:BA104 BA62">
      <formula1>opciondelriesgo</formula1>
    </dataValidation>
    <dataValidation type="list" allowBlank="1" showInputMessage="1" showErrorMessage="1" sqref="AR11:AR19 AR21 AR31 AR35:AR54 AR23:AR25 AR27 AR64 AR88:AR93 AQ66 AQ68 AR60 AQ70 AR62 AQ56 AQ58 AR72:AR81 AQ82:AQ87 AR99:AR104 AQ95:AQ98">
      <formula1>"Directamente,No disminuye"</formula1>
    </dataValidation>
    <dataValidation type="list" allowBlank="1" showInputMessage="1" showErrorMessage="1" sqref="AS11:AS19 AS21 AS31 AS35:AS54 AS23:AS25 AS27 AS64 AS88:AS93 AR66 AR68 AS60 AR70 AS62 AR56 AR58 AS72:AS81 AR82:AR87 AS99:AS104 AR95:AR98">
      <formula1>"Directamente,Indirectamente,No disminuye"</formula1>
    </dataValidation>
    <dataValidation type="list" allowBlank="1" showInputMessage="1" showErrorMessage="1" sqref="AJ11:AJ27 AJ31 AJ58 AJ68 AJ60 AJ72:AJ104 AJ70 AJ62:AJ66 AJ35:AJ56">
      <formula1>"Siempre se ejecuta,Algunas veces,No se ejecuta"</formula1>
    </dataValidation>
    <dataValidation type="list" allowBlank="1" showInputMessage="1" showErrorMessage="1" sqref="AF11:AF27 AF31 AF58 AF68 AF60 AF72:AF104 AF70 AF62:AF66 AF35:AF56">
      <formula1>"Completa,Incompleta,No existe"</formula1>
    </dataValidation>
    <dataValidation type="list" allowBlank="1" showInputMessage="1" showErrorMessage="1" sqref="AD11:AD27 AD31 AD58 AD68 AD60 AD72:AD104 AD70 AD62:AD66 AD35:AD56">
      <formula1>"Se investigan y resuelven oportunamente,No se investigan y no se resuelven oportunamente"</formula1>
    </dataValidation>
    <dataValidation type="list" allowBlank="1" showInputMessage="1" showErrorMessage="1" sqref="AB11:AB27 AB31 AB58 AB68 AB60 AB72:AB104 AB70 AB62:AB66 AB35:AB56">
      <formula1>"Confiable,No confiable"</formula1>
    </dataValidation>
    <dataValidation type="list" allowBlank="1" showInputMessage="1" showErrorMessage="1" sqref="Z11:Z27 Z31 Z58 Z68 Z60 Z72:Z104 Z70 Z62:Z66 Z35:Z56">
      <formula1>"Prevenir,Detectar,No es un control"</formula1>
    </dataValidation>
    <dataValidation type="list" allowBlank="1" showInputMessage="1" showErrorMessage="1" sqref="X11:X27 X31 X58 X68 X60 X72:X104 X70 X62:X66 X35:X56">
      <formula1>"Oportuna,Inoportuna"</formula1>
    </dataValidation>
    <dataValidation type="list" allowBlank="1" showInputMessage="1" showErrorMessage="1" sqref="V11:V27 V31 V58 V68 V60 V72:V104 V70 V62:V66 V35:V56">
      <formula1>"Adecuado,Inadecuado"</formula1>
    </dataValidation>
    <dataValidation type="list" allowBlank="1" showInputMessage="1" showErrorMessage="1" sqref="T11:T27 T31 T58 T68 T60 T72:T104 T70 T62:T66 T35:T56">
      <formula1>"Asignado,No asignado"</formula1>
    </dataValidation>
    <dataValidation type="list" allowBlank="1" showInputMessage="1" showErrorMessage="1" prompt="Seleccione la amenaza de acuerdo con el tipo seleccionado" sqref="J11:J21 J23:J24 J27 J35:J53 J56:J61 J66:J104">
      <formula1>INDIRECT($I$11)</formula1>
    </dataValidation>
    <dataValidation type="list" allowBlank="1" showInputMessage="1" showErrorMessage="1" prompt="Solo aplica para los riesgos tipificados como seguridad de la información" sqref="I11:I21 I23:I27 I35:I104">
      <formula1>tipo_de_amenaza</formula1>
    </dataValidation>
    <dataValidation allowBlank="1" showInputMessage="1" showErrorMessage="1" prompt="Relacione el activo de información donde el nivel de criticidad corresponde a &quot;Crítico&quot;" sqref="H11:H19 H21:H27 H68 H70 H60 H35:H56 H62:H66 H58 H72:H104"/>
    <dataValidation type="list" allowBlank="1" showInputMessage="1" showErrorMessage="1" prompt="Seleccione el tipo de riesgo conforme a las categorias." sqref="F11:F19 F21 F23:F27 F68 F70 F60 F35:F56 F62:F66 F58 F72:F104">
      <formula1>tipo_de_riesgos</formula1>
    </dataValidation>
    <dataValidation type="list" allowBlank="1" showInputMessage="1" showErrorMessage="1" sqref="B11:B19 B21:B27 B68 B70 B72 B79:B104 B35:B56 B62:B66 B58">
      <formula1>procesos</formula1>
    </dataValidation>
    <dataValidation type="list" allowBlank="1" showInputMessage="1" showErrorMessage="1" sqref="O11:O19 AX11:AX19 O21 AX21 O23:O24 O27 AX35:AX54 AX27 AX23:AX25 AX66 O66 O68 AX68 AX70 O70 AX60 AX95:AX104 O35:O56 AX56 O58 AX58 O60 AX72:AX93 O72:O104">
      <formula1>INDIRECT($M$11)</formula1>
    </dataValidation>
    <dataValidation type="list" allowBlank="1" showInputMessage="1" showErrorMessage="1" sqref="N11:N19 AW11:AW19 N21 AW21 N23:N25 N27 AW35:AW54 AW27 AW23:AW25 AW64 AW66 N68 AW68 AW70 N70 AW95:AW104 AW60 N35:N56 N62:N66 AW56 N58 AW58 N60 N72:N104 AW72:AW93">
      <formula1>probabilidad</formula1>
    </dataValidation>
    <dataValidation type="list" allowBlank="1" showInputMessage="1" showErrorMessage="1" prompt="Seleccione la tipología conforme al tipo de riesgo." sqref="G11:G19 G21 G23:G27 G68 G70 G60 G35:G56 G62:G66 G58 G72:G104">
      <formula1>INDIRECT(F11)</formula1>
    </dataValidation>
    <dataValidation type="list" allowBlank="1" showInputMessage="1" showErrorMessage="1" prompt="Seleccione la amenaza de acuerdo con el tipo seleccionado" sqref="J25:J26 J62:J65">
      <formula1>INDIRECT(#REF!)</formula1>
    </dataValidation>
    <dataValidation type="list" allowBlank="1" showInputMessage="1" showErrorMessage="1" sqref="AW62">
      <formula1>B</formula1>
    </dataValidation>
    <dataValidation type="list" allowBlank="1" showInputMessage="1" showErrorMessage="1" sqref="O62:O65 AX62 AX64">
      <formula1>INDIRECT(#REF!)</formula1>
    </dataValidation>
  </dataValidations>
  <printOptions horizontalCentered="1"/>
  <pageMargins left="0.44270833333333331" right="0.94208333333333338" top="0.74803149606299213" bottom="0.74803149606299213" header="0.31496062992125984" footer="0.31496062992125984"/>
  <pageSetup paperSize="5" scale="34"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52"/>
  <sheetViews>
    <sheetView showGridLines="0" topLeftCell="A19" zoomScale="50" zoomScaleNormal="50" zoomScaleSheetLayoutView="40" zoomScalePageLayoutView="68" workbookViewId="0">
      <selection activeCell="B20" sqref="B20:B21"/>
    </sheetView>
  </sheetViews>
  <sheetFormatPr baseColWidth="10" defaultColWidth="11.42578125" defaultRowHeight="11.25" x14ac:dyDescent="0.25"/>
  <cols>
    <col min="1" max="1" width="4.28515625" style="11" customWidth="1"/>
    <col min="2" max="2" width="20.7109375" style="11" customWidth="1"/>
    <col min="3" max="3" width="10.5703125" style="11" customWidth="1"/>
    <col min="4" max="4" width="32.42578125" style="11" customWidth="1"/>
    <col min="5" max="5" width="31.42578125" style="11" customWidth="1"/>
    <col min="6" max="6" width="14" style="11" customWidth="1"/>
    <col min="7" max="7" width="16.7109375" style="11" customWidth="1"/>
    <col min="8" max="8" width="12.28515625" style="11" customWidth="1"/>
    <col min="9" max="10" width="11.7109375" style="11" customWidth="1"/>
    <col min="11" max="12" width="26.7109375" style="11" customWidth="1"/>
    <col min="13" max="13" width="26.7109375" style="11" hidden="1" customWidth="1"/>
    <col min="14" max="14" width="13.85546875" style="11" customWidth="1" collapsed="1"/>
    <col min="15" max="15" width="13.85546875" style="11" customWidth="1"/>
    <col min="16" max="16" width="22.5703125" style="11" hidden="1" customWidth="1"/>
    <col min="17" max="17" width="22.5703125" style="11" customWidth="1"/>
    <col min="18" max="18" width="28.85546875" style="11" customWidth="1" collapsed="1"/>
    <col min="19" max="19" width="20.140625" style="11" customWidth="1"/>
    <col min="20" max="20" width="34.42578125" style="11" customWidth="1"/>
    <col min="21" max="21" width="23.28515625" style="11" hidden="1" customWidth="1"/>
    <col min="22" max="22" width="34.5703125" style="11" customWidth="1"/>
    <col min="23" max="23" width="23.28515625" style="11" hidden="1" customWidth="1"/>
    <col min="24" max="24" width="39.7109375" style="11" customWidth="1"/>
    <col min="25" max="25" width="23.28515625" style="11" hidden="1" customWidth="1"/>
    <col min="26" max="26" width="39.7109375" style="11" customWidth="1"/>
    <col min="27" max="27" width="23.28515625" style="11" hidden="1" customWidth="1"/>
    <col min="28" max="28" width="36.28515625" style="11" customWidth="1"/>
    <col min="29" max="29" width="23.28515625" style="11" hidden="1" customWidth="1"/>
    <col min="30" max="30" width="39.7109375" style="11" customWidth="1"/>
    <col min="31" max="31" width="20" style="11" hidden="1" customWidth="1"/>
    <col min="32" max="32" width="34.5703125" style="11" customWidth="1"/>
    <col min="33" max="33" width="20" style="11" customWidth="1"/>
    <col min="34" max="34" width="14.5703125" style="11" customWidth="1"/>
    <col min="35" max="35" width="20" style="11" customWidth="1"/>
    <col min="36" max="36" width="23" style="11" customWidth="1"/>
    <col min="37" max="37" width="22.42578125" style="11" hidden="1" customWidth="1"/>
    <col min="38" max="40" width="17.28515625" style="11" hidden="1" customWidth="1"/>
    <col min="41" max="41" width="27" style="11" hidden="1" customWidth="1"/>
    <col min="42" max="42" width="12.28515625" style="11" customWidth="1"/>
    <col min="43" max="43" width="14.5703125" style="11" customWidth="1"/>
    <col min="44" max="45" width="23.28515625" style="11" customWidth="1"/>
    <col min="46" max="46" width="17.28515625" style="11" hidden="1" customWidth="1"/>
    <col min="47" max="48" width="20" style="11" customWidth="1"/>
    <col min="49" max="49" width="25.5703125" style="11" customWidth="1"/>
    <col min="50" max="50" width="23" style="11" customWidth="1"/>
    <col min="51" max="51" width="19.7109375" style="11" hidden="1" customWidth="1"/>
    <col min="52" max="53" width="19.7109375" style="11" customWidth="1"/>
    <col min="54" max="54" width="27.28515625" style="11" customWidth="1"/>
    <col min="55" max="56" width="20.42578125" style="11" customWidth="1"/>
    <col min="57" max="59" width="27.28515625" style="11" customWidth="1"/>
    <col min="60" max="60" width="22.7109375" style="11" customWidth="1"/>
    <col min="61" max="61" width="21.5703125" style="11" customWidth="1"/>
    <col min="62" max="62" width="15.28515625" style="11" customWidth="1"/>
    <col min="63" max="16384" width="11.42578125" style="11"/>
  </cols>
  <sheetData>
    <row r="1" spans="1:62" ht="12" thickBot="1" x14ac:dyDescent="0.3"/>
    <row r="2" spans="1:62" ht="7.5" customHeight="1" x14ac:dyDescent="0.25">
      <c r="B2" s="238" t="s">
        <v>745</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40"/>
    </row>
    <row r="3" spans="1:62" ht="7.5" customHeight="1" x14ac:dyDescent="0.25">
      <c r="B3" s="241"/>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3"/>
    </row>
    <row r="4" spans="1:62" ht="7.5" customHeight="1" x14ac:dyDescent="0.25">
      <c r="B4" s="241"/>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3"/>
    </row>
    <row r="5" spans="1:62" ht="7.5" customHeight="1" thickBot="1" x14ac:dyDescent="0.3">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6"/>
    </row>
    <row r="6" spans="1:62" ht="7.5" customHeight="1" x14ac:dyDescent="0.25"/>
    <row r="7" spans="1:62" s="6" customFormat="1" ht="7.5" customHeight="1" thickBot="1" x14ac:dyDescent="0.3">
      <c r="M7" s="9"/>
      <c r="P7" s="10"/>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62" s="6" customFormat="1" ht="25.5" customHeight="1" x14ac:dyDescent="0.25">
      <c r="B8" s="431" t="s">
        <v>96</v>
      </c>
      <c r="C8" s="428" t="s">
        <v>97</v>
      </c>
      <c r="D8" s="428" t="s">
        <v>98</v>
      </c>
      <c r="E8" s="429" t="s">
        <v>99</v>
      </c>
      <c r="F8" s="428" t="s">
        <v>100</v>
      </c>
      <c r="G8" s="429" t="s">
        <v>101</v>
      </c>
      <c r="H8" s="428" t="s">
        <v>102</v>
      </c>
      <c r="I8" s="429" t="s">
        <v>103</v>
      </c>
      <c r="J8" s="428" t="s">
        <v>104</v>
      </c>
      <c r="K8" s="428" t="s">
        <v>105</v>
      </c>
      <c r="L8" s="429" t="s">
        <v>106</v>
      </c>
      <c r="M8" s="430"/>
      <c r="N8" s="429" t="s">
        <v>107</v>
      </c>
      <c r="O8" s="429"/>
      <c r="P8" s="429"/>
      <c r="Q8" s="171" t="s">
        <v>108</v>
      </c>
      <c r="R8" s="429" t="s">
        <v>109</v>
      </c>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32" t="s">
        <v>110</v>
      </c>
      <c r="AX8" s="433"/>
      <c r="AY8" s="433"/>
      <c r="AZ8" s="434"/>
      <c r="BA8" s="435" t="s">
        <v>111</v>
      </c>
      <c r="BB8" s="431" t="s">
        <v>112</v>
      </c>
      <c r="BC8" s="428"/>
      <c r="BD8" s="428"/>
      <c r="BE8" s="428"/>
      <c r="BF8" s="428"/>
      <c r="BG8" s="428" t="s">
        <v>113</v>
      </c>
      <c r="BH8" s="428"/>
      <c r="BI8" s="428"/>
      <c r="BJ8" s="428"/>
    </row>
    <row r="9" spans="1:62" s="6" customFormat="1" ht="33.75" customHeight="1" x14ac:dyDescent="0.25">
      <c r="B9" s="407"/>
      <c r="C9" s="409"/>
      <c r="D9" s="409"/>
      <c r="E9" s="403"/>
      <c r="F9" s="409"/>
      <c r="G9" s="403"/>
      <c r="H9" s="409"/>
      <c r="I9" s="403"/>
      <c r="J9" s="409"/>
      <c r="K9" s="409"/>
      <c r="L9" s="403"/>
      <c r="M9" s="421"/>
      <c r="N9" s="403" t="s">
        <v>5</v>
      </c>
      <c r="O9" s="403" t="s">
        <v>114</v>
      </c>
      <c r="P9" s="403"/>
      <c r="Q9" s="411" t="s">
        <v>115</v>
      </c>
      <c r="R9" s="403" t="s">
        <v>116</v>
      </c>
      <c r="S9" s="403"/>
      <c r="T9" s="403" t="s">
        <v>117</v>
      </c>
      <c r="U9" s="60"/>
      <c r="V9" s="403" t="s">
        <v>118</v>
      </c>
      <c r="W9" s="60"/>
      <c r="X9" s="403" t="s">
        <v>119</v>
      </c>
      <c r="Y9" s="60"/>
      <c r="Z9" s="403" t="s">
        <v>120</v>
      </c>
      <c r="AA9" s="60"/>
      <c r="AB9" s="403" t="s">
        <v>121</v>
      </c>
      <c r="AC9" s="60"/>
      <c r="AD9" s="403" t="s">
        <v>122</v>
      </c>
      <c r="AE9" s="60"/>
      <c r="AF9" s="403" t="s">
        <v>123</v>
      </c>
      <c r="AG9" s="60"/>
      <c r="AH9" s="403" t="s">
        <v>124</v>
      </c>
      <c r="AI9" s="403" t="s">
        <v>125</v>
      </c>
      <c r="AJ9" s="403" t="s">
        <v>126</v>
      </c>
      <c r="AK9" s="403"/>
      <c r="AL9" s="164"/>
      <c r="AM9" s="403" t="s">
        <v>127</v>
      </c>
      <c r="AN9" s="403"/>
      <c r="AO9" s="403" t="s">
        <v>128</v>
      </c>
      <c r="AP9" s="403" t="s">
        <v>129</v>
      </c>
      <c r="AQ9" s="403"/>
      <c r="AR9" s="403" t="s">
        <v>130</v>
      </c>
      <c r="AS9" s="403" t="s">
        <v>131</v>
      </c>
      <c r="AT9" s="60"/>
      <c r="AU9" s="403" t="s">
        <v>132</v>
      </c>
      <c r="AV9" s="403"/>
      <c r="AW9" s="409" t="s">
        <v>5</v>
      </c>
      <c r="AX9" s="409" t="s">
        <v>114</v>
      </c>
      <c r="AY9" s="421"/>
      <c r="AZ9" s="409" t="s">
        <v>115</v>
      </c>
      <c r="BA9" s="436"/>
      <c r="BB9" s="407" t="s">
        <v>133</v>
      </c>
      <c r="BC9" s="409" t="s">
        <v>134</v>
      </c>
      <c r="BD9" s="409" t="s">
        <v>135</v>
      </c>
      <c r="BE9" s="409" t="s">
        <v>136</v>
      </c>
      <c r="BF9" s="409" t="s">
        <v>137</v>
      </c>
      <c r="BG9" s="409" t="s">
        <v>138</v>
      </c>
      <c r="BH9" s="409" t="s">
        <v>134</v>
      </c>
      <c r="BI9" s="409" t="s">
        <v>135</v>
      </c>
      <c r="BJ9" s="409" t="s">
        <v>136</v>
      </c>
    </row>
    <row r="10" spans="1:62" s="6" customFormat="1" ht="48" customHeight="1" thickBot="1" x14ac:dyDescent="0.3">
      <c r="B10" s="522"/>
      <c r="C10" s="520"/>
      <c r="D10" s="520"/>
      <c r="E10" s="411"/>
      <c r="F10" s="520"/>
      <c r="G10" s="411"/>
      <c r="H10" s="520"/>
      <c r="I10" s="411"/>
      <c r="J10" s="520"/>
      <c r="K10" s="520"/>
      <c r="L10" s="411"/>
      <c r="M10" s="521"/>
      <c r="N10" s="411"/>
      <c r="O10" s="411"/>
      <c r="P10" s="411"/>
      <c r="Q10" s="519"/>
      <c r="R10" s="411"/>
      <c r="S10" s="411"/>
      <c r="T10" s="411"/>
      <c r="U10" s="167"/>
      <c r="V10" s="411"/>
      <c r="W10" s="167"/>
      <c r="X10" s="411"/>
      <c r="Y10" s="167"/>
      <c r="Z10" s="411"/>
      <c r="AA10" s="167"/>
      <c r="AB10" s="411"/>
      <c r="AC10" s="167"/>
      <c r="AD10" s="411"/>
      <c r="AE10" s="167"/>
      <c r="AF10" s="411"/>
      <c r="AG10" s="167"/>
      <c r="AH10" s="411"/>
      <c r="AI10" s="411"/>
      <c r="AJ10" s="411"/>
      <c r="AK10" s="411"/>
      <c r="AL10" s="63"/>
      <c r="AM10" s="411"/>
      <c r="AN10" s="411"/>
      <c r="AO10" s="411"/>
      <c r="AP10" s="411"/>
      <c r="AQ10" s="411"/>
      <c r="AR10" s="411"/>
      <c r="AS10" s="411"/>
      <c r="AT10" s="63"/>
      <c r="AU10" s="63" t="s">
        <v>139</v>
      </c>
      <c r="AV10" s="63" t="s">
        <v>140</v>
      </c>
      <c r="AW10" s="520"/>
      <c r="AX10" s="520"/>
      <c r="AY10" s="521"/>
      <c r="AZ10" s="520"/>
      <c r="BA10" s="436"/>
      <c r="BB10" s="522"/>
      <c r="BC10" s="520"/>
      <c r="BD10" s="520"/>
      <c r="BE10" s="520"/>
      <c r="BF10" s="520"/>
      <c r="BG10" s="520"/>
      <c r="BH10" s="520"/>
      <c r="BI10" s="520"/>
      <c r="BJ10" s="520"/>
    </row>
    <row r="11" spans="1:62" s="59" customFormat="1" ht="228" customHeight="1" x14ac:dyDescent="0.25">
      <c r="A11" s="295">
        <v>1</v>
      </c>
      <c r="B11" s="457" t="s">
        <v>44</v>
      </c>
      <c r="C11" s="276">
        <v>1</v>
      </c>
      <c r="D11" s="278" t="s">
        <v>746</v>
      </c>
      <c r="E11" s="278" t="s">
        <v>747</v>
      </c>
      <c r="F11" s="341" t="s">
        <v>21</v>
      </c>
      <c r="G11" s="341" t="s">
        <v>57</v>
      </c>
      <c r="H11" s="344"/>
      <c r="I11" s="345"/>
      <c r="J11" s="345"/>
      <c r="K11" s="65" t="s">
        <v>748</v>
      </c>
      <c r="L11" s="344" t="s">
        <v>749</v>
      </c>
      <c r="M11" s="342" t="str">
        <f>IF(F11="gestion","impacto",IF(F11="corrupcion","impactocorrupcion",IF(F11="seguridad_de_la_informacion","impacto","")))</f>
        <v>impactocorrupcion</v>
      </c>
      <c r="N11" s="341" t="s">
        <v>35</v>
      </c>
      <c r="O11" s="341" t="s">
        <v>27</v>
      </c>
      <c r="P11" s="342" t="str">
        <f>N11&amp;O11</f>
        <v>PosibleMayor</v>
      </c>
      <c r="Q11" s="343" t="str">
        <f>IFERROR(VLOOKUP(P11,FORMULAS!$B$37:$C$61,2,FALSE),"")</f>
        <v>Riesgo extremo</v>
      </c>
      <c r="R11" s="523" t="s">
        <v>750</v>
      </c>
      <c r="S11" s="523"/>
      <c r="T11" s="121" t="s">
        <v>147</v>
      </c>
      <c r="U11" s="67">
        <f t="shared" ref="U11:U27" si="0">IF(T11="Asignado",15,0)</f>
        <v>15</v>
      </c>
      <c r="V11" s="121" t="s">
        <v>148</v>
      </c>
      <c r="W11" s="67">
        <f t="shared" ref="W11:W27" si="1">IF(V11="Adecuado",15,0)</f>
        <v>15</v>
      </c>
      <c r="X11" s="121" t="s">
        <v>149</v>
      </c>
      <c r="Y11" s="67">
        <f t="shared" ref="Y11:Y27" si="2">IF(X11="Oportuna",15,0)</f>
        <v>15</v>
      </c>
      <c r="Z11" s="121" t="s">
        <v>150</v>
      </c>
      <c r="AA11" s="67">
        <f t="shared" ref="AA11:AA27" si="3">IF(Z11="Prevenir",15,IF(Z11="Detectar",10,0))</f>
        <v>15</v>
      </c>
      <c r="AB11" s="121" t="s">
        <v>151</v>
      </c>
      <c r="AC11" s="67">
        <f t="shared" ref="AC11:AC27" si="4">IF(AB11="Confiable",15,0)</f>
        <v>15</v>
      </c>
      <c r="AD11" s="121" t="s">
        <v>152</v>
      </c>
      <c r="AE11" s="67">
        <f t="shared" ref="AE11:AE27" si="5">IF(AD11="Se investigan y resuelven oportunamente",15,0)</f>
        <v>15</v>
      </c>
      <c r="AF11" s="121" t="s">
        <v>153</v>
      </c>
      <c r="AG11" s="123">
        <f t="shared" ref="AG11:AG27" si="6">IF(AF11="Completa",10,IF(AF11="incompleta",5,0))</f>
        <v>10</v>
      </c>
      <c r="AH11" s="127">
        <f t="shared" ref="AH11:AH27" si="7">U11+W11+Y11+AA11+AC11+AE11+AG11</f>
        <v>100</v>
      </c>
      <c r="AI11" s="127" t="str">
        <f t="shared" ref="AI11:AI27" si="8">IF(AH11&gt;=96,"Fuerte",IF(AH11&gt;=86,"Moderado",IF(AH11&gt;=1,"Débil","")))</f>
        <v>Fuerte</v>
      </c>
      <c r="AJ11" s="119" t="s">
        <v>154</v>
      </c>
      <c r="AK11" s="127" t="str">
        <f t="shared" ref="AK11:AK27" si="9">IF(AJ11="Siempre se ejecuta","Fuerte",IF(AJ11="Algunas veces","Moderado",IF(AJ11="no se ejecuta","Débil","")))</f>
        <v>Fuerte</v>
      </c>
      <c r="AL11" s="127" t="str">
        <f t="shared" ref="AL11:AL27" si="10">AI11&amp;AK11</f>
        <v>FuerteFuerte</v>
      </c>
      <c r="AM11" s="127" t="str">
        <f>IFERROR(VLOOKUP(AL11,FORMULAS!$B$69:$D$77,3,FALSE),"")</f>
        <v>Fuerte</v>
      </c>
      <c r="AN11" s="127">
        <f t="shared" ref="AN11:AN27" si="11">IF(AM11="fuerte",100,IF(AM11="Moderado",50,IF(AM11="débil",0,"")))</f>
        <v>100</v>
      </c>
      <c r="AO11" s="127" t="str">
        <f>IFERROR(VLOOKUP(AL11,FORMULAS!$B$69:$D$77,2,FALSE),"")</f>
        <v>No</v>
      </c>
      <c r="AP11" s="306">
        <f>IFERROR(AVERAGE(AN11:AN12),0)</f>
        <v>100</v>
      </c>
      <c r="AQ11" s="306" t="str">
        <f>IF(AP11&gt;=100,"Fuerte",IF(AP11&gt;=50,"Moderado",IF(AP11&gt;=1,"Débil","")))</f>
        <v>Fuerte</v>
      </c>
      <c r="AR11" s="308" t="s">
        <v>92</v>
      </c>
      <c r="AS11" s="308" t="s">
        <v>93</v>
      </c>
      <c r="AT11" s="306" t="str">
        <f>+AQ11&amp;AR11&amp;AS11</f>
        <v>FuerteDirectamenteNo disminuye</v>
      </c>
      <c r="AU11" s="306">
        <f>IFERROR(VLOOKUP(AT11,FORMULAS!$B$94:$D$101,2,FALSE),0)</f>
        <v>2</v>
      </c>
      <c r="AV11" s="306">
        <f>IFERROR(VLOOKUP(AT11,FORMULAS!$B$94:$D$101,3,FALSE),0)</f>
        <v>0</v>
      </c>
      <c r="AW11" s="341" t="s">
        <v>15</v>
      </c>
      <c r="AX11" s="341" t="s">
        <v>27</v>
      </c>
      <c r="AY11" s="342" t="str">
        <f>AW11&amp;AX11</f>
        <v>Rara vezMayor</v>
      </c>
      <c r="AZ11" s="356" t="str">
        <f>IFERROR(VLOOKUP(AY11,FORMULAS!$B$37:$C$61,2,FALSE),"")</f>
        <v>Riesgo alto</v>
      </c>
      <c r="BA11" s="343" t="s">
        <v>29</v>
      </c>
      <c r="BB11" s="87" t="s">
        <v>751</v>
      </c>
      <c r="BC11" s="149" t="s">
        <v>752</v>
      </c>
      <c r="BD11" s="149" t="s">
        <v>753</v>
      </c>
      <c r="BE11" s="85" t="s">
        <v>754</v>
      </c>
      <c r="BF11" s="85" t="s">
        <v>755</v>
      </c>
      <c r="BG11" s="309" t="s">
        <v>756</v>
      </c>
      <c r="BH11" s="328" t="s">
        <v>757</v>
      </c>
      <c r="BI11" s="328" t="s">
        <v>758</v>
      </c>
      <c r="BJ11" s="413" t="s">
        <v>179</v>
      </c>
    </row>
    <row r="12" spans="1:62" s="59" customFormat="1" ht="84" customHeight="1" thickBot="1" x14ac:dyDescent="0.3">
      <c r="A12" s="295"/>
      <c r="B12" s="458"/>
      <c r="C12" s="277"/>
      <c r="D12" s="279"/>
      <c r="E12" s="279"/>
      <c r="F12" s="368"/>
      <c r="G12" s="368"/>
      <c r="H12" s="366"/>
      <c r="I12" s="367"/>
      <c r="J12" s="367"/>
      <c r="K12" s="73" t="s">
        <v>759</v>
      </c>
      <c r="L12" s="366"/>
      <c r="M12" s="355"/>
      <c r="N12" s="368"/>
      <c r="O12" s="368"/>
      <c r="P12" s="355"/>
      <c r="Q12" s="369"/>
      <c r="R12" s="526" t="s">
        <v>760</v>
      </c>
      <c r="S12" s="526"/>
      <c r="T12" s="122" t="s">
        <v>147</v>
      </c>
      <c r="U12" s="69">
        <f t="shared" si="0"/>
        <v>15</v>
      </c>
      <c r="V12" s="122" t="s">
        <v>148</v>
      </c>
      <c r="W12" s="69">
        <f t="shared" si="1"/>
        <v>15</v>
      </c>
      <c r="X12" s="122" t="s">
        <v>149</v>
      </c>
      <c r="Y12" s="69">
        <f t="shared" si="2"/>
        <v>15</v>
      </c>
      <c r="Z12" s="122" t="s">
        <v>150</v>
      </c>
      <c r="AA12" s="69">
        <f t="shared" si="3"/>
        <v>15</v>
      </c>
      <c r="AB12" s="122" t="s">
        <v>151</v>
      </c>
      <c r="AC12" s="69">
        <f t="shared" si="4"/>
        <v>15</v>
      </c>
      <c r="AD12" s="122" t="s">
        <v>152</v>
      </c>
      <c r="AE12" s="69">
        <f t="shared" si="5"/>
        <v>15</v>
      </c>
      <c r="AF12" s="122" t="s">
        <v>153</v>
      </c>
      <c r="AG12" s="124">
        <f t="shared" si="6"/>
        <v>10</v>
      </c>
      <c r="AH12" s="129">
        <f t="shared" si="7"/>
        <v>100</v>
      </c>
      <c r="AI12" s="129" t="str">
        <f t="shared" si="8"/>
        <v>Fuerte</v>
      </c>
      <c r="AJ12" s="120" t="s">
        <v>154</v>
      </c>
      <c r="AK12" s="129" t="str">
        <f t="shared" si="9"/>
        <v>Fuerte</v>
      </c>
      <c r="AL12" s="129" t="str">
        <f t="shared" si="10"/>
        <v>FuerteFuerte</v>
      </c>
      <c r="AM12" s="129" t="str">
        <f>IFERROR(VLOOKUP(AL12,FORMULAS!$B$69:$D$77,3,FALSE),"")</f>
        <v>Fuerte</v>
      </c>
      <c r="AN12" s="129">
        <f t="shared" si="11"/>
        <v>100</v>
      </c>
      <c r="AO12" s="129" t="str">
        <f>IFERROR(VLOOKUP(AL12,FORMULAS!$B$69:$C$77,2,FALSE),"")</f>
        <v>No</v>
      </c>
      <c r="AP12" s="307"/>
      <c r="AQ12" s="307"/>
      <c r="AR12" s="305"/>
      <c r="AS12" s="305"/>
      <c r="AT12" s="307"/>
      <c r="AU12" s="307"/>
      <c r="AV12" s="307"/>
      <c r="AW12" s="368"/>
      <c r="AX12" s="368"/>
      <c r="AY12" s="355"/>
      <c r="AZ12" s="357"/>
      <c r="BA12" s="369"/>
      <c r="BB12" s="151" t="s">
        <v>761</v>
      </c>
      <c r="BC12" s="151" t="s">
        <v>762</v>
      </c>
      <c r="BD12" s="151" t="s">
        <v>753</v>
      </c>
      <c r="BE12" s="86" t="s">
        <v>355</v>
      </c>
      <c r="BF12" s="86" t="s">
        <v>763</v>
      </c>
      <c r="BG12" s="311"/>
      <c r="BH12" s="330"/>
      <c r="BI12" s="330"/>
      <c r="BJ12" s="415"/>
    </row>
    <row r="13" spans="1:62" s="59" customFormat="1" ht="189.75" customHeight="1" x14ac:dyDescent="0.25">
      <c r="A13" s="295">
        <v>2</v>
      </c>
      <c r="B13" s="457" t="s">
        <v>44</v>
      </c>
      <c r="C13" s="276">
        <v>2</v>
      </c>
      <c r="D13" s="278" t="s">
        <v>764</v>
      </c>
      <c r="E13" s="278" t="s">
        <v>765</v>
      </c>
      <c r="F13" s="341" t="s">
        <v>21</v>
      </c>
      <c r="G13" s="341" t="s">
        <v>57</v>
      </c>
      <c r="H13" s="344"/>
      <c r="I13" s="345"/>
      <c r="J13" s="345"/>
      <c r="K13" s="65" t="s">
        <v>766</v>
      </c>
      <c r="L13" s="344" t="s">
        <v>767</v>
      </c>
      <c r="M13" s="342" t="str">
        <f>IF(F13="gestion","impacto",IF(F13="corrupcion","impactocorrupcion",IF(F13="seguridad_de_la_informacion","impacto","")))</f>
        <v>impactocorrupcion</v>
      </c>
      <c r="N13" s="341" t="s">
        <v>35</v>
      </c>
      <c r="O13" s="341" t="s">
        <v>17</v>
      </c>
      <c r="P13" s="342" t="str">
        <f>N13&amp;O13</f>
        <v>PosibleModerado</v>
      </c>
      <c r="Q13" s="343" t="str">
        <f>IFERROR(VLOOKUP(P13,FORMULAS!$B$37:$C$61,2,FALSE),"")</f>
        <v>Riesgo alto</v>
      </c>
      <c r="R13" s="528" t="s">
        <v>768</v>
      </c>
      <c r="S13" s="528"/>
      <c r="T13" s="121" t="s">
        <v>147</v>
      </c>
      <c r="U13" s="67">
        <f t="shared" si="0"/>
        <v>15</v>
      </c>
      <c r="V13" s="121" t="s">
        <v>148</v>
      </c>
      <c r="W13" s="67">
        <f t="shared" si="1"/>
        <v>15</v>
      </c>
      <c r="X13" s="121" t="s">
        <v>149</v>
      </c>
      <c r="Y13" s="67">
        <f t="shared" si="2"/>
        <v>15</v>
      </c>
      <c r="Z13" s="121" t="s">
        <v>150</v>
      </c>
      <c r="AA13" s="67">
        <f t="shared" si="3"/>
        <v>15</v>
      </c>
      <c r="AB13" s="121" t="s">
        <v>151</v>
      </c>
      <c r="AC13" s="67">
        <f t="shared" si="4"/>
        <v>15</v>
      </c>
      <c r="AD13" s="121" t="s">
        <v>152</v>
      </c>
      <c r="AE13" s="67">
        <f t="shared" si="5"/>
        <v>15</v>
      </c>
      <c r="AF13" s="121" t="s">
        <v>153</v>
      </c>
      <c r="AG13" s="123">
        <f t="shared" si="6"/>
        <v>10</v>
      </c>
      <c r="AH13" s="127">
        <f>U13+W13+Y13+AA13+AC13+AE13+AG13</f>
        <v>100</v>
      </c>
      <c r="AI13" s="127" t="str">
        <f t="shared" si="8"/>
        <v>Fuerte</v>
      </c>
      <c r="AJ13" s="119" t="s">
        <v>154</v>
      </c>
      <c r="AK13" s="127" t="str">
        <f t="shared" si="9"/>
        <v>Fuerte</v>
      </c>
      <c r="AL13" s="127" t="str">
        <f t="shared" si="10"/>
        <v>FuerteFuerte</v>
      </c>
      <c r="AM13" s="127" t="str">
        <f>IFERROR(VLOOKUP(AL13,FORMULAS!$B$69:$D$77,3,FALSE),"")</f>
        <v>Fuerte</v>
      </c>
      <c r="AN13" s="127">
        <f t="shared" si="11"/>
        <v>100</v>
      </c>
      <c r="AO13" s="127" t="str">
        <f>IFERROR(VLOOKUP(AL13,FORMULAS!$B$69:$D$77,2,FALSE),"")</f>
        <v>No</v>
      </c>
      <c r="AP13" s="306">
        <f>IFERROR(AVERAGE(AN13:AN14),0)</f>
        <v>100</v>
      </c>
      <c r="AQ13" s="306" t="str">
        <f>IF(AP13&gt;=100,"Fuerte",IF(AP13&gt;=50,"Moderado",IF(AP13&gt;=1,"Débil","")))</f>
        <v>Fuerte</v>
      </c>
      <c r="AR13" s="308" t="s">
        <v>92</v>
      </c>
      <c r="AS13" s="308" t="s">
        <v>93</v>
      </c>
      <c r="AT13" s="306" t="str">
        <f>+AQ13&amp;AR13&amp;AS13</f>
        <v>FuerteDirectamenteNo disminuye</v>
      </c>
      <c r="AU13" s="306">
        <f>IFERROR(VLOOKUP(AT13,FORMULAS!$B$94:$D$101,2,FALSE),0)</f>
        <v>2</v>
      </c>
      <c r="AV13" s="306">
        <f>IFERROR(VLOOKUP(AT13,FORMULAS!$B$94:$D$101,3,FALSE),0)</f>
        <v>0</v>
      </c>
      <c r="AW13" s="341" t="s">
        <v>15</v>
      </c>
      <c r="AX13" s="341" t="s">
        <v>17</v>
      </c>
      <c r="AY13" s="342" t="str">
        <f>AW13&amp;AX13</f>
        <v>Rara vezModerado</v>
      </c>
      <c r="AZ13" s="356" t="str">
        <f>IFERROR(VLOOKUP(AY13,FORMULAS!$B$37:$C$61,2,FALSE),"")</f>
        <v>Riesgo moderado</v>
      </c>
      <c r="BA13" s="343" t="s">
        <v>29</v>
      </c>
      <c r="BB13" s="149" t="s">
        <v>769</v>
      </c>
      <c r="BC13" s="149" t="s">
        <v>770</v>
      </c>
      <c r="BD13" s="149" t="s">
        <v>753</v>
      </c>
      <c r="BE13" s="85" t="s">
        <v>355</v>
      </c>
      <c r="BF13" s="524" t="s">
        <v>771</v>
      </c>
      <c r="BG13" s="328" t="s">
        <v>772</v>
      </c>
      <c r="BH13" s="328" t="s">
        <v>773</v>
      </c>
      <c r="BI13" s="328" t="s">
        <v>774</v>
      </c>
      <c r="BJ13" s="423" t="s">
        <v>179</v>
      </c>
    </row>
    <row r="14" spans="1:62" s="59" customFormat="1" ht="105.75" customHeight="1" thickBot="1" x14ac:dyDescent="0.3">
      <c r="A14" s="295"/>
      <c r="B14" s="458"/>
      <c r="C14" s="277"/>
      <c r="D14" s="279"/>
      <c r="E14" s="279"/>
      <c r="F14" s="368"/>
      <c r="G14" s="368"/>
      <c r="H14" s="366"/>
      <c r="I14" s="367"/>
      <c r="J14" s="367"/>
      <c r="K14" s="73" t="s">
        <v>775</v>
      </c>
      <c r="L14" s="366"/>
      <c r="M14" s="355"/>
      <c r="N14" s="368"/>
      <c r="O14" s="368"/>
      <c r="P14" s="355"/>
      <c r="Q14" s="369"/>
      <c r="R14" s="527" t="s">
        <v>776</v>
      </c>
      <c r="S14" s="527"/>
      <c r="T14" s="122" t="s">
        <v>147</v>
      </c>
      <c r="U14" s="69">
        <f t="shared" si="0"/>
        <v>15</v>
      </c>
      <c r="V14" s="122" t="s">
        <v>148</v>
      </c>
      <c r="W14" s="69">
        <f t="shared" si="1"/>
        <v>15</v>
      </c>
      <c r="X14" s="122" t="s">
        <v>149</v>
      </c>
      <c r="Y14" s="69">
        <f t="shared" si="2"/>
        <v>15</v>
      </c>
      <c r="Z14" s="122" t="s">
        <v>150</v>
      </c>
      <c r="AA14" s="69">
        <f t="shared" si="3"/>
        <v>15</v>
      </c>
      <c r="AB14" s="122" t="s">
        <v>151</v>
      </c>
      <c r="AC14" s="69">
        <f t="shared" si="4"/>
        <v>15</v>
      </c>
      <c r="AD14" s="122" t="s">
        <v>152</v>
      </c>
      <c r="AE14" s="69">
        <f t="shared" si="5"/>
        <v>15</v>
      </c>
      <c r="AF14" s="122" t="s">
        <v>153</v>
      </c>
      <c r="AG14" s="124">
        <f t="shared" si="6"/>
        <v>10</v>
      </c>
      <c r="AH14" s="129">
        <f t="shared" si="7"/>
        <v>100</v>
      </c>
      <c r="AI14" s="129" t="str">
        <f t="shared" si="8"/>
        <v>Fuerte</v>
      </c>
      <c r="AJ14" s="120" t="s">
        <v>154</v>
      </c>
      <c r="AK14" s="129" t="str">
        <f t="shared" si="9"/>
        <v>Fuerte</v>
      </c>
      <c r="AL14" s="129" t="str">
        <f t="shared" si="10"/>
        <v>FuerteFuerte</v>
      </c>
      <c r="AM14" s="129" t="str">
        <f>IFERROR(VLOOKUP(AL14,FORMULAS!$B$69:$D$77,3,FALSE),"")</f>
        <v>Fuerte</v>
      </c>
      <c r="AN14" s="129">
        <f t="shared" si="11"/>
        <v>100</v>
      </c>
      <c r="AO14" s="129" t="str">
        <f>IFERROR(VLOOKUP(AL14,FORMULAS!$B$69:$C$77,2,FALSE),"")</f>
        <v>No</v>
      </c>
      <c r="AP14" s="307"/>
      <c r="AQ14" s="307"/>
      <c r="AR14" s="305"/>
      <c r="AS14" s="305"/>
      <c r="AT14" s="307"/>
      <c r="AU14" s="307"/>
      <c r="AV14" s="307"/>
      <c r="AW14" s="368"/>
      <c r="AX14" s="368"/>
      <c r="AY14" s="355"/>
      <c r="AZ14" s="357"/>
      <c r="BA14" s="369"/>
      <c r="BB14" s="151" t="s">
        <v>777</v>
      </c>
      <c r="BC14" s="151" t="s">
        <v>778</v>
      </c>
      <c r="BD14" s="151" t="s">
        <v>753</v>
      </c>
      <c r="BE14" s="86" t="s">
        <v>355</v>
      </c>
      <c r="BF14" s="525"/>
      <c r="BG14" s="330"/>
      <c r="BH14" s="330"/>
      <c r="BI14" s="330"/>
      <c r="BJ14" s="425"/>
    </row>
    <row r="15" spans="1:62" s="59" customFormat="1" ht="143.44999999999999" customHeight="1" x14ac:dyDescent="0.25">
      <c r="A15" s="295">
        <v>3</v>
      </c>
      <c r="B15" s="247" t="s">
        <v>56</v>
      </c>
      <c r="C15" s="297">
        <v>3</v>
      </c>
      <c r="D15" s="298" t="s">
        <v>779</v>
      </c>
      <c r="E15" s="298" t="s">
        <v>780</v>
      </c>
      <c r="F15" s="297" t="s">
        <v>781</v>
      </c>
      <c r="G15" s="297" t="s">
        <v>57</v>
      </c>
      <c r="H15" s="298" t="s">
        <v>445</v>
      </c>
      <c r="I15" s="299"/>
      <c r="J15" s="299"/>
      <c r="K15" s="200" t="s">
        <v>782</v>
      </c>
      <c r="L15" s="297" t="s">
        <v>783</v>
      </c>
      <c r="M15" s="254" t="str">
        <f>IF(F15="gestion","impacto",IF(F15="corrupcion","impactocorrupcion",IF(F15="seguridad_de_la_informacion","impacto","")))</f>
        <v/>
      </c>
      <c r="N15" s="297" t="s">
        <v>35</v>
      </c>
      <c r="O15" s="297" t="s">
        <v>27</v>
      </c>
      <c r="P15" s="254" t="str">
        <f>N15&amp;O15</f>
        <v>PosibleMayor</v>
      </c>
      <c r="Q15" s="317" t="str">
        <f>IFERROR(VLOOKUP(P15,[8]FORMULAS!$B$37:$C$61,2,FALSE),"")</f>
        <v>Riesgo extremo</v>
      </c>
      <c r="R15" s="291" t="s">
        <v>784</v>
      </c>
      <c r="S15" s="291"/>
      <c r="T15" s="126" t="s">
        <v>147</v>
      </c>
      <c r="U15" s="135">
        <f t="shared" si="0"/>
        <v>15</v>
      </c>
      <c r="V15" s="126" t="s">
        <v>148</v>
      </c>
      <c r="W15" s="135">
        <f t="shared" si="1"/>
        <v>15</v>
      </c>
      <c r="X15" s="126" t="s">
        <v>149</v>
      </c>
      <c r="Y15" s="135">
        <f t="shared" si="2"/>
        <v>15</v>
      </c>
      <c r="Z15" s="126" t="s">
        <v>150</v>
      </c>
      <c r="AA15" s="135">
        <f t="shared" si="3"/>
        <v>15</v>
      </c>
      <c r="AB15" s="126" t="s">
        <v>151</v>
      </c>
      <c r="AC15" s="135">
        <f t="shared" si="4"/>
        <v>15</v>
      </c>
      <c r="AD15" s="126" t="s">
        <v>152</v>
      </c>
      <c r="AE15" s="135">
        <f t="shared" si="5"/>
        <v>15</v>
      </c>
      <c r="AF15" s="126" t="s">
        <v>153</v>
      </c>
      <c r="AG15" s="135">
        <f t="shared" si="6"/>
        <v>10</v>
      </c>
      <c r="AH15" s="128">
        <f t="shared" si="7"/>
        <v>100</v>
      </c>
      <c r="AI15" s="128" t="str">
        <f t="shared" si="8"/>
        <v>Fuerte</v>
      </c>
      <c r="AJ15" s="139" t="s">
        <v>250</v>
      </c>
      <c r="AK15" s="128" t="str">
        <f t="shared" si="9"/>
        <v>Moderado</v>
      </c>
      <c r="AL15" s="128" t="str">
        <f t="shared" si="10"/>
        <v>FuerteModerado</v>
      </c>
      <c r="AM15" s="128" t="str">
        <f>IFERROR(VLOOKUP(AL15,[8]FORMULAS!$B$69:$D$77,3,FALSE),"")</f>
        <v>Moderado</v>
      </c>
      <c r="AN15" s="128">
        <f t="shared" si="11"/>
        <v>50</v>
      </c>
      <c r="AO15" s="128" t="str">
        <f>IFERROR(VLOOKUP(AL15,[8]FORMULAS!$B$69:$D$77,2,FALSE),"")</f>
        <v>Sí</v>
      </c>
      <c r="AP15" s="271">
        <f>IFERROR(AVERAGE(AN15:AN17),0)</f>
        <v>83.333333333333329</v>
      </c>
      <c r="AQ15" s="271" t="str">
        <f>IF(AP15&gt;=100,"Fuerte",IF(AP15&gt;=50,"Moderado",IF(AP15&gt;=1,"Débil","")))</f>
        <v>Moderado</v>
      </c>
      <c r="AR15" s="304" t="s">
        <v>92</v>
      </c>
      <c r="AS15" s="304" t="s">
        <v>93</v>
      </c>
      <c r="AT15" s="271" t="str">
        <f>+AQ15&amp;AR15&amp;AS15</f>
        <v>ModeradoDirectamenteNo disminuye</v>
      </c>
      <c r="AU15" s="271">
        <f>IFERROR(VLOOKUP(AT15,[8]FORMULAS!$B$94:$D$101,2,FALSE),0)</f>
        <v>1</v>
      </c>
      <c r="AV15" s="271">
        <f>IFERROR(VLOOKUP(AT15,[8]FORMULAS!$B$94:$D$101,3,FALSE),0)</f>
        <v>0</v>
      </c>
      <c r="AW15" s="297" t="s">
        <v>25</v>
      </c>
      <c r="AX15" s="297" t="s">
        <v>27</v>
      </c>
      <c r="AY15" s="254" t="str">
        <f>AW15&amp;AX15</f>
        <v>ImprobableMayor</v>
      </c>
      <c r="AZ15" s="316" t="str">
        <f>IFERROR(VLOOKUP(AY15,[8]FORMULAS!$B$37:$C$61,2,FALSE),"")</f>
        <v>Riesgo alto</v>
      </c>
      <c r="BA15" s="317" t="s">
        <v>29</v>
      </c>
      <c r="BB15" s="182" t="s">
        <v>446</v>
      </c>
      <c r="BC15" s="201" t="s">
        <v>785</v>
      </c>
      <c r="BD15" s="201" t="s">
        <v>447</v>
      </c>
      <c r="BE15" s="204" t="s">
        <v>448</v>
      </c>
      <c r="BF15" s="203" t="s">
        <v>786</v>
      </c>
      <c r="BG15" s="470" t="s">
        <v>787</v>
      </c>
      <c r="BH15" s="470" t="s">
        <v>788</v>
      </c>
      <c r="BI15" s="470" t="s">
        <v>447</v>
      </c>
      <c r="BJ15" s="472" t="s">
        <v>274</v>
      </c>
    </row>
    <row r="16" spans="1:62" s="59" customFormat="1" ht="92.25" customHeight="1" x14ac:dyDescent="0.25">
      <c r="A16" s="295"/>
      <c r="B16" s="359"/>
      <c r="C16" s="297"/>
      <c r="D16" s="298"/>
      <c r="E16" s="298"/>
      <c r="F16" s="297"/>
      <c r="G16" s="297"/>
      <c r="H16" s="298"/>
      <c r="I16" s="299"/>
      <c r="J16" s="299"/>
      <c r="K16" s="200" t="s">
        <v>789</v>
      </c>
      <c r="L16" s="297"/>
      <c r="M16" s="254"/>
      <c r="N16" s="297"/>
      <c r="O16" s="297"/>
      <c r="P16" s="254"/>
      <c r="Q16" s="317"/>
      <c r="R16" s="291" t="s">
        <v>790</v>
      </c>
      <c r="S16" s="291"/>
      <c r="T16" s="126" t="s">
        <v>147</v>
      </c>
      <c r="U16" s="135">
        <f t="shared" si="0"/>
        <v>15</v>
      </c>
      <c r="V16" s="126" t="s">
        <v>148</v>
      </c>
      <c r="W16" s="135">
        <f t="shared" si="1"/>
        <v>15</v>
      </c>
      <c r="X16" s="126" t="s">
        <v>149</v>
      </c>
      <c r="Y16" s="135">
        <f t="shared" si="2"/>
        <v>15</v>
      </c>
      <c r="Z16" s="126" t="s">
        <v>150</v>
      </c>
      <c r="AA16" s="135">
        <f t="shared" si="3"/>
        <v>15</v>
      </c>
      <c r="AB16" s="126" t="s">
        <v>151</v>
      </c>
      <c r="AC16" s="135">
        <f t="shared" si="4"/>
        <v>15</v>
      </c>
      <c r="AD16" s="126" t="s">
        <v>152</v>
      </c>
      <c r="AE16" s="135">
        <f t="shared" si="5"/>
        <v>15</v>
      </c>
      <c r="AF16" s="126" t="s">
        <v>153</v>
      </c>
      <c r="AG16" s="135">
        <f t="shared" si="6"/>
        <v>10</v>
      </c>
      <c r="AH16" s="128">
        <f t="shared" si="7"/>
        <v>100</v>
      </c>
      <c r="AI16" s="128" t="str">
        <f t="shared" si="8"/>
        <v>Fuerte</v>
      </c>
      <c r="AJ16" s="139" t="s">
        <v>154</v>
      </c>
      <c r="AK16" s="128" t="str">
        <f t="shared" si="9"/>
        <v>Fuerte</v>
      </c>
      <c r="AL16" s="128" t="str">
        <f t="shared" si="10"/>
        <v>FuerteFuerte</v>
      </c>
      <c r="AM16" s="128" t="str">
        <f>IFERROR(VLOOKUP(AL16,[8]FORMULAS!$B$69:$D$77,3,FALSE),"")</f>
        <v>Fuerte</v>
      </c>
      <c r="AN16" s="128">
        <f t="shared" si="11"/>
        <v>100</v>
      </c>
      <c r="AO16" s="128" t="str">
        <f>IFERROR(VLOOKUP(AL16,[8]FORMULAS!$B$69:$C$77,2,FALSE),"")</f>
        <v>No</v>
      </c>
      <c r="AP16" s="271"/>
      <c r="AQ16" s="271"/>
      <c r="AR16" s="304"/>
      <c r="AS16" s="304"/>
      <c r="AT16" s="271"/>
      <c r="AU16" s="271"/>
      <c r="AV16" s="271"/>
      <c r="AW16" s="297"/>
      <c r="AX16" s="297"/>
      <c r="AY16" s="254"/>
      <c r="AZ16" s="316"/>
      <c r="BA16" s="317"/>
      <c r="BB16" s="182" t="s">
        <v>791</v>
      </c>
      <c r="BC16" s="201" t="s">
        <v>792</v>
      </c>
      <c r="BD16" s="201" t="s">
        <v>447</v>
      </c>
      <c r="BE16" s="204" t="s">
        <v>448</v>
      </c>
      <c r="BF16" s="203" t="s">
        <v>449</v>
      </c>
      <c r="BG16" s="533"/>
      <c r="BH16" s="533"/>
      <c r="BI16" s="533"/>
      <c r="BJ16" s="534"/>
    </row>
    <row r="17" spans="1:63" s="59" customFormat="1" ht="94.5" customHeight="1" thickBot="1" x14ac:dyDescent="0.3">
      <c r="A17" s="295"/>
      <c r="B17" s="248"/>
      <c r="C17" s="297"/>
      <c r="D17" s="298"/>
      <c r="E17" s="298"/>
      <c r="F17" s="297"/>
      <c r="G17" s="297"/>
      <c r="H17" s="298"/>
      <c r="I17" s="299"/>
      <c r="J17" s="299"/>
      <c r="K17" s="200" t="s">
        <v>793</v>
      </c>
      <c r="L17" s="297"/>
      <c r="M17" s="254"/>
      <c r="N17" s="297"/>
      <c r="O17" s="297"/>
      <c r="P17" s="254"/>
      <c r="Q17" s="317"/>
      <c r="R17" s="291" t="s">
        <v>794</v>
      </c>
      <c r="S17" s="291"/>
      <c r="T17" s="126" t="s">
        <v>147</v>
      </c>
      <c r="U17" s="135">
        <f t="shared" si="0"/>
        <v>15</v>
      </c>
      <c r="V17" s="126" t="s">
        <v>148</v>
      </c>
      <c r="W17" s="135">
        <f t="shared" si="1"/>
        <v>15</v>
      </c>
      <c r="X17" s="126" t="s">
        <v>149</v>
      </c>
      <c r="Y17" s="135">
        <f t="shared" si="2"/>
        <v>15</v>
      </c>
      <c r="Z17" s="126" t="s">
        <v>150</v>
      </c>
      <c r="AA17" s="135">
        <f t="shared" si="3"/>
        <v>15</v>
      </c>
      <c r="AB17" s="126" t="s">
        <v>151</v>
      </c>
      <c r="AC17" s="135">
        <f t="shared" si="4"/>
        <v>15</v>
      </c>
      <c r="AD17" s="126" t="s">
        <v>152</v>
      </c>
      <c r="AE17" s="135">
        <f t="shared" si="5"/>
        <v>15</v>
      </c>
      <c r="AF17" s="126" t="s">
        <v>153</v>
      </c>
      <c r="AG17" s="135">
        <f t="shared" si="6"/>
        <v>10</v>
      </c>
      <c r="AH17" s="128">
        <f t="shared" si="7"/>
        <v>100</v>
      </c>
      <c r="AI17" s="128" t="str">
        <f t="shared" si="8"/>
        <v>Fuerte</v>
      </c>
      <c r="AJ17" s="139" t="s">
        <v>154</v>
      </c>
      <c r="AK17" s="128" t="str">
        <f t="shared" si="9"/>
        <v>Fuerte</v>
      </c>
      <c r="AL17" s="128" t="str">
        <f t="shared" si="10"/>
        <v>FuerteFuerte</v>
      </c>
      <c r="AM17" s="128" t="str">
        <f>IFERROR(VLOOKUP(AL17,[8]FORMULAS!$B$69:$D$77,3,FALSE),"")</f>
        <v>Fuerte</v>
      </c>
      <c r="AN17" s="128">
        <f t="shared" si="11"/>
        <v>100</v>
      </c>
      <c r="AO17" s="128" t="str">
        <f>IFERROR(VLOOKUP(AL17,[8]FORMULAS!$B$69:$C$77,2,FALSE),"")</f>
        <v>No</v>
      </c>
      <c r="AP17" s="271"/>
      <c r="AQ17" s="271"/>
      <c r="AR17" s="304"/>
      <c r="AS17" s="304"/>
      <c r="AT17" s="271"/>
      <c r="AU17" s="271"/>
      <c r="AV17" s="271"/>
      <c r="AW17" s="297"/>
      <c r="AX17" s="297"/>
      <c r="AY17" s="254"/>
      <c r="AZ17" s="316"/>
      <c r="BA17" s="317"/>
      <c r="BB17" s="182" t="s">
        <v>795</v>
      </c>
      <c r="BC17" s="201" t="s">
        <v>796</v>
      </c>
      <c r="BD17" s="201" t="s">
        <v>797</v>
      </c>
      <c r="BE17" s="204" t="s">
        <v>448</v>
      </c>
      <c r="BF17" s="203" t="s">
        <v>798</v>
      </c>
      <c r="BG17" s="471"/>
      <c r="BH17" s="471"/>
      <c r="BI17" s="471"/>
      <c r="BJ17" s="473"/>
    </row>
    <row r="18" spans="1:63" s="215" customFormat="1" ht="246.75" customHeight="1" x14ac:dyDescent="0.25">
      <c r="A18" s="462">
        <v>4</v>
      </c>
      <c r="B18" s="247" t="s">
        <v>60</v>
      </c>
      <c r="C18" s="442">
        <v>4</v>
      </c>
      <c r="D18" s="362" t="s">
        <v>799</v>
      </c>
      <c r="E18" s="362" t="s">
        <v>800</v>
      </c>
      <c r="F18" s="364" t="s">
        <v>21</v>
      </c>
      <c r="G18" s="364" t="s">
        <v>801</v>
      </c>
      <c r="H18" s="362" t="s">
        <v>802</v>
      </c>
      <c r="I18" s="299" t="s">
        <v>46</v>
      </c>
      <c r="J18" s="299"/>
      <c r="K18" s="208" t="s">
        <v>803</v>
      </c>
      <c r="L18" s="208" t="s">
        <v>454</v>
      </c>
      <c r="M18" s="363" t="str">
        <f>IF(F18="gestion","impacto",IF(F18="corrupcion","impactocorrupcion",IF(F18="seguridad_de_la_informacion","impacto","")))</f>
        <v>impactocorrupcion</v>
      </c>
      <c r="N18" s="364" t="s">
        <v>15</v>
      </c>
      <c r="O18" s="364" t="s">
        <v>17</v>
      </c>
      <c r="P18" s="363" t="str">
        <f>N18&amp;O18</f>
        <v>Rara vezModerado</v>
      </c>
      <c r="Q18" s="365" t="str">
        <f>IFERROR(VLOOKUP(P18,[2]FORMULAS!$B$38:$C$62,2,FALSE),"")</f>
        <v>Riesgo moderado</v>
      </c>
      <c r="R18" s="443" t="s">
        <v>804</v>
      </c>
      <c r="S18" s="444"/>
      <c r="T18" s="209" t="s">
        <v>147</v>
      </c>
      <c r="U18" s="210">
        <f t="shared" ref="U18:U19" si="12">IF(T18="Asignado",15,0)</f>
        <v>15</v>
      </c>
      <c r="V18" s="209" t="s">
        <v>148</v>
      </c>
      <c r="W18" s="210">
        <f t="shared" ref="W18:W19" si="13">IF(V18="Adecuado",15,0)</f>
        <v>15</v>
      </c>
      <c r="X18" s="209" t="s">
        <v>149</v>
      </c>
      <c r="Y18" s="210">
        <f t="shared" ref="Y18:Y19" si="14">IF(X18="Oportuna",15,0)</f>
        <v>15</v>
      </c>
      <c r="Z18" s="209" t="s">
        <v>150</v>
      </c>
      <c r="AA18" s="210">
        <f t="shared" ref="AA18:AA19" si="15">IF(Z18="Prevenir",15,IF(Z18="Detectar",10,0))</f>
        <v>15</v>
      </c>
      <c r="AB18" s="209" t="s">
        <v>151</v>
      </c>
      <c r="AC18" s="210">
        <f t="shared" ref="AC18:AC19" si="16">IF(AB18="Confiable",15,0)</f>
        <v>15</v>
      </c>
      <c r="AD18" s="209" t="s">
        <v>152</v>
      </c>
      <c r="AE18" s="210">
        <f t="shared" ref="AE18:AE19" si="17">IF(AD18="Se investigan y resuelven oportunamente",15,0)</f>
        <v>15</v>
      </c>
      <c r="AF18" s="209" t="s">
        <v>153</v>
      </c>
      <c r="AG18" s="210">
        <f t="shared" ref="AG18:AG19" si="18">IF(AF18="Completa",10,IF(AF18="incompleta",5,0))</f>
        <v>10</v>
      </c>
      <c r="AH18" s="212">
        <f t="shared" ref="AH18:AH19" si="19">U18+W18+Y18+AA18+AC18+AE18+AG18</f>
        <v>100</v>
      </c>
      <c r="AI18" s="212" t="str">
        <f t="shared" ref="AI18:AI19" si="20">IF(AH18&gt;=96,"Fuerte",IF(AH18&gt;=86,"Moderado",IF(AH18&gt;=1,"Débil","")))</f>
        <v>Fuerte</v>
      </c>
      <c r="AJ18" s="211" t="s">
        <v>154</v>
      </c>
      <c r="AK18" s="212" t="str">
        <f t="shared" ref="AK18:AK19" si="21">IF(AJ18="Siempre se ejecuta","Fuerte",IF(AJ18="Algunas veces","Moderado",IF(AJ18="no se ejecuta","Débil","")))</f>
        <v>Fuerte</v>
      </c>
      <c r="AL18" s="212" t="str">
        <f t="shared" ref="AL18:AL19" si="22">AI18&amp;AK18</f>
        <v>FuerteFuerte</v>
      </c>
      <c r="AM18" s="212" t="str">
        <f>IFERROR(VLOOKUP(AL18,[2]FORMULAS!$B$69:$D$77,3,FALSE),"")</f>
        <v>Fuerte</v>
      </c>
      <c r="AN18" s="212">
        <f t="shared" ref="AN18:AN19" si="23">IF(AM18="fuerte",100,IF(AM18="Moderado",50,IF(AM18="débil",0,"")))</f>
        <v>100</v>
      </c>
      <c r="AO18" s="346">
        <f>IFERROR(AVERAGE(AN18:AN19),0)</f>
        <v>100</v>
      </c>
      <c r="AP18" s="507"/>
      <c r="AQ18" s="346" t="str">
        <f>IF(AO18&gt;=100,"Fuerte",IF(AO18&gt;=50,"Moderado",IF(AO18&gt;=1,"Débil","")))</f>
        <v>Fuerte</v>
      </c>
      <c r="AR18" s="353" t="s">
        <v>92</v>
      </c>
      <c r="AS18" s="353" t="s">
        <v>92</v>
      </c>
      <c r="AT18" s="212" t="str">
        <f>+AQ18&amp;AR18&amp;AS18</f>
        <v>FuerteDirectamenteDirectamente</v>
      </c>
      <c r="AU18" s="347">
        <f>IFERROR(VLOOKUP(AT18,[2]FORMULAS!$B$95:$D$102,2,FALSE),0)</f>
        <v>2</v>
      </c>
      <c r="AV18" s="347">
        <f>IFERROR(VLOOKUP(AT18,[2]FORMULAS!$B$95:$D$102,3,FALSE),0)</f>
        <v>2</v>
      </c>
      <c r="AW18" s="349" t="s">
        <v>15</v>
      </c>
      <c r="AX18" s="349" t="s">
        <v>17</v>
      </c>
      <c r="AY18" s="210" t="str">
        <f>AW18&amp;AX18</f>
        <v>Rara vezModerado</v>
      </c>
      <c r="AZ18" s="351" t="str">
        <f>IFERROR(VLOOKUP(AY18,[2]FORMULAS!$B$37:$C$61,2,FALSE),"")</f>
        <v>Riesgo moderado</v>
      </c>
      <c r="BA18" s="505" t="s">
        <v>29</v>
      </c>
      <c r="BB18" s="213" t="s">
        <v>805</v>
      </c>
      <c r="BC18" s="214" t="s">
        <v>806</v>
      </c>
      <c r="BD18" s="213" t="s">
        <v>479</v>
      </c>
      <c r="BE18" s="214">
        <v>44561</v>
      </c>
      <c r="BF18" s="214" t="s">
        <v>807</v>
      </c>
      <c r="BG18" s="213" t="s">
        <v>808</v>
      </c>
      <c r="BH18" s="213" t="s">
        <v>482</v>
      </c>
      <c r="BI18" s="213" t="s">
        <v>483</v>
      </c>
      <c r="BJ18" s="214" t="s">
        <v>463</v>
      </c>
      <c r="BK18" s="207"/>
    </row>
    <row r="19" spans="1:63" s="215" customFormat="1" ht="222" customHeight="1" thickBot="1" x14ac:dyDescent="0.3">
      <c r="A19" s="462"/>
      <c r="B19" s="359"/>
      <c r="C19" s="442"/>
      <c r="D19" s="362"/>
      <c r="E19" s="362"/>
      <c r="F19" s="364"/>
      <c r="G19" s="364"/>
      <c r="H19" s="362"/>
      <c r="I19" s="299"/>
      <c r="J19" s="299"/>
      <c r="K19" s="208" t="s">
        <v>809</v>
      </c>
      <c r="L19" s="208" t="s">
        <v>465</v>
      </c>
      <c r="M19" s="363"/>
      <c r="N19" s="364"/>
      <c r="O19" s="364"/>
      <c r="P19" s="363"/>
      <c r="Q19" s="365"/>
      <c r="R19" s="443" t="s">
        <v>810</v>
      </c>
      <c r="S19" s="444"/>
      <c r="T19" s="209" t="s">
        <v>147</v>
      </c>
      <c r="U19" s="210">
        <f t="shared" si="12"/>
        <v>15</v>
      </c>
      <c r="V19" s="209" t="s">
        <v>148</v>
      </c>
      <c r="W19" s="210">
        <f t="shared" si="13"/>
        <v>15</v>
      </c>
      <c r="X19" s="209" t="s">
        <v>149</v>
      </c>
      <c r="Y19" s="210">
        <f t="shared" si="14"/>
        <v>15</v>
      </c>
      <c r="Z19" s="209" t="s">
        <v>150</v>
      </c>
      <c r="AA19" s="210">
        <f t="shared" si="15"/>
        <v>15</v>
      </c>
      <c r="AB19" s="209" t="s">
        <v>151</v>
      </c>
      <c r="AC19" s="210">
        <f t="shared" si="16"/>
        <v>15</v>
      </c>
      <c r="AD19" s="209" t="s">
        <v>152</v>
      </c>
      <c r="AE19" s="210">
        <f t="shared" si="17"/>
        <v>15</v>
      </c>
      <c r="AF19" s="209" t="s">
        <v>153</v>
      </c>
      <c r="AG19" s="210">
        <f t="shared" si="18"/>
        <v>10</v>
      </c>
      <c r="AH19" s="212">
        <f t="shared" si="19"/>
        <v>100</v>
      </c>
      <c r="AI19" s="212" t="str">
        <f t="shared" si="20"/>
        <v>Fuerte</v>
      </c>
      <c r="AJ19" s="211" t="s">
        <v>154</v>
      </c>
      <c r="AK19" s="212" t="str">
        <f t="shared" si="21"/>
        <v>Fuerte</v>
      </c>
      <c r="AL19" s="212" t="str">
        <f t="shared" si="22"/>
        <v>FuerteFuerte</v>
      </c>
      <c r="AM19" s="212" t="str">
        <f>IFERROR(VLOOKUP(AL19,[2]FORMULAS!$B$69:$D$77,3,FALSE),"")</f>
        <v>Fuerte</v>
      </c>
      <c r="AN19" s="212">
        <f t="shared" si="23"/>
        <v>100</v>
      </c>
      <c r="AO19" s="346"/>
      <c r="AP19" s="507"/>
      <c r="AQ19" s="346"/>
      <c r="AR19" s="354"/>
      <c r="AS19" s="354"/>
      <c r="AT19" s="212"/>
      <c r="AU19" s="348"/>
      <c r="AV19" s="348"/>
      <c r="AW19" s="350"/>
      <c r="AX19" s="350"/>
      <c r="AY19" s="210"/>
      <c r="AZ19" s="352"/>
      <c r="BA19" s="506"/>
      <c r="BB19" s="213" t="s">
        <v>811</v>
      </c>
      <c r="BC19" s="213" t="s">
        <v>812</v>
      </c>
      <c r="BD19" s="213" t="s">
        <v>479</v>
      </c>
      <c r="BE19" s="214">
        <v>44561</v>
      </c>
      <c r="BF19" s="213" t="s">
        <v>813</v>
      </c>
      <c r="BG19" s="213"/>
      <c r="BH19" s="213"/>
      <c r="BI19" s="213"/>
      <c r="BJ19" s="214"/>
      <c r="BK19" s="207"/>
    </row>
    <row r="20" spans="1:63" s="59" customFormat="1" ht="157.5" customHeight="1" x14ac:dyDescent="0.25">
      <c r="A20" s="295">
        <v>5</v>
      </c>
      <c r="B20" s="247" t="s">
        <v>62</v>
      </c>
      <c r="C20" s="331">
        <v>5</v>
      </c>
      <c r="D20" s="333" t="s">
        <v>814</v>
      </c>
      <c r="E20" s="333" t="s">
        <v>815</v>
      </c>
      <c r="F20" s="331" t="s">
        <v>21</v>
      </c>
      <c r="G20" s="331" t="s">
        <v>801</v>
      </c>
      <c r="H20" s="333" t="s">
        <v>143</v>
      </c>
      <c r="I20" s="134" t="s">
        <v>46</v>
      </c>
      <c r="J20" s="134" t="s">
        <v>61</v>
      </c>
      <c r="K20" s="331" t="s">
        <v>816</v>
      </c>
      <c r="L20" s="333" t="s">
        <v>817</v>
      </c>
      <c r="M20" s="135" t="str">
        <f>IF(F20="gestion","impacto",IF(F20="corrupcion","impactocorrupcion",IF(F20="seguridad_de_la_informacion","impacto","")))</f>
        <v>impactocorrupcion</v>
      </c>
      <c r="N20" s="331" t="s">
        <v>15</v>
      </c>
      <c r="O20" s="331" t="s">
        <v>27</v>
      </c>
      <c r="P20" s="135" t="str">
        <f>N20&amp;O20</f>
        <v>Rara vezMayor</v>
      </c>
      <c r="Q20" s="337" t="str">
        <f>IFERROR(VLOOKUP(P20,[9]FORMULAS!$B$38:$C$62,2,FALSE),"")</f>
        <v>Riesgo alto</v>
      </c>
      <c r="R20" s="508" t="s">
        <v>818</v>
      </c>
      <c r="S20" s="508"/>
      <c r="T20" s="331" t="s">
        <v>147</v>
      </c>
      <c r="U20" s="135">
        <f t="shared" ref="U20" si="24">IF(T20="Asignado",15,0)</f>
        <v>15</v>
      </c>
      <c r="V20" s="331" t="s">
        <v>148</v>
      </c>
      <c r="W20" s="135">
        <f t="shared" ref="W20" si="25">IF(V20="Adecuado",15,0)</f>
        <v>15</v>
      </c>
      <c r="X20" s="331" t="s">
        <v>149</v>
      </c>
      <c r="Y20" s="135">
        <f t="shared" ref="Y20" si="26">IF(X20="Oportuna",15,0)</f>
        <v>15</v>
      </c>
      <c r="Z20" s="331" t="s">
        <v>150</v>
      </c>
      <c r="AA20" s="135">
        <f t="shared" ref="AA20" si="27">IF(Z20="Prevenir",15,IF(Z20="Detectar",10,0))</f>
        <v>15</v>
      </c>
      <c r="AB20" s="331" t="s">
        <v>151</v>
      </c>
      <c r="AC20" s="135">
        <f t="shared" ref="AC20" si="28">IF(AB20="Confiable",15,0)</f>
        <v>15</v>
      </c>
      <c r="AD20" s="331" t="s">
        <v>152</v>
      </c>
      <c r="AE20" s="135">
        <f t="shared" ref="AE20" si="29">IF(AD20="Se investigan y resuelven oportunamente",15,0)</f>
        <v>15</v>
      </c>
      <c r="AF20" s="331" t="s">
        <v>153</v>
      </c>
      <c r="AG20" s="388">
        <f t="shared" ref="AG20" si="30">IF(AF20="Completa",10,IF(AF20="incompleta",5,0))</f>
        <v>10</v>
      </c>
      <c r="AH20" s="300">
        <f t="shared" ref="AH20" si="31">U20+W20+Y20+AA20+AC20+AE20+AG20</f>
        <v>100</v>
      </c>
      <c r="AI20" s="300" t="str">
        <f t="shared" ref="AI20" si="32">IF(AH20&gt;=96,"Fuerte",IF(AH20&gt;=86,"Moderado",IF(AH20&gt;=1,"Débil","")))</f>
        <v>Fuerte</v>
      </c>
      <c r="AJ20" s="301" t="s">
        <v>154</v>
      </c>
      <c r="AK20" s="300" t="str">
        <f t="shared" ref="AK20" si="33">IF(AJ20="Siempre se ejecuta","Fuerte",IF(AJ20="Algunas veces","Moderado",IF(AJ20="no se ejecuta","Débil","")))</f>
        <v>Fuerte</v>
      </c>
      <c r="AL20" s="128" t="str">
        <f t="shared" ref="AL20" si="34">AI20&amp;AK20</f>
        <v>FuerteFuerte</v>
      </c>
      <c r="AM20" s="300" t="str">
        <f>IFERROR(VLOOKUP(AL20,[9]FORMULAS!$B$70:$D$78,3,FALSE),"")</f>
        <v>Fuerte</v>
      </c>
      <c r="AN20" s="300">
        <f t="shared" ref="AN20" si="35">IF(AM20="fuerte",100,IF(AM20="Moderado",50,IF(AM20="débil",0,"")))</f>
        <v>100</v>
      </c>
      <c r="AO20" s="300">
        <f>IFERROR(AVERAGE(AN20:AN20),0)</f>
        <v>100</v>
      </c>
      <c r="AQ20" s="300" t="str">
        <f>IF(AO20&gt;=100,"Fuerte",IF(AO20&gt;=50,"Moderado",IF(AO20&gt;=1,"Débil","")))</f>
        <v>Fuerte</v>
      </c>
      <c r="AR20" s="272" t="s">
        <v>92</v>
      </c>
      <c r="AS20" s="272" t="s">
        <v>92</v>
      </c>
      <c r="AT20" s="128" t="str">
        <f t="shared" ref="AT20" si="36">+AQ20&amp;AR20&amp;AS20</f>
        <v>FuerteDirectamenteDirectamente</v>
      </c>
      <c r="AU20" s="255">
        <f>IFERROR(VLOOKUP(AT20,[9]FORMULAS!$B$95:$D$102,2,FALSE),0)</f>
        <v>2</v>
      </c>
      <c r="AV20" s="255">
        <f>IFERROR(VLOOKUP(AT20,[9]FORMULAS!$B$95:$D$102,3,FALSE),0)</f>
        <v>2</v>
      </c>
      <c r="AW20" s="257" t="s">
        <v>15</v>
      </c>
      <c r="AX20" s="257" t="s">
        <v>17</v>
      </c>
      <c r="AY20" s="135" t="str">
        <f t="shared" ref="AY20" si="37">AW20&amp;AX20</f>
        <v>Rara vezModerado</v>
      </c>
      <c r="AZ20" s="302" t="str">
        <f>IFERROR(VLOOKUP(AY20,[9]FORMULAS!$B$38:$C$62,2,FALSE),"")</f>
        <v>Riesgo moderado</v>
      </c>
      <c r="BA20" s="502" t="s">
        <v>29</v>
      </c>
      <c r="BB20" s="217" t="s">
        <v>819</v>
      </c>
      <c r="BC20" s="194" t="s">
        <v>820</v>
      </c>
      <c r="BD20" s="194" t="s">
        <v>499</v>
      </c>
      <c r="BE20" s="218" t="s">
        <v>527</v>
      </c>
      <c r="BF20" s="193" t="s">
        <v>821</v>
      </c>
      <c r="BG20" s="217" t="s">
        <v>529</v>
      </c>
      <c r="BH20" s="217" t="s">
        <v>822</v>
      </c>
      <c r="BI20" s="194" t="s">
        <v>504</v>
      </c>
      <c r="BJ20" s="218" t="s">
        <v>505</v>
      </c>
    </row>
    <row r="21" spans="1:63" s="59" customFormat="1" ht="112.5" customHeight="1" thickBot="1" x14ac:dyDescent="0.3">
      <c r="A21" s="295"/>
      <c r="B21" s="359"/>
      <c r="C21" s="258"/>
      <c r="D21" s="334"/>
      <c r="E21" s="334"/>
      <c r="F21" s="258"/>
      <c r="G21" s="258"/>
      <c r="H21" s="334"/>
      <c r="I21" s="134"/>
      <c r="J21" s="134"/>
      <c r="K21" s="258"/>
      <c r="L21" s="334"/>
      <c r="M21" s="135"/>
      <c r="N21" s="258"/>
      <c r="O21" s="258"/>
      <c r="P21" s="135"/>
      <c r="Q21" s="338"/>
      <c r="R21" s="508" t="s">
        <v>823</v>
      </c>
      <c r="S21" s="508"/>
      <c r="T21" s="258"/>
      <c r="U21" s="135"/>
      <c r="V21" s="258"/>
      <c r="W21" s="135"/>
      <c r="X21" s="258"/>
      <c r="Y21" s="135"/>
      <c r="Z21" s="258"/>
      <c r="AA21" s="135"/>
      <c r="AB21" s="258"/>
      <c r="AC21" s="135"/>
      <c r="AD21" s="258"/>
      <c r="AE21" s="135"/>
      <c r="AF21" s="258"/>
      <c r="AG21" s="504"/>
      <c r="AH21" s="256"/>
      <c r="AI21" s="256"/>
      <c r="AJ21" s="273"/>
      <c r="AK21" s="256"/>
      <c r="AL21" s="128"/>
      <c r="AM21" s="256"/>
      <c r="AN21" s="256"/>
      <c r="AO21" s="256"/>
      <c r="AQ21" s="256"/>
      <c r="AR21" s="453"/>
      <c r="AS21" s="453"/>
      <c r="AT21" s="128"/>
      <c r="AU21" s="322"/>
      <c r="AV21" s="322"/>
      <c r="AW21" s="321"/>
      <c r="AX21" s="321"/>
      <c r="AY21" s="135"/>
      <c r="AZ21" s="455"/>
      <c r="BA21" s="503"/>
      <c r="BB21" s="229"/>
      <c r="BC21" s="197"/>
      <c r="BD21" s="197"/>
      <c r="BE21" s="230"/>
      <c r="BF21" s="198"/>
      <c r="BG21" s="229"/>
      <c r="BH21" s="229"/>
      <c r="BI21" s="197"/>
      <c r="BJ21" s="230"/>
    </row>
    <row r="22" spans="1:63" s="59" customFormat="1" ht="108" customHeight="1" x14ac:dyDescent="0.25">
      <c r="A22" s="295">
        <v>6</v>
      </c>
      <c r="B22" s="247" t="s">
        <v>65</v>
      </c>
      <c r="C22" s="341">
        <v>6</v>
      </c>
      <c r="D22" s="288" t="s">
        <v>824</v>
      </c>
      <c r="E22" s="288" t="s">
        <v>825</v>
      </c>
      <c r="F22" s="341" t="s">
        <v>21</v>
      </c>
      <c r="G22" s="341" t="s">
        <v>57</v>
      </c>
      <c r="H22" s="344" t="s">
        <v>143</v>
      </c>
      <c r="I22" s="345"/>
      <c r="J22" s="345"/>
      <c r="K22" s="288" t="s">
        <v>826</v>
      </c>
      <c r="L22" s="288" t="s">
        <v>827</v>
      </c>
      <c r="M22" s="342" t="str">
        <f>IF(F22="gestion","impacto",IF(F22="corrupcion","impactocorrupcion",IF(F22="seguridad_de_la_informacion","impacto","")))</f>
        <v>impactocorrupcion</v>
      </c>
      <c r="N22" s="341" t="s">
        <v>35</v>
      </c>
      <c r="O22" s="341" t="s">
        <v>17</v>
      </c>
      <c r="P22" s="342" t="str">
        <f>N22&amp;O22</f>
        <v>PosibleModerado</v>
      </c>
      <c r="Q22" s="343" t="str">
        <f>IFERROR(VLOOKUP(P22,FORMULAS!$B$37:$C$61,2,FALSE),"")</f>
        <v>Riesgo alto</v>
      </c>
      <c r="R22" s="530" t="s">
        <v>570</v>
      </c>
      <c r="S22" s="530"/>
      <c r="T22" s="76" t="s">
        <v>147</v>
      </c>
      <c r="U22" s="78">
        <f t="shared" ref="U22:U23" si="38">IF(T22="Asignado",15,0)</f>
        <v>15</v>
      </c>
      <c r="V22" s="76" t="s">
        <v>148</v>
      </c>
      <c r="W22" s="78">
        <f t="shared" ref="W22:W23" si="39">IF(V22="Adecuado",15,0)</f>
        <v>15</v>
      </c>
      <c r="X22" s="76" t="s">
        <v>149</v>
      </c>
      <c r="Y22" s="78">
        <f t="shared" ref="Y22:Y23" si="40">IF(X22="Oportuna",15,0)</f>
        <v>15</v>
      </c>
      <c r="Z22" s="76" t="s">
        <v>150</v>
      </c>
      <c r="AA22" s="78">
        <f t="shared" ref="AA22:AA23" si="41">IF(Z22="Prevenir",15,IF(Z22="Detectar",10,0))</f>
        <v>15</v>
      </c>
      <c r="AB22" s="76" t="s">
        <v>151</v>
      </c>
      <c r="AC22" s="78">
        <f t="shared" ref="AC22:AC23" si="42">IF(AB22="Confiable",15,0)</f>
        <v>15</v>
      </c>
      <c r="AD22" s="76" t="s">
        <v>152</v>
      </c>
      <c r="AE22" s="78">
        <f t="shared" ref="AE22:AE23" si="43">IF(AD22="Se investigan y resuelven oportunamente",15,0)</f>
        <v>15</v>
      </c>
      <c r="AF22" s="76" t="s">
        <v>153</v>
      </c>
      <c r="AG22" s="123">
        <f t="shared" si="6"/>
        <v>10</v>
      </c>
      <c r="AH22" s="127">
        <f t="shared" si="7"/>
        <v>100</v>
      </c>
      <c r="AI22" s="127" t="str">
        <f t="shared" si="8"/>
        <v>Fuerte</v>
      </c>
      <c r="AJ22" s="119" t="s">
        <v>154</v>
      </c>
      <c r="AK22" s="127" t="str">
        <f t="shared" si="9"/>
        <v>Fuerte</v>
      </c>
      <c r="AL22" s="127" t="str">
        <f t="shared" si="10"/>
        <v>FuerteFuerte</v>
      </c>
      <c r="AM22" s="127" t="str">
        <f>IFERROR(VLOOKUP(AL22,FORMULAS!$B$69:$D$77,3,FALSE),"")</f>
        <v>Fuerte</v>
      </c>
      <c r="AN22" s="127">
        <f t="shared" si="11"/>
        <v>100</v>
      </c>
      <c r="AO22" s="127" t="str">
        <f>IFERROR(VLOOKUP(AL22,FORMULAS!$B$69:$D$77,2,FALSE),"")</f>
        <v>No</v>
      </c>
      <c r="AP22" s="306">
        <f>IFERROR(AVERAGE(AN22:AN23),0)</f>
        <v>100</v>
      </c>
      <c r="AQ22" s="306" t="str">
        <f>IF(AP22&gt;=100,"Fuerte",IF(AP22&gt;=50,"Moderado",IF(AP22&gt;=1,"Débil","")))</f>
        <v>Fuerte</v>
      </c>
      <c r="AR22" s="308" t="s">
        <v>92</v>
      </c>
      <c r="AS22" s="308" t="s">
        <v>93</v>
      </c>
      <c r="AT22" s="306" t="str">
        <f>+AQ22&amp;AR22&amp;AS22</f>
        <v>FuerteDirectamenteNo disminuye</v>
      </c>
      <c r="AU22" s="306">
        <f>IFERROR(VLOOKUP(AT22,FORMULAS!$B$94:$D$101,2,FALSE),0)</f>
        <v>2</v>
      </c>
      <c r="AV22" s="306">
        <f>IFERROR(VLOOKUP(AT22,FORMULAS!$B$94:$D$101,3,FALSE),0)</f>
        <v>0</v>
      </c>
      <c r="AW22" s="341" t="s">
        <v>15</v>
      </c>
      <c r="AX22" s="341" t="s">
        <v>17</v>
      </c>
      <c r="AY22" s="342" t="str">
        <f>AW22&amp;AX22</f>
        <v>Rara vezModerado</v>
      </c>
      <c r="AZ22" s="356" t="str">
        <f>IFERROR(VLOOKUP(AY22,FORMULAS!$B$37:$C$61,2,FALSE),"")</f>
        <v>Riesgo moderado</v>
      </c>
      <c r="BA22" s="343" t="s">
        <v>29</v>
      </c>
      <c r="BB22" s="282" t="s">
        <v>828</v>
      </c>
      <c r="BC22" s="282" t="s">
        <v>829</v>
      </c>
      <c r="BD22" s="282" t="s">
        <v>830</v>
      </c>
      <c r="BE22" s="285" t="s">
        <v>831</v>
      </c>
      <c r="BF22" s="285" t="s">
        <v>548</v>
      </c>
      <c r="BG22" s="282" t="s">
        <v>832</v>
      </c>
      <c r="BH22" s="282" t="s">
        <v>833</v>
      </c>
      <c r="BI22" s="282" t="s">
        <v>834</v>
      </c>
      <c r="BJ22" s="318" t="s">
        <v>835</v>
      </c>
    </row>
    <row r="23" spans="1:63" s="59" customFormat="1" ht="108" customHeight="1" thickBot="1" x14ac:dyDescent="0.3">
      <c r="A23" s="295"/>
      <c r="B23" s="359"/>
      <c r="C23" s="368"/>
      <c r="D23" s="315"/>
      <c r="E23" s="315"/>
      <c r="F23" s="368"/>
      <c r="G23" s="368"/>
      <c r="H23" s="366"/>
      <c r="I23" s="367"/>
      <c r="J23" s="367"/>
      <c r="K23" s="315"/>
      <c r="L23" s="315"/>
      <c r="M23" s="355"/>
      <c r="N23" s="368"/>
      <c r="O23" s="368"/>
      <c r="P23" s="355"/>
      <c r="Q23" s="369"/>
      <c r="R23" s="529" t="s">
        <v>836</v>
      </c>
      <c r="S23" s="529"/>
      <c r="T23" s="76" t="s">
        <v>147</v>
      </c>
      <c r="U23" s="78">
        <f t="shared" si="38"/>
        <v>15</v>
      </c>
      <c r="V23" s="76" t="s">
        <v>148</v>
      </c>
      <c r="W23" s="78">
        <f t="shared" si="39"/>
        <v>15</v>
      </c>
      <c r="X23" s="76" t="s">
        <v>149</v>
      </c>
      <c r="Y23" s="78">
        <f t="shared" si="40"/>
        <v>15</v>
      </c>
      <c r="Z23" s="76" t="s">
        <v>150</v>
      </c>
      <c r="AA23" s="78">
        <f t="shared" si="41"/>
        <v>15</v>
      </c>
      <c r="AB23" s="76" t="s">
        <v>151</v>
      </c>
      <c r="AC23" s="78">
        <f t="shared" si="42"/>
        <v>15</v>
      </c>
      <c r="AD23" s="76" t="s">
        <v>152</v>
      </c>
      <c r="AE23" s="78">
        <f t="shared" si="43"/>
        <v>15</v>
      </c>
      <c r="AF23" s="76" t="s">
        <v>153</v>
      </c>
      <c r="AG23" s="124">
        <f t="shared" si="6"/>
        <v>10</v>
      </c>
      <c r="AH23" s="129">
        <f t="shared" si="7"/>
        <v>100</v>
      </c>
      <c r="AI23" s="129" t="str">
        <f t="shared" si="8"/>
        <v>Fuerte</v>
      </c>
      <c r="AJ23" s="120" t="s">
        <v>154</v>
      </c>
      <c r="AK23" s="129" t="str">
        <f t="shared" si="9"/>
        <v>Fuerte</v>
      </c>
      <c r="AL23" s="129" t="str">
        <f t="shared" si="10"/>
        <v>FuerteFuerte</v>
      </c>
      <c r="AM23" s="129" t="str">
        <f>IFERROR(VLOOKUP(AL23,FORMULAS!$B$69:$D$77,3,FALSE),"")</f>
        <v>Fuerte</v>
      </c>
      <c r="AN23" s="129">
        <f t="shared" si="11"/>
        <v>100</v>
      </c>
      <c r="AO23" s="129" t="str">
        <f>IFERROR(VLOOKUP(AL23,FORMULAS!$B$69:$C$77,2,FALSE),"")</f>
        <v>No</v>
      </c>
      <c r="AP23" s="307"/>
      <c r="AQ23" s="307"/>
      <c r="AR23" s="305"/>
      <c r="AS23" s="305"/>
      <c r="AT23" s="307"/>
      <c r="AU23" s="307"/>
      <c r="AV23" s="307"/>
      <c r="AW23" s="368"/>
      <c r="AX23" s="368"/>
      <c r="AY23" s="355"/>
      <c r="AZ23" s="357"/>
      <c r="BA23" s="369"/>
      <c r="BB23" s="284"/>
      <c r="BC23" s="284"/>
      <c r="BD23" s="284"/>
      <c r="BE23" s="287"/>
      <c r="BF23" s="287"/>
      <c r="BG23" s="284"/>
      <c r="BH23" s="284"/>
      <c r="BI23" s="284"/>
      <c r="BJ23" s="320"/>
    </row>
    <row r="24" spans="1:63" s="59" customFormat="1" ht="187.5" customHeight="1" x14ac:dyDescent="0.25">
      <c r="A24" s="295">
        <v>7</v>
      </c>
      <c r="B24" s="457" t="s">
        <v>75</v>
      </c>
      <c r="C24" s="276">
        <v>7</v>
      </c>
      <c r="D24" s="389" t="s">
        <v>837</v>
      </c>
      <c r="E24" s="389" t="s">
        <v>838</v>
      </c>
      <c r="F24" s="341" t="s">
        <v>21</v>
      </c>
      <c r="G24" s="257" t="s">
        <v>801</v>
      </c>
      <c r="H24" s="344" t="s">
        <v>839</v>
      </c>
      <c r="I24" s="345"/>
      <c r="J24" s="345"/>
      <c r="K24" s="65" t="s">
        <v>840</v>
      </c>
      <c r="L24" s="117" t="s">
        <v>841</v>
      </c>
      <c r="M24" s="333" t="s">
        <v>838</v>
      </c>
      <c r="N24" s="341" t="s">
        <v>25</v>
      </c>
      <c r="O24" s="341" t="s">
        <v>17</v>
      </c>
      <c r="P24" s="342" t="str">
        <f>N24&amp;O24</f>
        <v>ImprobableModerado</v>
      </c>
      <c r="Q24" s="343" t="str">
        <f>IFERROR(VLOOKUP(P24,FORMULAS!$B$37:$C$61,2,FALSE),"")</f>
        <v>Riesgo moderado</v>
      </c>
      <c r="R24" s="375" t="s">
        <v>842</v>
      </c>
      <c r="S24" s="376"/>
      <c r="T24" s="121" t="s">
        <v>147</v>
      </c>
      <c r="U24" s="67">
        <f t="shared" si="0"/>
        <v>15</v>
      </c>
      <c r="V24" s="121" t="s">
        <v>148</v>
      </c>
      <c r="W24" s="67">
        <f t="shared" si="1"/>
        <v>15</v>
      </c>
      <c r="X24" s="121" t="s">
        <v>149</v>
      </c>
      <c r="Y24" s="67">
        <f t="shared" si="2"/>
        <v>15</v>
      </c>
      <c r="Z24" s="121" t="s">
        <v>150</v>
      </c>
      <c r="AA24" s="67">
        <f t="shared" si="3"/>
        <v>15</v>
      </c>
      <c r="AB24" s="121" t="s">
        <v>151</v>
      </c>
      <c r="AC24" s="67">
        <f t="shared" si="4"/>
        <v>15</v>
      </c>
      <c r="AD24" s="121" t="s">
        <v>152</v>
      </c>
      <c r="AE24" s="67">
        <f t="shared" si="5"/>
        <v>15</v>
      </c>
      <c r="AF24" s="121" t="s">
        <v>153</v>
      </c>
      <c r="AG24" s="123">
        <f t="shared" si="6"/>
        <v>10</v>
      </c>
      <c r="AH24" s="127">
        <f t="shared" si="7"/>
        <v>100</v>
      </c>
      <c r="AI24" s="127" t="str">
        <f t="shared" si="8"/>
        <v>Fuerte</v>
      </c>
      <c r="AJ24" s="119" t="s">
        <v>154</v>
      </c>
      <c r="AK24" s="127" t="str">
        <f t="shared" si="9"/>
        <v>Fuerte</v>
      </c>
      <c r="AL24" s="127" t="str">
        <f t="shared" si="10"/>
        <v>FuerteFuerte</v>
      </c>
      <c r="AM24" s="127" t="str">
        <f>IFERROR(VLOOKUP(AL24,FORMULAS!$B$69:$D$77,3,FALSE),"")</f>
        <v>Fuerte</v>
      </c>
      <c r="AN24" s="127">
        <f t="shared" si="11"/>
        <v>100</v>
      </c>
      <c r="AO24" s="127" t="str">
        <f>IFERROR(VLOOKUP(AL24,FORMULAS!$B$69:$D$77,2,FALSE),"")</f>
        <v>No</v>
      </c>
      <c r="AP24" s="306">
        <f>IFERROR(AVERAGE(AN24:AN25),0)</f>
        <v>100</v>
      </c>
      <c r="AQ24" s="306" t="str">
        <f>IF(AP24&gt;=100,"Fuerte",IF(AP24&gt;=50,"Moderado",IF(AP24&gt;=1,"Débil","")))</f>
        <v>Fuerte</v>
      </c>
      <c r="AR24" s="308" t="s">
        <v>92</v>
      </c>
      <c r="AS24" s="308" t="s">
        <v>93</v>
      </c>
      <c r="AT24" s="306" t="str">
        <f>+AQ24&amp;AR24&amp;AS24</f>
        <v>FuerteDirectamenteNo disminuye</v>
      </c>
      <c r="AU24" s="306">
        <f>IFERROR(VLOOKUP(AT24,FORMULAS!$B$94:$D$101,2,FALSE),0)</f>
        <v>2</v>
      </c>
      <c r="AV24" s="306">
        <f>IFERROR(VLOOKUP(AT24,FORMULAS!$B$94:$D$101,3,FALSE),0)</f>
        <v>0</v>
      </c>
      <c r="AW24" s="341" t="s">
        <v>15</v>
      </c>
      <c r="AX24" s="341" t="s">
        <v>17</v>
      </c>
      <c r="AY24" s="342" t="str">
        <f>AW24&amp;AX24</f>
        <v>Rara vezModerado</v>
      </c>
      <c r="AZ24" s="356" t="str">
        <f>IFERROR(VLOOKUP(AY24,FORMULAS!$B$37:$C$61,2,FALSE),"")</f>
        <v>Riesgo moderado</v>
      </c>
      <c r="BA24" s="343" t="s">
        <v>29</v>
      </c>
      <c r="BB24" s="149" t="s">
        <v>843</v>
      </c>
      <c r="BC24" s="149" t="s">
        <v>844</v>
      </c>
      <c r="BD24" s="149" t="s">
        <v>705</v>
      </c>
      <c r="BE24" s="85" t="s">
        <v>845</v>
      </c>
      <c r="BF24" s="145" t="s">
        <v>846</v>
      </c>
      <c r="BG24" s="470" t="s">
        <v>847</v>
      </c>
      <c r="BH24" s="470" t="s">
        <v>848</v>
      </c>
      <c r="BI24" s="470" t="s">
        <v>705</v>
      </c>
      <c r="BJ24" s="472" t="s">
        <v>706</v>
      </c>
    </row>
    <row r="25" spans="1:63" s="59" customFormat="1" ht="187.5" customHeight="1" thickBot="1" x14ac:dyDescent="0.3">
      <c r="A25" s="295"/>
      <c r="B25" s="458"/>
      <c r="C25" s="277"/>
      <c r="D25" s="387"/>
      <c r="E25" s="387"/>
      <c r="F25" s="368"/>
      <c r="G25" s="321"/>
      <c r="H25" s="366"/>
      <c r="I25" s="367"/>
      <c r="J25" s="367"/>
      <c r="K25" s="73" t="s">
        <v>849</v>
      </c>
      <c r="L25" s="117" t="s">
        <v>850</v>
      </c>
      <c r="M25" s="334"/>
      <c r="N25" s="368"/>
      <c r="O25" s="368"/>
      <c r="P25" s="355"/>
      <c r="Q25" s="369"/>
      <c r="R25" s="531" t="s">
        <v>851</v>
      </c>
      <c r="S25" s="532"/>
      <c r="T25" s="122" t="s">
        <v>147</v>
      </c>
      <c r="U25" s="69">
        <f t="shared" si="0"/>
        <v>15</v>
      </c>
      <c r="V25" s="122" t="s">
        <v>148</v>
      </c>
      <c r="W25" s="69">
        <f t="shared" si="1"/>
        <v>15</v>
      </c>
      <c r="X25" s="122" t="s">
        <v>149</v>
      </c>
      <c r="Y25" s="69">
        <f t="shared" si="2"/>
        <v>15</v>
      </c>
      <c r="Z25" s="122" t="s">
        <v>150</v>
      </c>
      <c r="AA25" s="69">
        <f t="shared" si="3"/>
        <v>15</v>
      </c>
      <c r="AB25" s="122" t="s">
        <v>151</v>
      </c>
      <c r="AC25" s="69">
        <f t="shared" si="4"/>
        <v>15</v>
      </c>
      <c r="AD25" s="122" t="s">
        <v>152</v>
      </c>
      <c r="AE25" s="69">
        <f t="shared" si="5"/>
        <v>15</v>
      </c>
      <c r="AF25" s="122" t="s">
        <v>153</v>
      </c>
      <c r="AG25" s="124">
        <f t="shared" si="6"/>
        <v>10</v>
      </c>
      <c r="AH25" s="129">
        <f t="shared" si="7"/>
        <v>100</v>
      </c>
      <c r="AI25" s="129" t="str">
        <f t="shared" si="8"/>
        <v>Fuerte</v>
      </c>
      <c r="AJ25" s="120" t="s">
        <v>154</v>
      </c>
      <c r="AK25" s="129" t="str">
        <f t="shared" si="9"/>
        <v>Fuerte</v>
      </c>
      <c r="AL25" s="129" t="str">
        <f t="shared" si="10"/>
        <v>FuerteFuerte</v>
      </c>
      <c r="AM25" s="129" t="str">
        <f>IFERROR(VLOOKUP(AL25,FORMULAS!$B$69:$D$77,3,FALSE),"")</f>
        <v>Fuerte</v>
      </c>
      <c r="AN25" s="129">
        <f t="shared" si="11"/>
        <v>100</v>
      </c>
      <c r="AO25" s="129" t="str">
        <f>IFERROR(VLOOKUP(AL25,FORMULAS!$B$69:$C$77,2,FALSE),"")</f>
        <v>No</v>
      </c>
      <c r="AP25" s="307"/>
      <c r="AQ25" s="307"/>
      <c r="AR25" s="305"/>
      <c r="AS25" s="305"/>
      <c r="AT25" s="307"/>
      <c r="AU25" s="307"/>
      <c r="AV25" s="307"/>
      <c r="AW25" s="368"/>
      <c r="AX25" s="368"/>
      <c r="AY25" s="355"/>
      <c r="AZ25" s="357"/>
      <c r="BA25" s="369"/>
      <c r="BB25" s="151"/>
      <c r="BC25" s="151"/>
      <c r="BD25" s="151"/>
      <c r="BE25" s="86"/>
      <c r="BF25" s="148"/>
      <c r="BG25" s="471"/>
      <c r="BH25" s="471"/>
      <c r="BI25" s="471"/>
      <c r="BJ25" s="473"/>
    </row>
    <row r="26" spans="1:63" s="59" customFormat="1" ht="208.5" customHeight="1" x14ac:dyDescent="0.25">
      <c r="A26" s="295">
        <v>8</v>
      </c>
      <c r="B26" s="459" t="s">
        <v>77</v>
      </c>
      <c r="C26" s="341">
        <v>8</v>
      </c>
      <c r="D26" s="298" t="s">
        <v>852</v>
      </c>
      <c r="E26" s="298" t="s">
        <v>853</v>
      </c>
      <c r="F26" s="341" t="s">
        <v>21</v>
      </c>
      <c r="G26" s="257" t="s">
        <v>801</v>
      </c>
      <c r="H26" s="344" t="s">
        <v>854</v>
      </c>
      <c r="I26" s="345"/>
      <c r="J26" s="345"/>
      <c r="K26" s="65" t="s">
        <v>855</v>
      </c>
      <c r="L26" s="288" t="s">
        <v>856</v>
      </c>
      <c r="M26" s="342" t="str">
        <f>IF(F26="gestion","impacto",IF(F26="corrupcion","impactocorrupcion",IF(F26="seguridad_de_la_informacion","impacto","")))</f>
        <v>impactocorrupcion</v>
      </c>
      <c r="N26" s="341" t="s">
        <v>42</v>
      </c>
      <c r="O26" s="341" t="s">
        <v>27</v>
      </c>
      <c r="P26" s="342" t="str">
        <f>N26&amp;O26</f>
        <v>ProbableMayor</v>
      </c>
      <c r="Q26" s="343" t="str">
        <f>IFERROR(VLOOKUP(P26,FORMULAS!$B$37:$C$61,2,FALSE),"")</f>
        <v>Riesgo extremo</v>
      </c>
      <c r="R26" s="535" t="s">
        <v>857</v>
      </c>
      <c r="S26" s="536"/>
      <c r="T26" s="121" t="s">
        <v>147</v>
      </c>
      <c r="U26" s="67">
        <f t="shared" si="0"/>
        <v>15</v>
      </c>
      <c r="V26" s="121" t="s">
        <v>148</v>
      </c>
      <c r="W26" s="67">
        <f t="shared" si="1"/>
        <v>15</v>
      </c>
      <c r="X26" s="121" t="s">
        <v>149</v>
      </c>
      <c r="Y26" s="67">
        <f t="shared" si="2"/>
        <v>15</v>
      </c>
      <c r="Z26" s="121" t="s">
        <v>150</v>
      </c>
      <c r="AA26" s="67">
        <f t="shared" si="3"/>
        <v>15</v>
      </c>
      <c r="AB26" s="121" t="s">
        <v>151</v>
      </c>
      <c r="AC26" s="67">
        <f t="shared" si="4"/>
        <v>15</v>
      </c>
      <c r="AD26" s="121" t="s">
        <v>152</v>
      </c>
      <c r="AE26" s="67">
        <f t="shared" si="5"/>
        <v>15</v>
      </c>
      <c r="AF26" s="121" t="s">
        <v>153</v>
      </c>
      <c r="AG26" s="123">
        <f t="shared" si="6"/>
        <v>10</v>
      </c>
      <c r="AH26" s="127">
        <f t="shared" si="7"/>
        <v>100</v>
      </c>
      <c r="AI26" s="127" t="str">
        <f t="shared" si="8"/>
        <v>Fuerte</v>
      </c>
      <c r="AJ26" s="119" t="s">
        <v>154</v>
      </c>
      <c r="AK26" s="127" t="str">
        <f t="shared" si="9"/>
        <v>Fuerte</v>
      </c>
      <c r="AL26" s="127" t="str">
        <f t="shared" si="10"/>
        <v>FuerteFuerte</v>
      </c>
      <c r="AM26" s="127" t="str">
        <f>IFERROR(VLOOKUP(AL26,FORMULAS!$B$69:$D$77,3,FALSE),"")</f>
        <v>Fuerte</v>
      </c>
      <c r="AN26" s="127">
        <f t="shared" si="11"/>
        <v>100</v>
      </c>
      <c r="AO26" s="127" t="str">
        <f>IFERROR(VLOOKUP(AL26,FORMULAS!$B$69:$D$77,2,FALSE),"")</f>
        <v>No</v>
      </c>
      <c r="AP26" s="306">
        <f>IFERROR(AVERAGE(AN26:AN27),0)</f>
        <v>100</v>
      </c>
      <c r="AQ26" s="306" t="str">
        <f>IF(AP26&gt;=100,"Fuerte",IF(AP26&gt;=50,"Moderado",IF(AP26&gt;=1,"Débil","")))</f>
        <v>Fuerte</v>
      </c>
      <c r="AR26" s="308" t="s">
        <v>92</v>
      </c>
      <c r="AS26" s="308" t="s">
        <v>93</v>
      </c>
      <c r="AT26" s="306" t="str">
        <f>+AQ26&amp;AR26&amp;AS26</f>
        <v>FuerteDirectamenteNo disminuye</v>
      </c>
      <c r="AU26" s="306">
        <f>IFERROR(VLOOKUP(AT26,FORMULAS!$B$94:$D$101,2,FALSE),0)</f>
        <v>2</v>
      </c>
      <c r="AV26" s="306">
        <f>IFERROR(VLOOKUP(AT26,FORMULAS!$B$94:$D$101,3,FALSE),0)</f>
        <v>0</v>
      </c>
      <c r="AW26" s="341" t="s">
        <v>25</v>
      </c>
      <c r="AX26" s="341" t="s">
        <v>27</v>
      </c>
      <c r="AY26" s="342" t="str">
        <f>AW26&amp;AX26</f>
        <v>ImprobableMayor</v>
      </c>
      <c r="AZ26" s="356" t="str">
        <f>IFERROR(VLOOKUP(AY26,FORMULAS!$B$37:$C$61,2,FALSE),"")</f>
        <v>Riesgo alto</v>
      </c>
      <c r="BA26" s="343" t="s">
        <v>29</v>
      </c>
      <c r="BB26" s="118" t="s">
        <v>858</v>
      </c>
      <c r="BC26" s="118" t="s">
        <v>859</v>
      </c>
      <c r="BD26" s="118" t="s">
        <v>860</v>
      </c>
      <c r="BE26" s="118" t="s">
        <v>253</v>
      </c>
      <c r="BF26" s="183" t="s">
        <v>861</v>
      </c>
      <c r="BG26" s="537" t="s">
        <v>862</v>
      </c>
      <c r="BH26" s="537" t="s">
        <v>482</v>
      </c>
      <c r="BI26" s="537" t="s">
        <v>203</v>
      </c>
      <c r="BJ26" s="474" t="s">
        <v>863</v>
      </c>
    </row>
    <row r="27" spans="1:63" s="59" customFormat="1" ht="165" customHeight="1" thickBot="1" x14ac:dyDescent="0.3">
      <c r="A27" s="295"/>
      <c r="B27" s="467"/>
      <c r="C27" s="368"/>
      <c r="D27" s="298"/>
      <c r="E27" s="298"/>
      <c r="F27" s="368"/>
      <c r="G27" s="321"/>
      <c r="H27" s="366"/>
      <c r="I27" s="367"/>
      <c r="J27" s="367"/>
      <c r="K27" s="73" t="s">
        <v>864</v>
      </c>
      <c r="L27" s="315"/>
      <c r="M27" s="355"/>
      <c r="N27" s="368"/>
      <c r="O27" s="368"/>
      <c r="P27" s="355"/>
      <c r="Q27" s="369"/>
      <c r="R27" s="535" t="s">
        <v>865</v>
      </c>
      <c r="S27" s="536"/>
      <c r="T27" s="122" t="s">
        <v>147</v>
      </c>
      <c r="U27" s="69">
        <f t="shared" si="0"/>
        <v>15</v>
      </c>
      <c r="V27" s="122" t="s">
        <v>148</v>
      </c>
      <c r="W27" s="69">
        <f t="shared" si="1"/>
        <v>15</v>
      </c>
      <c r="X27" s="122" t="s">
        <v>149</v>
      </c>
      <c r="Y27" s="69">
        <f t="shared" si="2"/>
        <v>15</v>
      </c>
      <c r="Z27" s="122" t="s">
        <v>150</v>
      </c>
      <c r="AA27" s="69">
        <f t="shared" si="3"/>
        <v>15</v>
      </c>
      <c r="AB27" s="122" t="s">
        <v>151</v>
      </c>
      <c r="AC27" s="69">
        <f t="shared" si="4"/>
        <v>15</v>
      </c>
      <c r="AD27" s="122" t="s">
        <v>152</v>
      </c>
      <c r="AE27" s="69">
        <f t="shared" si="5"/>
        <v>15</v>
      </c>
      <c r="AF27" s="122" t="s">
        <v>153</v>
      </c>
      <c r="AG27" s="124">
        <f t="shared" si="6"/>
        <v>10</v>
      </c>
      <c r="AH27" s="129">
        <f t="shared" si="7"/>
        <v>100</v>
      </c>
      <c r="AI27" s="129" t="str">
        <f t="shared" si="8"/>
        <v>Fuerte</v>
      </c>
      <c r="AJ27" s="120" t="s">
        <v>154</v>
      </c>
      <c r="AK27" s="129" t="str">
        <f t="shared" si="9"/>
        <v>Fuerte</v>
      </c>
      <c r="AL27" s="129" t="str">
        <f t="shared" si="10"/>
        <v>FuerteFuerte</v>
      </c>
      <c r="AM27" s="129" t="str">
        <f>IFERROR(VLOOKUP(AL27,FORMULAS!$B$69:$D$77,3,FALSE),"")</f>
        <v>Fuerte</v>
      </c>
      <c r="AN27" s="129">
        <f t="shared" si="11"/>
        <v>100</v>
      </c>
      <c r="AO27" s="129" t="str">
        <f>IFERROR(VLOOKUP(AL27,FORMULAS!$B$69:$C$77,2,FALSE),"")</f>
        <v>No</v>
      </c>
      <c r="AP27" s="307"/>
      <c r="AQ27" s="307"/>
      <c r="AR27" s="305"/>
      <c r="AS27" s="305"/>
      <c r="AT27" s="307"/>
      <c r="AU27" s="307"/>
      <c r="AV27" s="307"/>
      <c r="AW27" s="368"/>
      <c r="AX27" s="368"/>
      <c r="AY27" s="355"/>
      <c r="AZ27" s="357"/>
      <c r="BA27" s="369"/>
      <c r="BB27" s="118" t="s">
        <v>866</v>
      </c>
      <c r="BC27" s="118" t="s">
        <v>867</v>
      </c>
      <c r="BD27" s="118" t="s">
        <v>860</v>
      </c>
      <c r="BE27" s="118" t="s">
        <v>253</v>
      </c>
      <c r="BF27" s="183" t="s">
        <v>868</v>
      </c>
      <c r="BG27" s="537"/>
      <c r="BH27" s="537"/>
      <c r="BI27" s="537"/>
      <c r="BJ27" s="474"/>
    </row>
    <row r="28" spans="1:63" s="6" customFormat="1" x14ac:dyDescent="0.25">
      <c r="B28" s="7"/>
      <c r="C28" s="7"/>
      <c r="D28" s="15"/>
      <c r="E28" s="15"/>
      <c r="F28" s="7"/>
      <c r="G28" s="7"/>
      <c r="H28" s="15"/>
      <c r="I28" s="15"/>
      <c r="J28" s="15"/>
      <c r="K28" s="7"/>
      <c r="L28" s="7"/>
      <c r="M28" s="7"/>
      <c r="N28" s="7"/>
      <c r="O28" s="7"/>
      <c r="P28" s="7"/>
      <c r="Q28" s="9"/>
      <c r="R28" s="15"/>
      <c r="S28" s="15"/>
      <c r="T28" s="7"/>
      <c r="U28" s="7"/>
      <c r="V28" s="7"/>
      <c r="W28" s="7"/>
      <c r="X28" s="7"/>
      <c r="Y28" s="7"/>
      <c r="Z28" s="7"/>
      <c r="AA28" s="7"/>
      <c r="AB28" s="7"/>
      <c r="AC28" s="7"/>
      <c r="AD28" s="7"/>
      <c r="AE28" s="7"/>
      <c r="AF28" s="7"/>
      <c r="AG28" s="7"/>
      <c r="AH28" s="8"/>
      <c r="AI28" s="8"/>
      <c r="AJ28" s="8"/>
      <c r="AK28" s="8"/>
      <c r="AL28" s="8"/>
      <c r="AM28" s="8"/>
      <c r="AN28" s="8"/>
      <c r="AO28" s="8"/>
      <c r="AP28" s="8"/>
      <c r="AQ28" s="8"/>
      <c r="AR28" s="8"/>
      <c r="AS28" s="8"/>
      <c r="AT28" s="8"/>
      <c r="AU28" s="8"/>
      <c r="AV28" s="8"/>
      <c r="AW28" s="7"/>
      <c r="AX28" s="7"/>
      <c r="AY28" s="9"/>
      <c r="AZ28" s="9"/>
      <c r="BA28" s="9"/>
      <c r="BB28" s="9"/>
      <c r="BC28" s="9"/>
      <c r="BD28" s="9"/>
    </row>
    <row r="29" spans="1:63" s="6" customFormat="1" x14ac:dyDescent="0.25">
      <c r="B29" s="7"/>
      <c r="C29" s="7"/>
      <c r="D29" s="15"/>
      <c r="E29" s="15"/>
      <c r="F29" s="7"/>
      <c r="G29" s="7"/>
      <c r="H29" s="15"/>
      <c r="I29" s="15"/>
      <c r="J29" s="15"/>
      <c r="K29" s="7"/>
      <c r="L29" s="7"/>
      <c r="M29" s="7"/>
      <c r="N29" s="7"/>
      <c r="O29" s="7"/>
      <c r="P29" s="7"/>
      <c r="Q29" s="9"/>
      <c r="R29" s="15"/>
      <c r="S29" s="15"/>
      <c r="T29" s="7"/>
      <c r="U29" s="7"/>
      <c r="V29" s="7"/>
      <c r="W29" s="7"/>
      <c r="X29" s="7"/>
      <c r="Y29" s="7"/>
      <c r="Z29" s="7"/>
      <c r="AA29" s="7"/>
      <c r="AB29" s="7"/>
      <c r="AC29" s="7"/>
      <c r="AD29" s="7"/>
      <c r="AE29" s="7"/>
      <c r="AF29" s="7"/>
      <c r="AG29" s="7"/>
      <c r="AH29" s="8"/>
      <c r="AI29" s="8"/>
      <c r="AJ29" s="8"/>
      <c r="AK29" s="8"/>
      <c r="AL29" s="8"/>
      <c r="AM29" s="8"/>
      <c r="AN29" s="8"/>
      <c r="AO29" s="8"/>
      <c r="AP29" s="8"/>
      <c r="AQ29" s="8"/>
      <c r="AR29" s="8"/>
      <c r="AS29" s="8"/>
      <c r="AT29" s="8"/>
      <c r="AU29" s="8"/>
      <c r="AV29" s="8"/>
      <c r="AW29" s="7"/>
      <c r="AX29" s="7"/>
      <c r="AY29" s="9"/>
      <c r="AZ29" s="9"/>
      <c r="BA29" s="9"/>
      <c r="BB29" s="9"/>
      <c r="BC29" s="9"/>
      <c r="BD29" s="9"/>
    </row>
    <row r="30" spans="1:63" s="6" customFormat="1" x14ac:dyDescent="0.25">
      <c r="D30" s="15"/>
      <c r="E30" s="15"/>
      <c r="F30" s="7"/>
      <c r="G30" s="7"/>
      <c r="H30" s="15"/>
      <c r="I30" s="15"/>
      <c r="J30" s="15"/>
      <c r="K30" s="7"/>
      <c r="L30" s="7"/>
      <c r="M30" s="7"/>
      <c r="N30" s="7"/>
      <c r="O30" s="7"/>
      <c r="P30" s="7"/>
      <c r="Q30" s="9"/>
      <c r="R30" s="15"/>
      <c r="S30" s="15"/>
      <c r="T30" s="7"/>
      <c r="U30" s="7"/>
      <c r="V30" s="7"/>
      <c r="W30" s="7"/>
      <c r="X30" s="7"/>
      <c r="Y30" s="7"/>
      <c r="Z30" s="7"/>
      <c r="AA30" s="7"/>
      <c r="AB30" s="7"/>
      <c r="AC30" s="7"/>
      <c r="AD30" s="7"/>
      <c r="AE30" s="7"/>
      <c r="AF30" s="7"/>
      <c r="AG30" s="7"/>
      <c r="AH30" s="8"/>
      <c r="AI30" s="8"/>
      <c r="AJ30" s="8"/>
      <c r="AK30" s="8"/>
      <c r="AL30" s="8"/>
      <c r="AM30" s="8"/>
      <c r="AN30" s="8"/>
      <c r="AO30" s="8"/>
      <c r="AP30" s="8"/>
      <c r="AQ30" s="8"/>
      <c r="AR30" s="8"/>
      <c r="AS30" s="8"/>
      <c r="AT30" s="8"/>
      <c r="AU30" s="8"/>
      <c r="AV30" s="8"/>
      <c r="AW30" s="7"/>
      <c r="AX30" s="7"/>
      <c r="AY30" s="9"/>
      <c r="AZ30" s="9"/>
      <c r="BA30" s="9"/>
      <c r="BB30" s="9"/>
      <c r="BC30" s="9"/>
      <c r="BD30" s="9"/>
    </row>
    <row r="31" spans="1:63" s="6" customFormat="1" x14ac:dyDescent="0.25">
      <c r="D31" s="15"/>
      <c r="E31" s="15"/>
      <c r="F31" s="7"/>
      <c r="G31" s="7"/>
      <c r="H31" s="15"/>
      <c r="I31" s="15"/>
      <c r="J31" s="15"/>
      <c r="K31" s="7"/>
      <c r="L31" s="7"/>
      <c r="M31" s="7"/>
      <c r="N31" s="7"/>
      <c r="O31" s="7"/>
      <c r="P31" s="7"/>
      <c r="Q31" s="9"/>
      <c r="R31" s="15"/>
      <c r="S31" s="15"/>
      <c r="T31" s="7"/>
      <c r="U31" s="7"/>
      <c r="V31" s="7"/>
      <c r="W31" s="7"/>
      <c r="X31" s="7"/>
      <c r="Y31" s="7"/>
      <c r="Z31" s="7"/>
      <c r="AA31" s="7"/>
      <c r="AB31" s="7"/>
      <c r="AC31" s="7"/>
      <c r="AD31" s="7"/>
      <c r="AE31" s="7"/>
      <c r="AF31" s="7"/>
      <c r="AG31" s="7"/>
      <c r="AH31" s="8"/>
      <c r="AI31" s="8"/>
      <c r="AJ31" s="8"/>
      <c r="AL31" s="8"/>
      <c r="AO31" s="8"/>
      <c r="AP31" s="8"/>
      <c r="AQ31" s="8"/>
      <c r="AR31" s="8"/>
      <c r="AS31" s="8"/>
      <c r="AT31" s="8"/>
      <c r="AU31" s="8"/>
      <c r="AV31" s="8"/>
      <c r="AW31" s="7"/>
      <c r="AX31" s="7"/>
      <c r="AY31" s="9"/>
      <c r="AZ31" s="9"/>
      <c r="BA31" s="9"/>
      <c r="BB31" s="9"/>
      <c r="BC31" s="9"/>
      <c r="BD31" s="9"/>
    </row>
    <row r="32" spans="1:63" x14ac:dyDescent="0.25">
      <c r="AR32" s="8"/>
    </row>
    <row r="33" spans="5:44" x14ac:dyDescent="0.25">
      <c r="E33" s="12"/>
      <c r="H33" s="12"/>
      <c r="I33" s="12"/>
      <c r="J33" s="12"/>
      <c r="AR33" s="8"/>
    </row>
    <row r="34" spans="5:44" x14ac:dyDescent="0.25">
      <c r="E34" s="12"/>
      <c r="H34" s="12"/>
      <c r="I34" s="12"/>
      <c r="J34" s="12"/>
    </row>
    <row r="35" spans="5:44" x14ac:dyDescent="0.25">
      <c r="E35" s="12"/>
      <c r="H35" s="12"/>
      <c r="I35" s="12"/>
      <c r="J35" s="12"/>
    </row>
    <row r="36" spans="5:44" x14ac:dyDescent="0.25">
      <c r="E36" s="12"/>
      <c r="H36" s="12"/>
      <c r="I36" s="12"/>
      <c r="J36" s="12"/>
    </row>
    <row r="37" spans="5:44" x14ac:dyDescent="0.25">
      <c r="E37" s="12"/>
      <c r="H37" s="12"/>
      <c r="I37" s="12"/>
      <c r="J37" s="12"/>
    </row>
    <row r="38" spans="5:44" x14ac:dyDescent="0.25">
      <c r="E38" s="12"/>
      <c r="H38" s="12"/>
      <c r="I38" s="12"/>
      <c r="J38" s="12"/>
    </row>
    <row r="39" spans="5:44" x14ac:dyDescent="0.25">
      <c r="E39" s="12"/>
      <c r="H39" s="12"/>
      <c r="I39" s="12"/>
      <c r="J39" s="12"/>
    </row>
    <row r="40" spans="5:44" x14ac:dyDescent="0.25">
      <c r="E40" s="12"/>
      <c r="H40" s="12"/>
      <c r="I40" s="12"/>
      <c r="J40" s="12"/>
    </row>
    <row r="41" spans="5:44" x14ac:dyDescent="0.25">
      <c r="E41" s="12"/>
      <c r="H41" s="12"/>
      <c r="I41" s="12"/>
      <c r="J41" s="12"/>
    </row>
    <row r="42" spans="5:44" x14ac:dyDescent="0.25">
      <c r="E42" s="12"/>
      <c r="H42" s="12"/>
      <c r="I42" s="12"/>
      <c r="J42" s="12"/>
    </row>
    <row r="43" spans="5:44" x14ac:dyDescent="0.25">
      <c r="E43" s="12"/>
      <c r="H43" s="12"/>
      <c r="I43" s="12"/>
      <c r="J43" s="12"/>
    </row>
    <row r="44" spans="5:44" x14ac:dyDescent="0.25">
      <c r="E44" s="12"/>
      <c r="H44" s="12"/>
      <c r="I44" s="12"/>
      <c r="J44" s="12"/>
    </row>
    <row r="45" spans="5:44" x14ac:dyDescent="0.25">
      <c r="E45" s="12"/>
      <c r="H45" s="12"/>
      <c r="I45" s="12"/>
      <c r="J45" s="12"/>
    </row>
    <row r="46" spans="5:44" x14ac:dyDescent="0.25">
      <c r="E46" s="12"/>
      <c r="H46" s="12"/>
      <c r="I46" s="12"/>
      <c r="J46" s="12"/>
    </row>
    <row r="47" spans="5:44" x14ac:dyDescent="0.25">
      <c r="E47" s="12"/>
      <c r="H47" s="12"/>
      <c r="I47" s="12"/>
      <c r="J47" s="12"/>
    </row>
    <row r="48" spans="5:44" x14ac:dyDescent="0.25">
      <c r="E48" s="12"/>
      <c r="H48" s="12"/>
      <c r="I48" s="12"/>
      <c r="J48" s="12"/>
    </row>
    <row r="49" spans="5:10" x14ac:dyDescent="0.25">
      <c r="E49" s="12"/>
      <c r="H49" s="12"/>
      <c r="I49" s="12"/>
      <c r="J49" s="12"/>
    </row>
    <row r="50" spans="5:10" x14ac:dyDescent="0.25">
      <c r="E50" s="12"/>
      <c r="H50" s="12"/>
      <c r="I50" s="12"/>
      <c r="J50" s="12"/>
    </row>
    <row r="51" spans="5:10" x14ac:dyDescent="0.25">
      <c r="E51" s="12"/>
      <c r="H51" s="12"/>
      <c r="I51" s="12"/>
      <c r="J51" s="12"/>
    </row>
    <row r="52" spans="5:10" x14ac:dyDescent="0.25">
      <c r="E52" s="12"/>
      <c r="H52" s="12"/>
      <c r="I52" s="12"/>
      <c r="J52" s="12"/>
    </row>
  </sheetData>
  <sheetProtection selectLockedCells="1"/>
  <mergeCells count="331">
    <mergeCell ref="A24:A25"/>
    <mergeCell ref="A26:A27"/>
    <mergeCell ref="AX20:AX21"/>
    <mergeCell ref="AS20:AS21"/>
    <mergeCell ref="AG20:AG21"/>
    <mergeCell ref="A11:A12"/>
    <mergeCell ref="A13:A14"/>
    <mergeCell ref="A15:A17"/>
    <mergeCell ref="A18:A19"/>
    <mergeCell ref="A20:A21"/>
    <mergeCell ref="A22:A23"/>
    <mergeCell ref="R18:S18"/>
    <mergeCell ref="R19:S19"/>
    <mergeCell ref="P26:P27"/>
    <mergeCell ref="Q26:Q27"/>
    <mergeCell ref="AP26:AP27"/>
    <mergeCell ref="AQ26:AQ27"/>
    <mergeCell ref="AR26:AR27"/>
    <mergeCell ref="H26:H27"/>
    <mergeCell ref="I26:I27"/>
    <mergeCell ref="J26:J27"/>
    <mergeCell ref="M26:M27"/>
    <mergeCell ref="N26:N27"/>
    <mergeCell ref="O26:O27"/>
    <mergeCell ref="BA18:BA19"/>
    <mergeCell ref="AZ18:AZ19"/>
    <mergeCell ref="AX18:AX19"/>
    <mergeCell ref="AW18:AW19"/>
    <mergeCell ref="AV18:AV19"/>
    <mergeCell ref="AU18:AU19"/>
    <mergeCell ref="AS18:AS19"/>
    <mergeCell ref="AR18:AR19"/>
    <mergeCell ref="AP18:AP19"/>
    <mergeCell ref="BG24:BG25"/>
    <mergeCell ref="BH24:BH25"/>
    <mergeCell ref="BI24:BI25"/>
    <mergeCell ref="BJ24:BJ25"/>
    <mergeCell ref="D26:D27"/>
    <mergeCell ref="E26:E27"/>
    <mergeCell ref="R27:S27"/>
    <mergeCell ref="R26:S26"/>
    <mergeCell ref="BH26:BH27"/>
    <mergeCell ref="BI26:BI27"/>
    <mergeCell ref="BJ26:BJ27"/>
    <mergeCell ref="BG26:BG27"/>
    <mergeCell ref="N24:N25"/>
    <mergeCell ref="O24:O25"/>
    <mergeCell ref="L26:L27"/>
    <mergeCell ref="AY26:AY27"/>
    <mergeCell ref="AZ26:AZ27"/>
    <mergeCell ref="BA26:BA27"/>
    <mergeCell ref="AS26:AS27"/>
    <mergeCell ref="AT26:AT27"/>
    <mergeCell ref="AU26:AU27"/>
    <mergeCell ref="AV26:AV27"/>
    <mergeCell ref="AW26:AW27"/>
    <mergeCell ref="AX26:AX27"/>
    <mergeCell ref="B2:BJ5"/>
    <mergeCell ref="BB22:BB23"/>
    <mergeCell ref="BC22:BC23"/>
    <mergeCell ref="BD22:BD23"/>
    <mergeCell ref="BE22:BE23"/>
    <mergeCell ref="BF22:BF23"/>
    <mergeCell ref="BG22:BG23"/>
    <mergeCell ref="BH22:BH23"/>
    <mergeCell ref="BI22:BI23"/>
    <mergeCell ref="BJ22:BJ23"/>
    <mergeCell ref="BG15:BG17"/>
    <mergeCell ref="BH15:BH17"/>
    <mergeCell ref="BI15:BI17"/>
    <mergeCell ref="BJ15:BJ17"/>
    <mergeCell ref="D20:D21"/>
    <mergeCell ref="E20:E21"/>
    <mergeCell ref="K20:K21"/>
    <mergeCell ref="L20:L21"/>
    <mergeCell ref="BA20:BA21"/>
    <mergeCell ref="BJ13:BJ14"/>
    <mergeCell ref="J22:J23"/>
    <mergeCell ref="M22:M23"/>
    <mergeCell ref="N22:N23"/>
    <mergeCell ref="O22:O23"/>
    <mergeCell ref="B26:B27"/>
    <mergeCell ref="C26:C27"/>
    <mergeCell ref="F26:F27"/>
    <mergeCell ref="G26:G27"/>
    <mergeCell ref="AY24:AY25"/>
    <mergeCell ref="AZ24:AZ25"/>
    <mergeCell ref="BA24:BA25"/>
    <mergeCell ref="R25:S25"/>
    <mergeCell ref="AS24:AS25"/>
    <mergeCell ref="AT24:AT25"/>
    <mergeCell ref="AU24:AU25"/>
    <mergeCell ref="AV24:AV25"/>
    <mergeCell ref="AW24:AW25"/>
    <mergeCell ref="AX24:AX25"/>
    <mergeCell ref="P24:P25"/>
    <mergeCell ref="Q24:Q25"/>
    <mergeCell ref="R24:S24"/>
    <mergeCell ref="AP24:AP25"/>
    <mergeCell ref="AQ24:AQ25"/>
    <mergeCell ref="AR24:AR25"/>
    <mergeCell ref="H24:H25"/>
    <mergeCell ref="I24:I25"/>
    <mergeCell ref="J24:J25"/>
    <mergeCell ref="M24:M25"/>
    <mergeCell ref="B24:B25"/>
    <mergeCell ref="C24:C25"/>
    <mergeCell ref="D24:D25"/>
    <mergeCell ref="E24:E25"/>
    <mergeCell ref="F24:F25"/>
    <mergeCell ref="G24:G25"/>
    <mergeCell ref="AY22:AY23"/>
    <mergeCell ref="AZ22:AZ23"/>
    <mergeCell ref="BA22:BA23"/>
    <mergeCell ref="R23:S23"/>
    <mergeCell ref="AS22:AS23"/>
    <mergeCell ref="AT22:AT23"/>
    <mergeCell ref="AU22:AU23"/>
    <mergeCell ref="AV22:AV23"/>
    <mergeCell ref="AW22:AW23"/>
    <mergeCell ref="AX22:AX23"/>
    <mergeCell ref="P22:P23"/>
    <mergeCell ref="Q22:Q23"/>
    <mergeCell ref="R22:S22"/>
    <mergeCell ref="AP22:AP23"/>
    <mergeCell ref="AQ22:AQ23"/>
    <mergeCell ref="AR22:AR23"/>
    <mergeCell ref="H22:H23"/>
    <mergeCell ref="I22:I23"/>
    <mergeCell ref="AZ20:AZ21"/>
    <mergeCell ref="AR20:AR21"/>
    <mergeCell ref="AU20:AU21"/>
    <mergeCell ref="AV20:AV21"/>
    <mergeCell ref="AW20:AW21"/>
    <mergeCell ref="R20:S20"/>
    <mergeCell ref="T20:T21"/>
    <mergeCell ref="V20:V21"/>
    <mergeCell ref="X20:X21"/>
    <mergeCell ref="Z20:Z21"/>
    <mergeCell ref="AB20:AB21"/>
    <mergeCell ref="AD20:AD21"/>
    <mergeCell ref="AF20:AF21"/>
    <mergeCell ref="AH20:AH21"/>
    <mergeCell ref="AI20:AI21"/>
    <mergeCell ref="AJ20:AJ21"/>
    <mergeCell ref="AQ20:AQ21"/>
    <mergeCell ref="AO20:AO21"/>
    <mergeCell ref="B22:B23"/>
    <mergeCell ref="C22:C23"/>
    <mergeCell ref="D22:D23"/>
    <mergeCell ref="E22:E23"/>
    <mergeCell ref="F22:F23"/>
    <mergeCell ref="G22:G23"/>
    <mergeCell ref="K22:K23"/>
    <mergeCell ref="L22:L23"/>
    <mergeCell ref="B20:B21"/>
    <mergeCell ref="C20:C21"/>
    <mergeCell ref="F20:F21"/>
    <mergeCell ref="G20:G21"/>
    <mergeCell ref="AO18:AO19"/>
    <mergeCell ref="AQ18:AQ19"/>
    <mergeCell ref="H18:H19"/>
    <mergeCell ref="I18:I19"/>
    <mergeCell ref="J18:J19"/>
    <mergeCell ref="M18:M19"/>
    <mergeCell ref="N18:N19"/>
    <mergeCell ref="O18:O19"/>
    <mergeCell ref="H20:H21"/>
    <mergeCell ref="N20:N21"/>
    <mergeCell ref="O20:O21"/>
    <mergeCell ref="AN20:AN21"/>
    <mergeCell ref="R21:S21"/>
    <mergeCell ref="B18:B19"/>
    <mergeCell ref="C18:C19"/>
    <mergeCell ref="D18:D19"/>
    <mergeCell ref="E18:E19"/>
    <mergeCell ref="F18:F19"/>
    <mergeCell ref="G18:G19"/>
    <mergeCell ref="AK20:AK21"/>
    <mergeCell ref="AM20:AM21"/>
    <mergeCell ref="Q20:Q21"/>
    <mergeCell ref="P18:P19"/>
    <mergeCell ref="Q18:Q19"/>
    <mergeCell ref="R13:S13"/>
    <mergeCell ref="AQ13:AQ14"/>
    <mergeCell ref="AY15:AY17"/>
    <mergeCell ref="AZ15:AZ17"/>
    <mergeCell ref="BA15:BA17"/>
    <mergeCell ref="R16:S16"/>
    <mergeCell ref="R17:S17"/>
    <mergeCell ref="AS15:AS17"/>
    <mergeCell ref="AT15:AT17"/>
    <mergeCell ref="AU15:AU17"/>
    <mergeCell ref="AV15:AV17"/>
    <mergeCell ref="AW15:AW17"/>
    <mergeCell ref="AX15:AX17"/>
    <mergeCell ref="Q15:Q17"/>
    <mergeCell ref="R15:S15"/>
    <mergeCell ref="AP15:AP17"/>
    <mergeCell ref="AQ15:AQ17"/>
    <mergeCell ref="AR15:AR17"/>
    <mergeCell ref="H15:H17"/>
    <mergeCell ref="I15:I17"/>
    <mergeCell ref="J15:J17"/>
    <mergeCell ref="M15:M17"/>
    <mergeCell ref="N15:N17"/>
    <mergeCell ref="O15:O17"/>
    <mergeCell ref="B15:B17"/>
    <mergeCell ref="C15:C17"/>
    <mergeCell ref="D15:D17"/>
    <mergeCell ref="E15:E17"/>
    <mergeCell ref="F15:F17"/>
    <mergeCell ref="G15:G17"/>
    <mergeCell ref="L15:L17"/>
    <mergeCell ref="BA13:BA14"/>
    <mergeCell ref="R14:S14"/>
    <mergeCell ref="AR13:AR14"/>
    <mergeCell ref="AS13:AS14"/>
    <mergeCell ref="AT13:AT14"/>
    <mergeCell ref="AU13:AU14"/>
    <mergeCell ref="AV13:AV14"/>
    <mergeCell ref="AW13:AW14"/>
    <mergeCell ref="H13:H14"/>
    <mergeCell ref="I13:I14"/>
    <mergeCell ref="J13:J14"/>
    <mergeCell ref="L13:L14"/>
    <mergeCell ref="M13:M14"/>
    <mergeCell ref="N13:N14"/>
    <mergeCell ref="AP13:AP14"/>
    <mergeCell ref="AX13:AX14"/>
    <mergeCell ref="P15:P17"/>
    <mergeCell ref="Q11:Q12"/>
    <mergeCell ref="H11:H12"/>
    <mergeCell ref="I11:I12"/>
    <mergeCell ref="J11:J12"/>
    <mergeCell ref="L11:L12"/>
    <mergeCell ref="M11:M12"/>
    <mergeCell ref="N11:N12"/>
    <mergeCell ref="O13:O14"/>
    <mergeCell ref="P13:P14"/>
    <mergeCell ref="Q13:Q14"/>
    <mergeCell ref="B11:B12"/>
    <mergeCell ref="C11:C12"/>
    <mergeCell ref="D11:D12"/>
    <mergeCell ref="E11:E12"/>
    <mergeCell ref="F11:F12"/>
    <mergeCell ref="G11:G12"/>
    <mergeCell ref="BG11:BG12"/>
    <mergeCell ref="BF13:BF14"/>
    <mergeCell ref="BG13:BG14"/>
    <mergeCell ref="AY13:AY14"/>
    <mergeCell ref="AZ13:AZ14"/>
    <mergeCell ref="B13:B14"/>
    <mergeCell ref="C13:C14"/>
    <mergeCell ref="D13:D14"/>
    <mergeCell ref="E13:E14"/>
    <mergeCell ref="F13:F14"/>
    <mergeCell ref="G13:G14"/>
    <mergeCell ref="AX11:AX12"/>
    <mergeCell ref="AY11:AY12"/>
    <mergeCell ref="AZ11:AZ12"/>
    <mergeCell ref="O11:O12"/>
    <mergeCell ref="P11:P12"/>
    <mergeCell ref="BA11:BA12"/>
    <mergeCell ref="R12:S12"/>
    <mergeCell ref="AR11:AR12"/>
    <mergeCell ref="AS11:AS12"/>
    <mergeCell ref="AT11:AT12"/>
    <mergeCell ref="AU11:AU12"/>
    <mergeCell ref="AV11:AV12"/>
    <mergeCell ref="AW11:AW12"/>
    <mergeCell ref="R11:S11"/>
    <mergeCell ref="AP11:AP12"/>
    <mergeCell ref="AQ11:AQ12"/>
    <mergeCell ref="BH13:BH14"/>
    <mergeCell ref="BI13:BI14"/>
    <mergeCell ref="BI9:BI10"/>
    <mergeCell ref="BJ9:BJ10"/>
    <mergeCell ref="BC9:BC10"/>
    <mergeCell ref="BD9:BD10"/>
    <mergeCell ref="BE9:BE10"/>
    <mergeCell ref="BF9:BF10"/>
    <mergeCell ref="BG9:BG10"/>
    <mergeCell ref="BH9:BH10"/>
    <mergeCell ref="BJ11:BJ12"/>
    <mergeCell ref="BH11:BH12"/>
    <mergeCell ref="BI11:BI12"/>
    <mergeCell ref="B8:B10"/>
    <mergeCell ref="C8:C10"/>
    <mergeCell ref="D8:D10"/>
    <mergeCell ref="E8:E10"/>
    <mergeCell ref="F8:F10"/>
    <mergeCell ref="G8:G10"/>
    <mergeCell ref="V9:V10"/>
    <mergeCell ref="X9:X10"/>
    <mergeCell ref="Z9:Z10"/>
    <mergeCell ref="N8:O8"/>
    <mergeCell ref="P8:P10"/>
    <mergeCell ref="R8:AV8"/>
    <mergeCell ref="AD9:AD10"/>
    <mergeCell ref="AF9:AF10"/>
    <mergeCell ref="AH9:AH10"/>
    <mergeCell ref="AI9:AI10"/>
    <mergeCell ref="AU9:AV9"/>
    <mergeCell ref="AJ9:AK10"/>
    <mergeCell ref="AM9:AN10"/>
    <mergeCell ref="AO9:AO10"/>
    <mergeCell ref="AP9:AQ10"/>
    <mergeCell ref="AR9:AR10"/>
    <mergeCell ref="AS9:AS10"/>
    <mergeCell ref="BG8:BJ8"/>
    <mergeCell ref="N9:N10"/>
    <mergeCell ref="O9:O10"/>
    <mergeCell ref="Q9:Q10"/>
    <mergeCell ref="R9:S10"/>
    <mergeCell ref="T9:T10"/>
    <mergeCell ref="H8:H10"/>
    <mergeCell ref="I8:I10"/>
    <mergeCell ref="J8:J10"/>
    <mergeCell ref="K8:K10"/>
    <mergeCell ref="L8:L10"/>
    <mergeCell ref="M8:M10"/>
    <mergeCell ref="AB9:AB10"/>
    <mergeCell ref="AW8:AZ8"/>
    <mergeCell ref="BA8:BA10"/>
    <mergeCell ref="BB8:BF8"/>
    <mergeCell ref="AW9:AW10"/>
    <mergeCell ref="AX9:AX10"/>
    <mergeCell ref="AY9:AY10"/>
    <mergeCell ref="AZ9:AZ10"/>
    <mergeCell ref="BB9:BB10"/>
  </mergeCells>
  <conditionalFormatting sqref="BE28:BF31 BB28:BB31">
    <cfRule type="containsText" dxfId="964" priority="478" operator="containsText" text="RIESGO EXTREMO">
      <formula>NOT(ISERROR(SEARCH("RIESGO EXTREMO",BB28)))</formula>
    </cfRule>
    <cfRule type="containsText" dxfId="963" priority="479" operator="containsText" text="RIESGO ALTO">
      <formula>NOT(ISERROR(SEARCH("RIESGO ALTO",BB28)))</formula>
    </cfRule>
    <cfRule type="containsText" dxfId="962" priority="480" operator="containsText" text="RIESGO MODERADO">
      <formula>NOT(ISERROR(SEARCH("RIESGO MODERADO",BB28)))</formula>
    </cfRule>
    <cfRule type="containsText" dxfId="961" priority="481" operator="containsText" text="RIESGO BAJO">
      <formula>NOT(ISERROR(SEARCH("RIESGO BAJO",BB28)))</formula>
    </cfRule>
  </conditionalFormatting>
  <conditionalFormatting sqref="I11:I12">
    <cfRule type="expression" dxfId="960" priority="469">
      <formula>EXACT(F11,"Seguridad_de_la_informacion")</formula>
    </cfRule>
  </conditionalFormatting>
  <conditionalFormatting sqref="J11:J14 J22:J27">
    <cfRule type="expression" dxfId="959" priority="468">
      <formula>EXACT(F11,"Seguridad_de_la_informacion")</formula>
    </cfRule>
  </conditionalFormatting>
  <conditionalFormatting sqref="Q11:Q12">
    <cfRule type="containsText" dxfId="958" priority="470" operator="containsText" text="RIESGO EXTREMO">
      <formula>NOT(ISERROR(SEARCH("RIESGO EXTREMO",Q11)))</formula>
    </cfRule>
    <cfRule type="containsText" dxfId="957" priority="471" operator="containsText" text="RIESGO ALTO">
      <formula>NOT(ISERROR(SEARCH("RIESGO ALTO",Q11)))</formula>
    </cfRule>
    <cfRule type="containsText" dxfId="956" priority="472" operator="containsText" text="RIESGO MODERADO">
      <formula>NOT(ISERROR(SEARCH("RIESGO MODERADO",Q11)))</formula>
    </cfRule>
    <cfRule type="containsText" dxfId="955" priority="473" operator="containsText" text="RIESGO BAJO">
      <formula>NOT(ISERROR(SEARCH("RIESGO BAJO",Q11)))</formula>
    </cfRule>
  </conditionalFormatting>
  <conditionalFormatting sqref="AZ11:BA11 AZ12">
    <cfRule type="containsText" dxfId="954" priority="464" operator="containsText" text="RIESGO EXTREMO">
      <formula>NOT(ISERROR(SEARCH("RIESGO EXTREMO",AZ11)))</formula>
    </cfRule>
    <cfRule type="containsText" dxfId="953" priority="465" operator="containsText" text="RIESGO ALTO">
      <formula>NOT(ISERROR(SEARCH("RIESGO ALTO",AZ11)))</formula>
    </cfRule>
    <cfRule type="containsText" dxfId="952" priority="466" operator="containsText" text="RIESGO MODERADO">
      <formula>NOT(ISERROR(SEARCH("RIESGO MODERADO",AZ11)))</formula>
    </cfRule>
    <cfRule type="containsText" dxfId="951" priority="467" operator="containsText" text="RIESGO BAJO">
      <formula>NOT(ISERROR(SEARCH("RIESGO BAJO",AZ11)))</formula>
    </cfRule>
  </conditionalFormatting>
  <conditionalFormatting sqref="Q13:Q14">
    <cfRule type="containsText" dxfId="950" priority="456" operator="containsText" text="RIESGO EXTREMO">
      <formula>NOT(ISERROR(SEARCH("RIESGO EXTREMO",Q13)))</formula>
    </cfRule>
    <cfRule type="containsText" dxfId="949" priority="457" operator="containsText" text="RIESGO ALTO">
      <formula>NOT(ISERROR(SEARCH("RIESGO ALTO",Q13)))</formula>
    </cfRule>
    <cfRule type="containsText" dxfId="948" priority="458" operator="containsText" text="RIESGO MODERADO">
      <formula>NOT(ISERROR(SEARCH("RIESGO MODERADO",Q13)))</formula>
    </cfRule>
    <cfRule type="containsText" dxfId="947" priority="459" operator="containsText" text="RIESGO BAJO">
      <formula>NOT(ISERROR(SEARCH("RIESGO BAJO",Q13)))</formula>
    </cfRule>
  </conditionalFormatting>
  <conditionalFormatting sqref="I13:I14">
    <cfRule type="expression" dxfId="946" priority="455">
      <formula>EXACT(F13,"Seguridad_de_la_informacion")</formula>
    </cfRule>
  </conditionalFormatting>
  <conditionalFormatting sqref="AZ13:BA13 AZ14">
    <cfRule type="containsText" dxfId="945" priority="450" operator="containsText" text="RIESGO EXTREMO">
      <formula>NOT(ISERROR(SEARCH("RIESGO EXTREMO",AZ13)))</formula>
    </cfRule>
    <cfRule type="containsText" dxfId="944" priority="451" operator="containsText" text="RIESGO ALTO">
      <formula>NOT(ISERROR(SEARCH("RIESGO ALTO",AZ13)))</formula>
    </cfRule>
    <cfRule type="containsText" dxfId="943" priority="452" operator="containsText" text="RIESGO MODERADO">
      <formula>NOT(ISERROR(SEARCH("RIESGO MODERADO",AZ13)))</formula>
    </cfRule>
    <cfRule type="containsText" dxfId="942" priority="453" operator="containsText" text="RIESGO BAJO">
      <formula>NOT(ISERROR(SEARCH("RIESGO BAJO",AZ13)))</formula>
    </cfRule>
  </conditionalFormatting>
  <conditionalFormatting sqref="Q22:Q23">
    <cfRule type="containsText" dxfId="941" priority="386" operator="containsText" text="RIESGO EXTREMO">
      <formula>NOT(ISERROR(SEARCH("RIESGO EXTREMO",Q22)))</formula>
    </cfRule>
    <cfRule type="containsText" dxfId="940" priority="387" operator="containsText" text="RIESGO ALTO">
      <formula>NOT(ISERROR(SEARCH("RIESGO ALTO",Q22)))</formula>
    </cfRule>
    <cfRule type="containsText" dxfId="939" priority="388" operator="containsText" text="RIESGO MODERADO">
      <formula>NOT(ISERROR(SEARCH("RIESGO MODERADO",Q22)))</formula>
    </cfRule>
    <cfRule type="containsText" dxfId="938" priority="389" operator="containsText" text="RIESGO BAJO">
      <formula>NOT(ISERROR(SEARCH("RIESGO BAJO",Q22)))</formula>
    </cfRule>
  </conditionalFormatting>
  <conditionalFormatting sqref="I22:I23">
    <cfRule type="expression" dxfId="937" priority="385">
      <formula>EXACT(F22,"Seguridad_de_la_informacion")</formula>
    </cfRule>
  </conditionalFormatting>
  <conditionalFormatting sqref="AZ22:BA22 AZ23">
    <cfRule type="containsText" dxfId="936" priority="380" operator="containsText" text="RIESGO EXTREMO">
      <formula>NOT(ISERROR(SEARCH("RIESGO EXTREMO",AZ22)))</formula>
    </cfRule>
    <cfRule type="containsText" dxfId="935" priority="381" operator="containsText" text="RIESGO ALTO">
      <formula>NOT(ISERROR(SEARCH("RIESGO ALTO",AZ22)))</formula>
    </cfRule>
    <cfRule type="containsText" dxfId="934" priority="382" operator="containsText" text="RIESGO MODERADO">
      <formula>NOT(ISERROR(SEARCH("RIESGO MODERADO",AZ22)))</formula>
    </cfRule>
    <cfRule type="containsText" dxfId="933" priority="383" operator="containsText" text="RIESGO BAJO">
      <formula>NOT(ISERROR(SEARCH("RIESGO BAJO",AZ22)))</formula>
    </cfRule>
  </conditionalFormatting>
  <conditionalFormatting sqref="Q24:Q25 BB24:BB25 BC25:BE25">
    <cfRule type="containsText" dxfId="932" priority="372" operator="containsText" text="RIESGO EXTREMO">
      <formula>NOT(ISERROR(SEARCH("RIESGO EXTREMO",Q24)))</formula>
    </cfRule>
    <cfRule type="containsText" dxfId="931" priority="373" operator="containsText" text="RIESGO ALTO">
      <formula>NOT(ISERROR(SEARCH("RIESGO ALTO",Q24)))</formula>
    </cfRule>
    <cfRule type="containsText" dxfId="930" priority="374" operator="containsText" text="RIESGO MODERADO">
      <formula>NOT(ISERROR(SEARCH("RIESGO MODERADO",Q24)))</formula>
    </cfRule>
    <cfRule type="containsText" dxfId="929" priority="375" operator="containsText" text="RIESGO BAJO">
      <formula>NOT(ISERROR(SEARCH("RIESGO BAJO",Q24)))</formula>
    </cfRule>
  </conditionalFormatting>
  <conditionalFormatting sqref="I24:I25">
    <cfRule type="expression" dxfId="928" priority="371">
      <formula>EXACT(F24,"Seguridad_de_la_informacion")</formula>
    </cfRule>
  </conditionalFormatting>
  <conditionalFormatting sqref="AZ24:BA24 AZ25">
    <cfRule type="containsText" dxfId="927" priority="366" operator="containsText" text="RIESGO EXTREMO">
      <formula>NOT(ISERROR(SEARCH("RIESGO EXTREMO",AZ24)))</formula>
    </cfRule>
    <cfRule type="containsText" dxfId="926" priority="367" operator="containsText" text="RIESGO ALTO">
      <formula>NOT(ISERROR(SEARCH("RIESGO ALTO",AZ24)))</formula>
    </cfRule>
    <cfRule type="containsText" dxfId="925" priority="368" operator="containsText" text="RIESGO MODERADO">
      <formula>NOT(ISERROR(SEARCH("RIESGO MODERADO",AZ24)))</formula>
    </cfRule>
    <cfRule type="containsText" dxfId="924" priority="369" operator="containsText" text="RIESGO BAJO">
      <formula>NOT(ISERROR(SEARCH("RIESGO BAJO",AZ24)))</formula>
    </cfRule>
  </conditionalFormatting>
  <conditionalFormatting sqref="Q26:Q27">
    <cfRule type="containsText" dxfId="923" priority="358" operator="containsText" text="RIESGO EXTREMO">
      <formula>NOT(ISERROR(SEARCH("RIESGO EXTREMO",Q26)))</formula>
    </cfRule>
    <cfRule type="containsText" dxfId="922" priority="359" operator="containsText" text="RIESGO ALTO">
      <formula>NOT(ISERROR(SEARCH("RIESGO ALTO",Q26)))</formula>
    </cfRule>
    <cfRule type="containsText" dxfId="921" priority="360" operator="containsText" text="RIESGO MODERADO">
      <formula>NOT(ISERROR(SEARCH("RIESGO MODERADO",Q26)))</formula>
    </cfRule>
    <cfRule type="containsText" dxfId="920" priority="361" operator="containsText" text="RIESGO BAJO">
      <formula>NOT(ISERROR(SEARCH("RIESGO BAJO",Q26)))</formula>
    </cfRule>
  </conditionalFormatting>
  <conditionalFormatting sqref="I26:I27">
    <cfRule type="expression" dxfId="919" priority="357">
      <formula>EXACT(F26,"Seguridad_de_la_informacion")</formula>
    </cfRule>
  </conditionalFormatting>
  <conditionalFormatting sqref="AZ26:BA26 AZ27">
    <cfRule type="containsText" dxfId="918" priority="352" operator="containsText" text="RIESGO EXTREMO">
      <formula>NOT(ISERROR(SEARCH("RIESGO EXTREMO",AZ26)))</formula>
    </cfRule>
    <cfRule type="containsText" dxfId="917" priority="353" operator="containsText" text="RIESGO ALTO">
      <formula>NOT(ISERROR(SEARCH("RIESGO ALTO",AZ26)))</formula>
    </cfRule>
    <cfRule type="containsText" dxfId="916" priority="354" operator="containsText" text="RIESGO MODERADO">
      <formula>NOT(ISERROR(SEARCH("RIESGO MODERADO",AZ26)))</formula>
    </cfRule>
    <cfRule type="containsText" dxfId="915" priority="355" operator="containsText" text="RIESGO BAJO">
      <formula>NOT(ISERROR(SEARCH("RIESGO BAJO",AZ26)))</formula>
    </cfRule>
  </conditionalFormatting>
  <conditionalFormatting sqref="BB12 BC11:BE12">
    <cfRule type="containsText" dxfId="914" priority="301" operator="containsText" text="RIESGO EXTREMO">
      <formula>NOT(ISERROR(SEARCH("RIESGO EXTREMO",BB11)))</formula>
    </cfRule>
    <cfRule type="containsText" dxfId="913" priority="302" operator="containsText" text="RIESGO ALTO">
      <formula>NOT(ISERROR(SEARCH("RIESGO ALTO",BB11)))</formula>
    </cfRule>
    <cfRule type="containsText" dxfId="912" priority="303" operator="containsText" text="RIESGO MODERADO">
      <formula>NOT(ISERROR(SEARCH("RIESGO MODERADO",BB11)))</formula>
    </cfRule>
    <cfRule type="containsText" dxfId="911" priority="304" operator="containsText" text="RIESGO BAJO">
      <formula>NOT(ISERROR(SEARCH("RIESGO BAJO",BB11)))</formula>
    </cfRule>
  </conditionalFormatting>
  <conditionalFormatting sqref="BD13:BE14">
    <cfRule type="containsText" dxfId="910" priority="297" operator="containsText" text="RIESGO EXTREMO">
      <formula>NOT(ISERROR(SEARCH("RIESGO EXTREMO",BD13)))</formula>
    </cfRule>
    <cfRule type="containsText" dxfId="909" priority="298" operator="containsText" text="RIESGO ALTO">
      <formula>NOT(ISERROR(SEARCH("RIESGO ALTO",BD13)))</formula>
    </cfRule>
    <cfRule type="containsText" dxfId="908" priority="299" operator="containsText" text="RIESGO MODERADO">
      <formula>NOT(ISERROR(SEARCH("RIESGO MODERADO",BD13)))</formula>
    </cfRule>
    <cfRule type="containsText" dxfId="907" priority="300" operator="containsText" text="RIESGO BAJO">
      <formula>NOT(ISERROR(SEARCH("RIESGO BAJO",BD13)))</formula>
    </cfRule>
  </conditionalFormatting>
  <conditionalFormatting sqref="BB14:BC14">
    <cfRule type="containsText" dxfId="906" priority="293" operator="containsText" text="RIESGO EXTREMO">
      <formula>NOT(ISERROR(SEARCH("RIESGO EXTREMO",BB14)))</formula>
    </cfRule>
    <cfRule type="containsText" dxfId="905" priority="294" operator="containsText" text="RIESGO ALTO">
      <formula>NOT(ISERROR(SEARCH("RIESGO ALTO",BB14)))</formula>
    </cfRule>
    <cfRule type="containsText" dxfId="904" priority="295" operator="containsText" text="RIESGO MODERADO">
      <formula>NOT(ISERROR(SEARCH("RIESGO MODERADO",BB14)))</formula>
    </cfRule>
    <cfRule type="containsText" dxfId="903" priority="296" operator="containsText" text="RIESGO BAJO">
      <formula>NOT(ISERROR(SEARCH("RIESGO BAJO",BB14)))</formula>
    </cfRule>
  </conditionalFormatting>
  <conditionalFormatting sqref="BB13:BC13">
    <cfRule type="containsText" dxfId="902" priority="289" operator="containsText" text="RIESGO EXTREMO">
      <formula>NOT(ISERROR(SEARCH("RIESGO EXTREMO",BB13)))</formula>
    </cfRule>
    <cfRule type="containsText" dxfId="901" priority="290" operator="containsText" text="RIESGO ALTO">
      <formula>NOT(ISERROR(SEARCH("RIESGO ALTO",BB13)))</formula>
    </cfRule>
    <cfRule type="containsText" dxfId="900" priority="291" operator="containsText" text="RIESGO MODERADO">
      <formula>NOT(ISERROR(SEARCH("RIESGO MODERADO",BB13)))</formula>
    </cfRule>
    <cfRule type="containsText" dxfId="899" priority="292" operator="containsText" text="RIESGO BAJO">
      <formula>NOT(ISERROR(SEARCH("RIESGO BAJO",BB13)))</formula>
    </cfRule>
  </conditionalFormatting>
  <conditionalFormatting sqref="BG11:BH11">
    <cfRule type="containsText" dxfId="898" priority="285" operator="containsText" text="RIESGO EXTREMO">
      <formula>NOT(ISERROR(SEARCH("RIESGO EXTREMO",BG11)))</formula>
    </cfRule>
    <cfRule type="containsText" dxfId="897" priority="286" operator="containsText" text="RIESGO ALTO">
      <formula>NOT(ISERROR(SEARCH("RIESGO ALTO",BG11)))</formula>
    </cfRule>
    <cfRule type="containsText" dxfId="896" priority="287" operator="containsText" text="RIESGO MODERADO">
      <formula>NOT(ISERROR(SEARCH("RIESGO MODERADO",BG11)))</formula>
    </cfRule>
    <cfRule type="containsText" dxfId="895" priority="288" operator="containsText" text="RIESGO BAJO">
      <formula>NOT(ISERROR(SEARCH("RIESGO BAJO",BG11)))</formula>
    </cfRule>
  </conditionalFormatting>
  <conditionalFormatting sqref="BH13:BJ13">
    <cfRule type="containsText" dxfId="894" priority="273" operator="containsText" text="RIESGO EXTREMO">
      <formula>NOT(ISERROR(SEARCH("RIESGO EXTREMO",BH13)))</formula>
    </cfRule>
    <cfRule type="containsText" dxfId="893" priority="274" operator="containsText" text="RIESGO ALTO">
      <formula>NOT(ISERROR(SEARCH("RIESGO ALTO",BH13)))</formula>
    </cfRule>
    <cfRule type="containsText" dxfId="892" priority="275" operator="containsText" text="RIESGO MODERADO">
      <formula>NOT(ISERROR(SEARCH("RIESGO MODERADO",BH13)))</formula>
    </cfRule>
    <cfRule type="containsText" dxfId="891" priority="276" operator="containsText" text="RIESGO BAJO">
      <formula>NOT(ISERROR(SEARCH("RIESGO BAJO",BH13)))</formula>
    </cfRule>
  </conditionalFormatting>
  <conditionalFormatting sqref="BI11:BJ11">
    <cfRule type="containsText" dxfId="890" priority="281" operator="containsText" text="RIESGO EXTREMO">
      <formula>NOT(ISERROR(SEARCH("RIESGO EXTREMO",BI11)))</formula>
    </cfRule>
    <cfRule type="containsText" dxfId="889" priority="282" operator="containsText" text="RIESGO ALTO">
      <formula>NOT(ISERROR(SEARCH("RIESGO ALTO",BI11)))</formula>
    </cfRule>
    <cfRule type="containsText" dxfId="888" priority="283" operator="containsText" text="RIESGO MODERADO">
      <formula>NOT(ISERROR(SEARCH("RIESGO MODERADO",BI11)))</formula>
    </cfRule>
    <cfRule type="containsText" dxfId="887" priority="284" operator="containsText" text="RIESGO BAJO">
      <formula>NOT(ISERROR(SEARCH("RIESGO BAJO",BI11)))</formula>
    </cfRule>
  </conditionalFormatting>
  <conditionalFormatting sqref="BG13">
    <cfRule type="containsText" dxfId="886" priority="277" operator="containsText" text="RIESGO EXTREMO">
      <formula>NOT(ISERROR(SEARCH("RIESGO EXTREMO",BG13)))</formula>
    </cfRule>
    <cfRule type="containsText" dxfId="885" priority="278" operator="containsText" text="RIESGO ALTO">
      <formula>NOT(ISERROR(SEARCH("RIESGO ALTO",BG13)))</formula>
    </cfRule>
    <cfRule type="containsText" dxfId="884" priority="279" operator="containsText" text="RIESGO MODERADO">
      <formula>NOT(ISERROR(SEARCH("RIESGO MODERADO",BG13)))</formula>
    </cfRule>
    <cfRule type="containsText" dxfId="883" priority="280" operator="containsText" text="RIESGO BAJO">
      <formula>NOT(ISERROR(SEARCH("RIESGO BAJO",BG13)))</formula>
    </cfRule>
  </conditionalFormatting>
  <conditionalFormatting sqref="BE26:BE27 BB26:BB27">
    <cfRule type="containsText" dxfId="882" priority="269" operator="containsText" text="RIESGO EXTREMO">
      <formula>NOT(ISERROR(SEARCH("RIESGO EXTREMO",BB26)))</formula>
    </cfRule>
    <cfRule type="containsText" dxfId="881" priority="270" operator="containsText" text="RIESGO ALTO">
      <formula>NOT(ISERROR(SEARCH("RIESGO ALTO",BB26)))</formula>
    </cfRule>
    <cfRule type="containsText" dxfId="880" priority="271" operator="containsText" text="RIESGO MODERADO">
      <formula>NOT(ISERROR(SEARCH("RIESGO MODERADO",BB26)))</formula>
    </cfRule>
    <cfRule type="containsText" dxfId="879" priority="272" operator="containsText" text="RIESGO BAJO">
      <formula>NOT(ISERROR(SEARCH("RIESGO BAJO",BB26)))</formula>
    </cfRule>
  </conditionalFormatting>
  <conditionalFormatting sqref="BF26">
    <cfRule type="containsText" dxfId="878" priority="265" operator="containsText" text="RIESGO EXTREMO">
      <formula>NOT(ISERROR(SEARCH("RIESGO EXTREMO",BF26)))</formula>
    </cfRule>
    <cfRule type="containsText" dxfId="877" priority="266" operator="containsText" text="RIESGO ALTO">
      <formula>NOT(ISERROR(SEARCH("RIESGO ALTO",BF26)))</formula>
    </cfRule>
    <cfRule type="containsText" dxfId="876" priority="267" operator="containsText" text="RIESGO MODERADO">
      <formula>NOT(ISERROR(SEARCH("RIESGO MODERADO",BF26)))</formula>
    </cfRule>
    <cfRule type="containsText" dxfId="875" priority="268" operator="containsText" text="RIESGO BAJO">
      <formula>NOT(ISERROR(SEARCH("RIESGO BAJO",BF26)))</formula>
    </cfRule>
  </conditionalFormatting>
  <conditionalFormatting sqref="BJ26">
    <cfRule type="containsText" dxfId="874" priority="249" operator="containsText" text="RIESGO EXTREMO">
      <formula>NOT(ISERROR(SEARCH("RIESGO EXTREMO",BJ26)))</formula>
    </cfRule>
    <cfRule type="containsText" dxfId="873" priority="250" operator="containsText" text="RIESGO ALTO">
      <formula>NOT(ISERROR(SEARCH("RIESGO ALTO",BJ26)))</formula>
    </cfRule>
    <cfRule type="containsText" dxfId="872" priority="251" operator="containsText" text="RIESGO MODERADO">
      <formula>NOT(ISERROR(SEARCH("RIESGO MODERADO",BJ26)))</formula>
    </cfRule>
    <cfRule type="containsText" dxfId="871" priority="252" operator="containsText" text="RIESGO BAJO">
      <formula>NOT(ISERROR(SEARCH("RIESGO BAJO",BJ26)))</formula>
    </cfRule>
  </conditionalFormatting>
  <conditionalFormatting sqref="BG26:BI26">
    <cfRule type="containsText" dxfId="870" priority="245" operator="containsText" text="RIESGO EXTREMO">
      <formula>NOT(ISERROR(SEARCH("RIESGO EXTREMO",BG26)))</formula>
    </cfRule>
    <cfRule type="containsText" dxfId="869" priority="246" operator="containsText" text="RIESGO ALTO">
      <formula>NOT(ISERROR(SEARCH("RIESGO ALTO",BG26)))</formula>
    </cfRule>
    <cfRule type="containsText" dxfId="868" priority="247" operator="containsText" text="RIESGO MODERADO">
      <formula>NOT(ISERROR(SEARCH("RIESGO MODERADO",BG26)))</formula>
    </cfRule>
    <cfRule type="containsText" dxfId="867" priority="248" operator="containsText" text="RIESGO BAJO">
      <formula>NOT(ISERROR(SEARCH("RIESGO BAJO",BG26)))</formula>
    </cfRule>
  </conditionalFormatting>
  <conditionalFormatting sqref="BC24">
    <cfRule type="containsText" dxfId="866" priority="241" operator="containsText" text="RIESGO EXTREMO">
      <formula>NOT(ISERROR(SEARCH("RIESGO EXTREMO",BC24)))</formula>
    </cfRule>
    <cfRule type="containsText" dxfId="865" priority="242" operator="containsText" text="RIESGO ALTO">
      <formula>NOT(ISERROR(SEARCH("RIESGO ALTO",BC24)))</formula>
    </cfRule>
    <cfRule type="containsText" dxfId="864" priority="243" operator="containsText" text="RIESGO MODERADO">
      <formula>NOT(ISERROR(SEARCH("RIESGO MODERADO",BC24)))</formula>
    </cfRule>
    <cfRule type="containsText" dxfId="863" priority="244" operator="containsText" text="RIESGO BAJO">
      <formula>NOT(ISERROR(SEARCH("RIESGO BAJO",BC24)))</formula>
    </cfRule>
  </conditionalFormatting>
  <conditionalFormatting sqref="BD24">
    <cfRule type="containsText" dxfId="862" priority="237" operator="containsText" text="RIESGO EXTREMO">
      <formula>NOT(ISERROR(SEARCH("RIESGO EXTREMO",BD24)))</formula>
    </cfRule>
    <cfRule type="containsText" dxfId="861" priority="238" operator="containsText" text="RIESGO ALTO">
      <formula>NOT(ISERROR(SEARCH("RIESGO ALTO",BD24)))</formula>
    </cfRule>
    <cfRule type="containsText" dxfId="860" priority="239" operator="containsText" text="RIESGO MODERADO">
      <formula>NOT(ISERROR(SEARCH("RIESGO MODERADO",BD24)))</formula>
    </cfRule>
    <cfRule type="containsText" dxfId="859" priority="240" operator="containsText" text="RIESGO BAJO">
      <formula>NOT(ISERROR(SEARCH("RIESGO BAJO",BD24)))</formula>
    </cfRule>
  </conditionalFormatting>
  <conditionalFormatting sqref="BE24">
    <cfRule type="containsText" dxfId="858" priority="233" operator="containsText" text="RIESGO EXTREMO">
      <formula>NOT(ISERROR(SEARCH("RIESGO EXTREMO",BE24)))</formula>
    </cfRule>
    <cfRule type="containsText" dxfId="857" priority="234" operator="containsText" text="RIESGO ALTO">
      <formula>NOT(ISERROR(SEARCH("RIESGO ALTO",BE24)))</formula>
    </cfRule>
    <cfRule type="containsText" dxfId="856" priority="235" operator="containsText" text="RIESGO MODERADO">
      <formula>NOT(ISERROR(SEARCH("RIESGO MODERADO",BE24)))</formula>
    </cfRule>
    <cfRule type="containsText" dxfId="855" priority="236" operator="containsText" text="RIESGO BAJO">
      <formula>NOT(ISERROR(SEARCH("RIESGO BAJO",BE24)))</formula>
    </cfRule>
  </conditionalFormatting>
  <conditionalFormatting sqref="BF24">
    <cfRule type="containsText" dxfId="854" priority="229" operator="containsText" text="RIESGO EXTREMO">
      <formula>NOT(ISERROR(SEARCH("RIESGO EXTREMO",BF24)))</formula>
    </cfRule>
    <cfRule type="containsText" dxfId="853" priority="230" operator="containsText" text="RIESGO ALTO">
      <formula>NOT(ISERROR(SEARCH("RIESGO ALTO",BF24)))</formula>
    </cfRule>
    <cfRule type="containsText" dxfId="852" priority="231" operator="containsText" text="RIESGO MODERADO">
      <formula>NOT(ISERROR(SEARCH("RIESGO MODERADO",BF24)))</formula>
    </cfRule>
    <cfRule type="containsText" dxfId="851" priority="232" operator="containsText" text="RIESGO BAJO">
      <formula>NOT(ISERROR(SEARCH("RIESGO BAJO",BF24)))</formula>
    </cfRule>
  </conditionalFormatting>
  <conditionalFormatting sqref="BB22 BE22">
    <cfRule type="containsText" dxfId="850" priority="133" operator="containsText" text="RIESGO EXTREMO">
      <formula>NOT(ISERROR(SEARCH("RIESGO EXTREMO",BB22)))</formula>
    </cfRule>
    <cfRule type="containsText" dxfId="849" priority="134" operator="containsText" text="RIESGO ALTO">
      <formula>NOT(ISERROR(SEARCH("RIESGO ALTO",BB22)))</formula>
    </cfRule>
    <cfRule type="containsText" dxfId="848" priority="135" operator="containsText" text="RIESGO MODERADO">
      <formula>NOT(ISERROR(SEARCH("RIESGO MODERADO",BB22)))</formula>
    </cfRule>
    <cfRule type="containsText" dxfId="847" priority="136" operator="containsText" text="RIESGO BAJO">
      <formula>NOT(ISERROR(SEARCH("RIESGO BAJO",BB22)))</formula>
    </cfRule>
  </conditionalFormatting>
  <conditionalFormatting sqref="BC22:BD22">
    <cfRule type="containsText" dxfId="846" priority="129" operator="containsText" text="RIESGO EXTREMO">
      <formula>NOT(ISERROR(SEARCH("RIESGO EXTREMO",BC22)))</formula>
    </cfRule>
    <cfRule type="containsText" dxfId="845" priority="130" operator="containsText" text="RIESGO ALTO">
      <formula>NOT(ISERROR(SEARCH("RIESGO ALTO",BC22)))</formula>
    </cfRule>
    <cfRule type="containsText" dxfId="844" priority="131" operator="containsText" text="RIESGO MODERADO">
      <formula>NOT(ISERROR(SEARCH("RIESGO MODERADO",BC22)))</formula>
    </cfRule>
    <cfRule type="containsText" dxfId="843" priority="132" operator="containsText" text="RIESGO BAJO">
      <formula>NOT(ISERROR(SEARCH("RIESGO BAJO",BC22)))</formula>
    </cfRule>
  </conditionalFormatting>
  <conditionalFormatting sqref="BJ22">
    <cfRule type="containsText" dxfId="842" priority="125" operator="containsText" text="RIESGO EXTREMO">
      <formula>NOT(ISERROR(SEARCH("RIESGO EXTREMO",BJ22)))</formula>
    </cfRule>
    <cfRule type="containsText" dxfId="841" priority="126" operator="containsText" text="RIESGO ALTO">
      <formula>NOT(ISERROR(SEARCH("RIESGO ALTO",BJ22)))</formula>
    </cfRule>
    <cfRule type="containsText" dxfId="840" priority="127" operator="containsText" text="RIESGO MODERADO">
      <formula>NOT(ISERROR(SEARCH("RIESGO MODERADO",BJ22)))</formula>
    </cfRule>
    <cfRule type="containsText" dxfId="839" priority="128" operator="containsText" text="RIESGO BAJO">
      <formula>NOT(ISERROR(SEARCH("RIESGO BAJO",BJ22)))</formula>
    </cfRule>
  </conditionalFormatting>
  <conditionalFormatting sqref="BG22:BI22">
    <cfRule type="containsText" dxfId="838" priority="121" operator="containsText" text="RIESGO EXTREMO">
      <formula>NOT(ISERROR(SEARCH("RIESGO EXTREMO",BG22)))</formula>
    </cfRule>
    <cfRule type="containsText" dxfId="837" priority="122" operator="containsText" text="RIESGO ALTO">
      <formula>NOT(ISERROR(SEARCH("RIESGO ALTO",BG22)))</formula>
    </cfRule>
    <cfRule type="containsText" dxfId="836" priority="123" operator="containsText" text="RIESGO MODERADO">
      <formula>NOT(ISERROR(SEARCH("RIESGO MODERADO",BG22)))</formula>
    </cfRule>
    <cfRule type="containsText" dxfId="835" priority="124" operator="containsText" text="RIESGO BAJO">
      <formula>NOT(ISERROR(SEARCH("RIESGO BAJO",BG22)))</formula>
    </cfRule>
  </conditionalFormatting>
  <conditionalFormatting sqref="BG24:BH24 BJ24">
    <cfRule type="containsText" dxfId="834" priority="117" operator="containsText" text="RIESGO EXTREMO">
      <formula>NOT(ISERROR(SEARCH("RIESGO EXTREMO",BG24)))</formula>
    </cfRule>
    <cfRule type="containsText" dxfId="833" priority="118" operator="containsText" text="RIESGO ALTO">
      <formula>NOT(ISERROR(SEARCH("RIESGO ALTO",BG24)))</formula>
    </cfRule>
    <cfRule type="containsText" dxfId="832" priority="119" operator="containsText" text="RIESGO MODERADO">
      <formula>NOT(ISERROR(SEARCH("RIESGO MODERADO",BG24)))</formula>
    </cfRule>
    <cfRule type="containsText" dxfId="831" priority="120" operator="containsText" text="RIESGO BAJO">
      <formula>NOT(ISERROR(SEARCH("RIESGO BAJO",BG24)))</formula>
    </cfRule>
  </conditionalFormatting>
  <conditionalFormatting sqref="BI24">
    <cfRule type="containsText" dxfId="830" priority="113" operator="containsText" text="RIESGO EXTREMO">
      <formula>NOT(ISERROR(SEARCH("RIESGO EXTREMO",BI24)))</formula>
    </cfRule>
    <cfRule type="containsText" dxfId="829" priority="114" operator="containsText" text="RIESGO ALTO">
      <formula>NOT(ISERROR(SEARCH("RIESGO ALTO",BI24)))</formula>
    </cfRule>
    <cfRule type="containsText" dxfId="828" priority="115" operator="containsText" text="RIESGO MODERADO">
      <formula>NOT(ISERROR(SEARCH("RIESGO MODERADO",BI24)))</formula>
    </cfRule>
    <cfRule type="containsText" dxfId="827" priority="116" operator="containsText" text="RIESGO BAJO">
      <formula>NOT(ISERROR(SEARCH("RIESGO BAJO",BI24)))</formula>
    </cfRule>
  </conditionalFormatting>
  <conditionalFormatting sqref="J15:J17">
    <cfRule type="expression" dxfId="826" priority="112">
      <formula>EXACT(F15,"Seguridad_de_la_informacion")</formula>
    </cfRule>
  </conditionalFormatting>
  <conditionalFormatting sqref="Q15:Q17">
    <cfRule type="containsText" dxfId="825" priority="108" operator="containsText" text="RIESGO EXTREMO">
      <formula>NOT(ISERROR(SEARCH("RIESGO EXTREMO",Q15)))</formula>
    </cfRule>
    <cfRule type="containsText" dxfId="824" priority="109" operator="containsText" text="RIESGO ALTO">
      <formula>NOT(ISERROR(SEARCH("RIESGO ALTO",Q15)))</formula>
    </cfRule>
    <cfRule type="containsText" dxfId="823" priority="110" operator="containsText" text="RIESGO MODERADO">
      <formula>NOT(ISERROR(SEARCH("RIESGO MODERADO",Q15)))</formula>
    </cfRule>
    <cfRule type="containsText" dxfId="822" priority="111" operator="containsText" text="RIESGO BAJO">
      <formula>NOT(ISERROR(SEARCH("RIESGO BAJO",Q15)))</formula>
    </cfRule>
  </conditionalFormatting>
  <conditionalFormatting sqref="I15:I16">
    <cfRule type="expression" dxfId="821" priority="107">
      <formula>EXACT(F15,"Seguridad_de_la_informacion")</formula>
    </cfRule>
  </conditionalFormatting>
  <conditionalFormatting sqref="AZ15:BA15 AZ16:AZ17">
    <cfRule type="containsText" dxfId="820" priority="103" operator="containsText" text="RIESGO EXTREMO">
      <formula>NOT(ISERROR(SEARCH("RIESGO EXTREMO",AZ15)))</formula>
    </cfRule>
    <cfRule type="containsText" dxfId="819" priority="104" operator="containsText" text="RIESGO ALTO">
      <formula>NOT(ISERROR(SEARCH("RIESGO ALTO",AZ15)))</formula>
    </cfRule>
    <cfRule type="containsText" dxfId="818" priority="105" operator="containsText" text="RIESGO MODERADO">
      <formula>NOT(ISERROR(SEARCH("RIESGO MODERADO",AZ15)))</formula>
    </cfRule>
    <cfRule type="containsText" dxfId="817" priority="106" operator="containsText" text="RIESGO BAJO">
      <formula>NOT(ISERROR(SEARCH("RIESGO BAJO",AZ15)))</formula>
    </cfRule>
  </conditionalFormatting>
  <conditionalFormatting sqref="BB15">
    <cfRule type="containsText" dxfId="816" priority="99" operator="containsText" text="RIESGO EXTREMO">
      <formula>NOT(ISERROR(SEARCH("RIESGO EXTREMO",BB15)))</formula>
    </cfRule>
    <cfRule type="containsText" dxfId="815" priority="100" operator="containsText" text="RIESGO ALTO">
      <formula>NOT(ISERROR(SEARCH("RIESGO ALTO",BB15)))</formula>
    </cfRule>
    <cfRule type="containsText" dxfId="814" priority="101" operator="containsText" text="RIESGO MODERADO">
      <formula>NOT(ISERROR(SEARCH("RIESGO MODERADO",BB15)))</formula>
    </cfRule>
    <cfRule type="containsText" dxfId="813" priority="102" operator="containsText" text="RIESGO BAJO">
      <formula>NOT(ISERROR(SEARCH("RIESGO BAJO",BB15)))</formula>
    </cfRule>
  </conditionalFormatting>
  <conditionalFormatting sqref="BB16">
    <cfRule type="containsText" dxfId="812" priority="95" operator="containsText" text="RIESGO EXTREMO">
      <formula>NOT(ISERROR(SEARCH("RIESGO EXTREMO",BB16)))</formula>
    </cfRule>
    <cfRule type="containsText" dxfId="811" priority="96" operator="containsText" text="RIESGO ALTO">
      <formula>NOT(ISERROR(SEARCH("RIESGO ALTO",BB16)))</formula>
    </cfRule>
    <cfRule type="containsText" dxfId="810" priority="97" operator="containsText" text="RIESGO MODERADO">
      <formula>NOT(ISERROR(SEARCH("RIESGO MODERADO",BB16)))</formula>
    </cfRule>
    <cfRule type="containsText" dxfId="809" priority="98" operator="containsText" text="RIESGO BAJO">
      <formula>NOT(ISERROR(SEARCH("RIESGO BAJO",BB16)))</formula>
    </cfRule>
  </conditionalFormatting>
  <conditionalFormatting sqref="BB17:BD17">
    <cfRule type="containsText" dxfId="808" priority="91" operator="containsText" text="RIESGO EXTREMO">
      <formula>NOT(ISERROR(SEARCH("RIESGO EXTREMO",BB17)))</formula>
    </cfRule>
    <cfRule type="containsText" dxfId="807" priority="92" operator="containsText" text="RIESGO ALTO">
      <formula>NOT(ISERROR(SEARCH("RIESGO ALTO",BB17)))</formula>
    </cfRule>
    <cfRule type="containsText" dxfId="806" priority="93" operator="containsText" text="RIESGO MODERADO">
      <formula>NOT(ISERROR(SEARCH("RIESGO MODERADO",BB17)))</formula>
    </cfRule>
    <cfRule type="containsText" dxfId="805" priority="94" operator="containsText" text="RIESGO BAJO">
      <formula>NOT(ISERROR(SEARCH("RIESGO BAJO",BB17)))</formula>
    </cfRule>
  </conditionalFormatting>
  <conditionalFormatting sqref="Q18:Q19 BB19">
    <cfRule type="containsText" dxfId="804" priority="87" operator="containsText" text="RIESGO EXTREMO">
      <formula>NOT(ISERROR(SEARCH("RIESGO EXTREMO",Q18)))</formula>
    </cfRule>
    <cfRule type="containsText" dxfId="803" priority="88" operator="containsText" text="RIESGO ALTO">
      <formula>NOT(ISERROR(SEARCH("RIESGO ALTO",Q18)))</formula>
    </cfRule>
    <cfRule type="containsText" dxfId="802" priority="89" operator="containsText" text="RIESGO MODERADO">
      <formula>NOT(ISERROR(SEARCH("RIESGO MODERADO",Q18)))</formula>
    </cfRule>
    <cfRule type="containsText" dxfId="801" priority="90" operator="containsText" text="RIESGO BAJO">
      <formula>NOT(ISERROR(SEARCH("RIESGO BAJO",Q18)))</formula>
    </cfRule>
  </conditionalFormatting>
  <conditionalFormatting sqref="BA18">
    <cfRule type="containsText" dxfId="800" priority="81" operator="containsText" text="RIESGO EXTREMO">
      <formula>NOT(ISERROR(SEARCH("RIESGO EXTREMO",BA18)))</formula>
    </cfRule>
    <cfRule type="containsText" dxfId="799" priority="82" operator="containsText" text="RIESGO ALTO">
      <formula>NOT(ISERROR(SEARCH("RIESGO ALTO",BA18)))</formula>
    </cfRule>
    <cfRule type="containsText" dxfId="798" priority="83" operator="containsText" text="RIESGO MODERADO">
      <formula>NOT(ISERROR(SEARCH("RIESGO MODERADO",BA18)))</formula>
    </cfRule>
    <cfRule type="containsText" dxfId="797" priority="84" operator="containsText" text="RIESGO BAJO">
      <formula>NOT(ISERROR(SEARCH("RIESGO BAJO",BA18)))</formula>
    </cfRule>
  </conditionalFormatting>
  <conditionalFormatting sqref="AZ18">
    <cfRule type="containsText" dxfId="796" priority="73" operator="containsText" text="RIESGO EXTREMO">
      <formula>NOT(ISERROR(SEARCH("RIESGO EXTREMO",AZ18)))</formula>
    </cfRule>
    <cfRule type="containsText" dxfId="795" priority="74" operator="containsText" text="RIESGO ALTO">
      <formula>NOT(ISERROR(SEARCH("RIESGO ALTO",AZ18)))</formula>
    </cfRule>
    <cfRule type="containsText" dxfId="794" priority="75" operator="containsText" text="RIESGO MODERADO">
      <formula>NOT(ISERROR(SEARCH("RIESGO MODERADO",AZ18)))</formula>
    </cfRule>
    <cfRule type="containsText" dxfId="793" priority="76" operator="containsText" text="RIESGO BAJO">
      <formula>NOT(ISERROR(SEARCH("RIESGO BAJO",AZ18)))</formula>
    </cfRule>
  </conditionalFormatting>
  <conditionalFormatting sqref="BB18">
    <cfRule type="containsText" dxfId="792" priority="69" operator="containsText" text="RIESGO EXTREMO">
      <formula>NOT(ISERROR(SEARCH("RIESGO EXTREMO",BB18)))</formula>
    </cfRule>
    <cfRule type="containsText" dxfId="791" priority="70" operator="containsText" text="RIESGO ALTO">
      <formula>NOT(ISERROR(SEARCH("RIESGO ALTO",BB18)))</formula>
    </cfRule>
    <cfRule type="containsText" dxfId="790" priority="71" operator="containsText" text="RIESGO MODERADO">
      <formula>NOT(ISERROR(SEARCH("RIESGO MODERADO",BB18)))</formula>
    </cfRule>
    <cfRule type="containsText" dxfId="789" priority="72" operator="containsText" text="RIESGO BAJO">
      <formula>NOT(ISERROR(SEARCH("RIESGO BAJO",BB18)))</formula>
    </cfRule>
  </conditionalFormatting>
  <conditionalFormatting sqref="BE18">
    <cfRule type="containsText" dxfId="788" priority="65" operator="containsText" text="RIESGO EXTREMO">
      <formula>NOT(ISERROR(SEARCH("RIESGO EXTREMO",BE18)))</formula>
    </cfRule>
    <cfRule type="containsText" dxfId="787" priority="66" operator="containsText" text="RIESGO ALTO">
      <formula>NOT(ISERROR(SEARCH("RIESGO ALTO",BE18)))</formula>
    </cfRule>
    <cfRule type="containsText" dxfId="786" priority="67" operator="containsText" text="RIESGO MODERADO">
      <formula>NOT(ISERROR(SEARCH("RIESGO MODERADO",BE18)))</formula>
    </cfRule>
    <cfRule type="containsText" dxfId="785" priority="68" operator="containsText" text="RIESGO BAJO">
      <formula>NOT(ISERROR(SEARCH("RIESGO BAJO",BE18)))</formula>
    </cfRule>
  </conditionalFormatting>
  <conditionalFormatting sqref="BC19 BE19">
    <cfRule type="containsText" dxfId="784" priority="61" operator="containsText" text="RIESGO EXTREMO">
      <formula>NOT(ISERROR(SEARCH("RIESGO EXTREMO",BC19)))</formula>
    </cfRule>
    <cfRule type="containsText" dxfId="783" priority="62" operator="containsText" text="RIESGO ALTO">
      <formula>NOT(ISERROR(SEARCH("RIESGO ALTO",BC19)))</formula>
    </cfRule>
    <cfRule type="containsText" dxfId="782" priority="63" operator="containsText" text="RIESGO MODERADO">
      <formula>NOT(ISERROR(SEARCH("RIESGO MODERADO",BC19)))</formula>
    </cfRule>
    <cfRule type="containsText" dxfId="781" priority="64" operator="containsText" text="RIESGO BAJO">
      <formula>NOT(ISERROR(SEARCH("RIESGO BAJO",BC19)))</formula>
    </cfRule>
  </conditionalFormatting>
  <conditionalFormatting sqref="BG18:BJ18">
    <cfRule type="containsText" dxfId="780" priority="57" operator="containsText" text="RIESGO EXTREMO">
      <formula>NOT(ISERROR(SEARCH("RIESGO EXTREMO",BG18)))</formula>
    </cfRule>
    <cfRule type="containsText" dxfId="779" priority="58" operator="containsText" text="RIESGO ALTO">
      <formula>NOT(ISERROR(SEARCH("RIESGO ALTO",BG18)))</formula>
    </cfRule>
    <cfRule type="containsText" dxfId="778" priority="59" operator="containsText" text="RIESGO MODERADO">
      <formula>NOT(ISERROR(SEARCH("RIESGO MODERADO",BG18)))</formula>
    </cfRule>
    <cfRule type="containsText" dxfId="777" priority="60" operator="containsText" text="RIESGO BAJO">
      <formula>NOT(ISERROR(SEARCH("RIESGO BAJO",BG18)))</formula>
    </cfRule>
  </conditionalFormatting>
  <conditionalFormatting sqref="I20:I21">
    <cfRule type="expression" dxfId="776" priority="56">
      <formula>EXACT(F20,"Seguridad_de_la_informacion")</formula>
    </cfRule>
  </conditionalFormatting>
  <conditionalFormatting sqref="J20:J21">
    <cfRule type="expression" dxfId="775" priority="55">
      <formula>EXACT(F20,"Seguridad_de_la_informacion")</formula>
    </cfRule>
  </conditionalFormatting>
  <conditionalFormatting sqref="AZ20">
    <cfRule type="containsText" dxfId="774" priority="51" operator="containsText" text="RIESGO EXTREMO">
      <formula>NOT(ISERROR(SEARCH("RIESGO EXTREMO",AZ20)))</formula>
    </cfRule>
    <cfRule type="containsText" dxfId="773" priority="52" operator="containsText" text="RIESGO ALTO">
      <formula>NOT(ISERROR(SEARCH("RIESGO ALTO",AZ20)))</formula>
    </cfRule>
    <cfRule type="containsText" dxfId="772" priority="53" operator="containsText" text="RIESGO MODERADO">
      <formula>NOT(ISERROR(SEARCH("RIESGO MODERADO",AZ20)))</formula>
    </cfRule>
    <cfRule type="containsText" dxfId="771" priority="54" operator="containsText" text="RIESGO BAJO">
      <formula>NOT(ISERROR(SEARCH("RIESGO BAJO",AZ20)))</formula>
    </cfRule>
  </conditionalFormatting>
  <conditionalFormatting sqref="Q20">
    <cfRule type="containsText" dxfId="770" priority="43" operator="containsText" text="RIESGO EXTREMO">
      <formula>NOT(ISERROR(SEARCH("RIESGO EXTREMO",Q20)))</formula>
    </cfRule>
    <cfRule type="containsText" dxfId="769" priority="44" operator="containsText" text="RIESGO ALTO">
      <formula>NOT(ISERROR(SEARCH("RIESGO ALTO",Q20)))</formula>
    </cfRule>
    <cfRule type="containsText" dxfId="768" priority="45" operator="containsText" text="RIESGO MODERADO">
      <formula>NOT(ISERROR(SEARCH("RIESGO MODERADO",Q20)))</formula>
    </cfRule>
    <cfRule type="containsText" dxfId="767" priority="46" operator="containsText" text="RIESGO BAJO">
      <formula>NOT(ISERROR(SEARCH("RIESGO BAJO",Q20)))</formula>
    </cfRule>
  </conditionalFormatting>
  <conditionalFormatting sqref="BA20">
    <cfRule type="containsText" dxfId="766" priority="39" operator="containsText" text="RIESGO EXTREMO">
      <formula>NOT(ISERROR(SEARCH("RIESGO EXTREMO",BA20)))</formula>
    </cfRule>
    <cfRule type="containsText" dxfId="765" priority="40" operator="containsText" text="RIESGO ALTO">
      <formula>NOT(ISERROR(SEARCH("RIESGO ALTO",BA20)))</formula>
    </cfRule>
    <cfRule type="containsText" dxfId="764" priority="41" operator="containsText" text="RIESGO MODERADO">
      <formula>NOT(ISERROR(SEARCH("RIESGO MODERADO",BA20)))</formula>
    </cfRule>
    <cfRule type="containsText" dxfId="763" priority="42" operator="containsText" text="RIESGO BAJO">
      <formula>NOT(ISERROR(SEARCH("RIESGO BAJO",BA20)))</formula>
    </cfRule>
  </conditionalFormatting>
  <conditionalFormatting sqref="BB20">
    <cfRule type="containsText" dxfId="762" priority="35" operator="containsText" text="RIESGO EXTREMO">
      <formula>NOT(ISERROR(SEARCH("RIESGO EXTREMO",BB20)))</formula>
    </cfRule>
    <cfRule type="containsText" dxfId="761" priority="36" operator="containsText" text="RIESGO ALTO">
      <formula>NOT(ISERROR(SEARCH("RIESGO ALTO",BB20)))</formula>
    </cfRule>
    <cfRule type="containsText" dxfId="760" priority="37" operator="containsText" text="RIESGO MODERADO">
      <formula>NOT(ISERROR(SEARCH("RIESGO MODERADO",BB20)))</formula>
    </cfRule>
    <cfRule type="containsText" dxfId="759" priority="38" operator="containsText" text="RIESGO BAJO">
      <formula>NOT(ISERROR(SEARCH("RIESGO BAJO",BB20)))</formula>
    </cfRule>
  </conditionalFormatting>
  <conditionalFormatting sqref="BC20">
    <cfRule type="containsText" dxfId="758" priority="31" operator="containsText" text="RIESGO EXTREMO">
      <formula>NOT(ISERROR(SEARCH("RIESGO EXTREMO",BC20)))</formula>
    </cfRule>
    <cfRule type="containsText" dxfId="757" priority="32" operator="containsText" text="RIESGO ALTO">
      <formula>NOT(ISERROR(SEARCH("RIESGO ALTO",BC20)))</formula>
    </cfRule>
    <cfRule type="containsText" dxfId="756" priority="33" operator="containsText" text="RIESGO MODERADO">
      <formula>NOT(ISERROR(SEARCH("RIESGO MODERADO",BC20)))</formula>
    </cfRule>
    <cfRule type="containsText" dxfId="755" priority="34" operator="containsText" text="RIESGO BAJO">
      <formula>NOT(ISERROR(SEARCH("RIESGO BAJO",BC20)))</formula>
    </cfRule>
  </conditionalFormatting>
  <conditionalFormatting sqref="BD20">
    <cfRule type="containsText" dxfId="754" priority="27" operator="containsText" text="RIESGO EXTREMO">
      <formula>NOT(ISERROR(SEARCH("RIESGO EXTREMO",BD20)))</formula>
    </cfRule>
    <cfRule type="containsText" dxfId="753" priority="28" operator="containsText" text="RIESGO ALTO">
      <formula>NOT(ISERROR(SEARCH("RIESGO ALTO",BD20)))</formula>
    </cfRule>
    <cfRule type="containsText" dxfId="752" priority="29" operator="containsText" text="RIESGO MODERADO">
      <formula>NOT(ISERROR(SEARCH("RIESGO MODERADO",BD20)))</formula>
    </cfRule>
    <cfRule type="containsText" dxfId="751" priority="30" operator="containsText" text="RIESGO BAJO">
      <formula>NOT(ISERROR(SEARCH("RIESGO BAJO",BD20)))</formula>
    </cfRule>
  </conditionalFormatting>
  <conditionalFormatting sqref="BE20">
    <cfRule type="containsText" dxfId="750" priority="23" operator="containsText" text="RIESGO EXTREMO">
      <formula>NOT(ISERROR(SEARCH("RIESGO EXTREMO",BE20)))</formula>
    </cfRule>
    <cfRule type="containsText" dxfId="749" priority="24" operator="containsText" text="RIESGO ALTO">
      <formula>NOT(ISERROR(SEARCH("RIESGO ALTO",BE20)))</formula>
    </cfRule>
    <cfRule type="containsText" dxfId="748" priority="25" operator="containsText" text="RIESGO MODERADO">
      <formula>NOT(ISERROR(SEARCH("RIESGO MODERADO",BE20)))</formula>
    </cfRule>
    <cfRule type="containsText" dxfId="747" priority="26" operator="containsText" text="RIESGO BAJO">
      <formula>NOT(ISERROR(SEARCH("RIESGO BAJO",BE20)))</formula>
    </cfRule>
  </conditionalFormatting>
  <conditionalFormatting sqref="BF20">
    <cfRule type="containsText" dxfId="746" priority="19" operator="containsText" text="RIESGO EXTREMO">
      <formula>NOT(ISERROR(SEARCH("RIESGO EXTREMO",BF20)))</formula>
    </cfRule>
    <cfRule type="containsText" dxfId="745" priority="20" operator="containsText" text="RIESGO ALTO">
      <formula>NOT(ISERROR(SEARCH("RIESGO ALTO",BF20)))</formula>
    </cfRule>
    <cfRule type="containsText" dxfId="744" priority="21" operator="containsText" text="RIESGO MODERADO">
      <formula>NOT(ISERROR(SEARCH("RIESGO MODERADO",BF20)))</formula>
    </cfRule>
    <cfRule type="containsText" dxfId="743" priority="22" operator="containsText" text="RIESGO BAJO">
      <formula>NOT(ISERROR(SEARCH("RIESGO BAJO",BF20)))</formula>
    </cfRule>
  </conditionalFormatting>
  <conditionalFormatting sqref="BG20">
    <cfRule type="containsText" dxfId="742" priority="15" operator="containsText" text="RIESGO EXTREMO">
      <formula>NOT(ISERROR(SEARCH("RIESGO EXTREMO",BG20)))</formula>
    </cfRule>
    <cfRule type="containsText" dxfId="741" priority="16" operator="containsText" text="RIESGO ALTO">
      <formula>NOT(ISERROR(SEARCH("RIESGO ALTO",BG20)))</formula>
    </cfRule>
    <cfRule type="containsText" dxfId="740" priority="17" operator="containsText" text="RIESGO MODERADO">
      <formula>NOT(ISERROR(SEARCH("RIESGO MODERADO",BG20)))</formula>
    </cfRule>
    <cfRule type="containsText" dxfId="739" priority="18" operator="containsText" text="RIESGO BAJO">
      <formula>NOT(ISERROR(SEARCH("RIESGO BAJO",BG20)))</formula>
    </cfRule>
  </conditionalFormatting>
  <conditionalFormatting sqref="BH20">
    <cfRule type="containsText" dxfId="738" priority="11" operator="containsText" text="RIESGO EXTREMO">
      <formula>NOT(ISERROR(SEARCH("RIESGO EXTREMO",BH20)))</formula>
    </cfRule>
    <cfRule type="containsText" dxfId="737" priority="12" operator="containsText" text="RIESGO ALTO">
      <formula>NOT(ISERROR(SEARCH("RIESGO ALTO",BH20)))</formula>
    </cfRule>
    <cfRule type="containsText" dxfId="736" priority="13" operator="containsText" text="RIESGO MODERADO">
      <formula>NOT(ISERROR(SEARCH("RIESGO MODERADO",BH20)))</formula>
    </cfRule>
    <cfRule type="containsText" dxfId="735" priority="14" operator="containsText" text="RIESGO BAJO">
      <formula>NOT(ISERROR(SEARCH("RIESGO BAJO",BH20)))</formula>
    </cfRule>
  </conditionalFormatting>
  <conditionalFormatting sqref="BJ20">
    <cfRule type="containsText" dxfId="734" priority="7" operator="containsText" text="RIESGO EXTREMO">
      <formula>NOT(ISERROR(SEARCH("RIESGO EXTREMO",BJ20)))</formula>
    </cfRule>
    <cfRule type="containsText" dxfId="733" priority="8" operator="containsText" text="RIESGO ALTO">
      <formula>NOT(ISERROR(SEARCH("RIESGO ALTO",BJ20)))</formula>
    </cfRule>
    <cfRule type="containsText" dxfId="732" priority="9" operator="containsText" text="RIESGO MODERADO">
      <formula>NOT(ISERROR(SEARCH("RIESGO MODERADO",BJ20)))</formula>
    </cfRule>
    <cfRule type="containsText" dxfId="731" priority="10" operator="containsText" text="RIESGO BAJO">
      <formula>NOT(ISERROR(SEARCH("RIESGO BAJO",BJ20)))</formula>
    </cfRule>
  </conditionalFormatting>
  <conditionalFormatting sqref="BI20">
    <cfRule type="containsText" dxfId="730" priority="3" operator="containsText" text="RIESGO EXTREMO">
      <formula>NOT(ISERROR(SEARCH("RIESGO EXTREMO",BI20)))</formula>
    </cfRule>
    <cfRule type="containsText" dxfId="729" priority="4" operator="containsText" text="RIESGO ALTO">
      <formula>NOT(ISERROR(SEARCH("RIESGO ALTO",BI20)))</formula>
    </cfRule>
    <cfRule type="containsText" dxfId="728" priority="5" operator="containsText" text="RIESGO MODERADO">
      <formula>NOT(ISERROR(SEARCH("RIESGO MODERADO",BI20)))</formula>
    </cfRule>
    <cfRule type="containsText" dxfId="727" priority="6" operator="containsText" text="RIESGO BAJO">
      <formula>NOT(ISERROR(SEARCH("RIESGO BAJO",BI20)))</formula>
    </cfRule>
  </conditionalFormatting>
  <conditionalFormatting sqref="J18:J19">
    <cfRule type="expression" dxfId="726" priority="2">
      <formula>EXACT(F18,"Seguridad_de_la_informacion")</formula>
    </cfRule>
  </conditionalFormatting>
  <conditionalFormatting sqref="I18:I19">
    <cfRule type="expression" dxfId="725" priority="1">
      <formula>EXACT(F18,"Seguridad_de_la_informacion")</formula>
    </cfRule>
  </conditionalFormatting>
  <dataValidations xWindow="555" yWindow="477" count="27">
    <dataValidation allowBlank="1" showInputMessage="1" showErrorMessage="1" prompt="Para cada causa debe existir un control" sqref="R27 S11 R11:R12 R26:S26 S15 S18 R14:R25 S20:S23"/>
    <dataValidation type="list" allowBlank="1" showInputMessage="1" showErrorMessage="1" sqref="O28:P31 AX28:AX31 AX18 O18:O19 AX22:AX23">
      <formula1>INDIRECT(#REF!)</formula1>
    </dataValidation>
    <dataValidation type="list" allowBlank="1" showInputMessage="1" showErrorMessage="1" sqref="X28:X31 AD28:AD31 T28:T31 Z28:Z31 V28:V31 AB28:AB31 AF28:AF31">
      <formula1>"SI,NO"</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11:K20 K22 K24 K26:K27"/>
    <dataValidation type="list" allowBlank="1" showInputMessage="1" showErrorMessage="1" prompt="Seleccione la tipología conforme al tipo de riesgo." sqref="G26 G11:G20 G22:G24">
      <formula1>INDIRECT(F11)</formula1>
    </dataValidation>
    <dataValidation type="list" allowBlank="1" showInputMessage="1" showErrorMessage="1" sqref="AX24:AX27 AX11:AX17 O11:O17 O22:O27 O20 AX20">
      <formula1>INDIRECT($M$11)</formula1>
    </dataValidation>
    <dataValidation allowBlank="1" showInputMessage="1" showErrorMessage="1" prompt="La descripción del riesgo se puede realizar a través de estas preguntas:_x000a_¿Qué puede suceder?_x000a_¿Cómo puede suceder?_x000a_¿Qué consecuencias tendría su materialización?" sqref="E11:E20 E22 M24:M25 E24:E27"/>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22 D24:D27 D11:D20"/>
    <dataValidation type="list" allowBlank="1" showInputMessage="1" showErrorMessage="1" sqref="AR11:AR18 AR22:AR27 AR20">
      <formula1>"Directamente,No disminuye"</formula1>
    </dataValidation>
    <dataValidation type="list" allowBlank="1" showInputMessage="1" showErrorMessage="1" sqref="AS11:AS18 AS22:AS27 AS20">
      <formula1>"Directamente,Indirectamente,No disminuye"</formula1>
    </dataValidation>
    <dataValidation type="list" allowBlank="1" showInputMessage="1" showErrorMessage="1" sqref="AJ11:AJ19 AJ22:AJ27 AJ20">
      <formula1>"Siempre se ejecuta,Algunas veces,No se ejecuta"</formula1>
    </dataValidation>
    <dataValidation type="list" allowBlank="1" showInputMessage="1" showErrorMessage="1" sqref="AF11:AF19 AF22:AF27 AF20">
      <formula1>"Completa,Incompleta,No existe"</formula1>
    </dataValidation>
    <dataValidation type="list" allowBlank="1" showInputMessage="1" showErrorMessage="1" sqref="AD11:AD19 AD22:AD27 AD20">
      <formula1>"Se investigan y resuelven oportunamente,No se investigan y no se resuelven oportunamente"</formula1>
    </dataValidation>
    <dataValidation type="list" allowBlank="1" showInputMessage="1" showErrorMessage="1" sqref="AB11:AB19 AB22:AB27 AB20">
      <formula1>"Confiable,No confiable"</formula1>
    </dataValidation>
    <dataValidation type="list" allowBlank="1" showInputMessage="1" showErrorMessage="1" sqref="Z11:Z19 Z22:Z27 Z20">
      <formula1>"Prevenir,Detectar,No es un control"</formula1>
    </dataValidation>
    <dataValidation type="list" allowBlank="1" showInputMessage="1" showErrorMessage="1" sqref="X11:X19 X22:X27 X20">
      <formula1>"Oportuna,Inoportuna"</formula1>
    </dataValidation>
    <dataValidation type="list" allowBlank="1" showInputMessage="1" showErrorMessage="1" sqref="V11:V19 V22:V27 V20">
      <formula1>"Adecuado,Inadecuado"</formula1>
    </dataValidation>
    <dataValidation type="list" allowBlank="1" showInputMessage="1" showErrorMessage="1" sqref="T11:T19 T22:T27 T20">
      <formula1>"Asignado,No asignado"</formula1>
    </dataValidation>
    <dataValidation type="list" allowBlank="1" showInputMessage="1" showErrorMessage="1" prompt="Seleccione la amenaza de acuerdo con el tipo seleccionado" sqref="J11:J14 J18:J19 J22:J27">
      <formula1>INDIRECT(#REF!)</formula1>
    </dataValidation>
    <dataValidation type="list" allowBlank="1" showInputMessage="1" showErrorMessage="1" sqref="B11:B15 B18:B20 B22:B27">
      <formula1>procesos</formula1>
    </dataValidation>
    <dataValidation type="list" allowBlank="1" showInputMessage="1" showErrorMessage="1" sqref="AW11:AW17 N22:N27 N11:N20 AW22:AW27 AW20">
      <formula1>probabilidad</formula1>
    </dataValidation>
    <dataValidation type="list" allowBlank="1" showInputMessage="1" showErrorMessage="1" prompt="Seleccione la amenaza de acuerdo con el tipo seleccionado" sqref="J15:J17 J20:J21">
      <formula1>INDIRECT($I$11)</formula1>
    </dataValidation>
    <dataValidation type="list" allowBlank="1" showInputMessage="1" showErrorMessage="1" sqref="AW18">
      <formula1>B</formula1>
    </dataValidation>
    <dataValidation type="list" allowBlank="1" showInputMessage="1" showErrorMessage="1" sqref="BA11:BA18 BA22:BA27 BA20">
      <formula1>opciondelriesgo</formula1>
    </dataValidation>
    <dataValidation type="list" allowBlank="1" showInputMessage="1" showErrorMessage="1" prompt="Seleccione el tipo de riesgo conforme a las categorias." sqref="F11:F20 F22:F27">
      <formula1>tipo_de_riesgos</formula1>
    </dataValidation>
    <dataValidation type="list" allowBlank="1" showInputMessage="1" showErrorMessage="1" prompt="Solo aplica para los riesgos tipificados como seguridad de la información" sqref="I11:I27">
      <formula1>tipo_de_amenaza</formula1>
    </dataValidation>
    <dataValidation allowBlank="1" showInputMessage="1" showErrorMessage="1" prompt="Relacione el activo de información donde el nivel de criticidad corresponde a &quot;Crítico&quot;" sqref="H11:H20 H22:H27"/>
  </dataValidations>
  <printOptions horizontalCentered="1"/>
  <pageMargins left="0.44270833333333331" right="0.94208333333333338" top="0.74803149606299213" bottom="0.74803149606299213" header="0.31496062992125984" footer="0.31496062992125984"/>
  <pageSetup paperSize="5" scale="34"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97"/>
  <sheetViews>
    <sheetView showGridLines="0" topLeftCell="A67" zoomScale="60" zoomScaleNormal="60" zoomScaleSheetLayoutView="40" zoomScalePageLayoutView="68" workbookViewId="0">
      <selection activeCell="B69" sqref="B69:B70"/>
    </sheetView>
  </sheetViews>
  <sheetFormatPr baseColWidth="10" defaultColWidth="11.42578125" defaultRowHeight="11.25" x14ac:dyDescent="0.25"/>
  <cols>
    <col min="1" max="1" width="4.28515625" style="11" customWidth="1"/>
    <col min="2" max="2" width="20.7109375" style="11" customWidth="1"/>
    <col min="3" max="3" width="10.5703125" style="11" customWidth="1"/>
    <col min="4" max="4" width="32.42578125" style="11" customWidth="1"/>
    <col min="5" max="5" width="31.42578125" style="11" customWidth="1"/>
    <col min="6" max="6" width="14" style="11" customWidth="1"/>
    <col min="7" max="7" width="16.7109375" style="11" customWidth="1"/>
    <col min="8" max="8" width="12.28515625" style="11" customWidth="1"/>
    <col min="9" max="9" width="11.7109375" style="11" customWidth="1"/>
    <col min="10" max="10" width="17.7109375" style="11" customWidth="1"/>
    <col min="11" max="12" width="26.7109375" style="11" customWidth="1"/>
    <col min="13" max="13" width="26.7109375" style="11" hidden="1" customWidth="1"/>
    <col min="14" max="14" width="13.85546875" style="11" customWidth="1" collapsed="1"/>
    <col min="15" max="15" width="13.85546875" style="11" customWidth="1"/>
    <col min="16" max="16" width="22.5703125" style="11" hidden="1" customWidth="1"/>
    <col min="17" max="17" width="22.5703125" style="11" customWidth="1"/>
    <col min="18" max="18" width="28.85546875" style="11" customWidth="1" collapsed="1"/>
    <col min="19" max="19" width="20.140625" style="11" customWidth="1"/>
    <col min="20" max="20" width="34.42578125" style="11" customWidth="1"/>
    <col min="21" max="21" width="23.28515625" style="11" hidden="1" customWidth="1"/>
    <col min="22" max="22" width="34.5703125" style="11" customWidth="1"/>
    <col min="23" max="23" width="23.28515625" style="11" hidden="1" customWidth="1"/>
    <col min="24" max="24" width="39.7109375" style="11" customWidth="1"/>
    <col min="25" max="25" width="23.28515625" style="11" hidden="1" customWidth="1"/>
    <col min="26" max="26" width="39.7109375" style="11" customWidth="1"/>
    <col min="27" max="27" width="23.28515625" style="11" hidden="1" customWidth="1"/>
    <col min="28" max="28" width="36.28515625" style="11" customWidth="1"/>
    <col min="29" max="29" width="23.28515625" style="11" hidden="1" customWidth="1"/>
    <col min="30" max="30" width="39.7109375" style="11" customWidth="1"/>
    <col min="31" max="31" width="20" style="11" hidden="1" customWidth="1"/>
    <col min="32" max="32" width="34.5703125" style="11" customWidth="1"/>
    <col min="33" max="33" width="20" style="11" hidden="1" customWidth="1"/>
    <col min="34" max="34" width="14.5703125" style="11" customWidth="1"/>
    <col min="35" max="35" width="20" style="11" customWidth="1"/>
    <col min="36" max="36" width="23" style="11" customWidth="1"/>
    <col min="37" max="37" width="22.42578125" style="11" customWidth="1"/>
    <col min="38" max="40" width="17.28515625" style="11" hidden="1" customWidth="1"/>
    <col min="41" max="41" width="27" style="11" hidden="1" customWidth="1"/>
    <col min="42" max="42" width="12.28515625" style="11" customWidth="1"/>
    <col min="43" max="43" width="14.5703125" style="11" customWidth="1"/>
    <col min="44" max="45" width="23.28515625" style="11" customWidth="1"/>
    <col min="46" max="46" width="17.28515625" style="11" hidden="1" customWidth="1"/>
    <col min="47" max="48" width="20" style="11" customWidth="1"/>
    <col min="49" max="49" width="25.5703125" style="11" customWidth="1"/>
    <col min="50" max="50" width="23" style="11" customWidth="1"/>
    <col min="51" max="51" width="19.7109375" style="11" hidden="1" customWidth="1"/>
    <col min="52" max="53" width="19.7109375" style="11" customWidth="1"/>
    <col min="54" max="54" width="27.28515625" style="11" customWidth="1"/>
    <col min="55" max="56" width="20.42578125" style="11" customWidth="1"/>
    <col min="57" max="59" width="27.28515625" style="11" customWidth="1"/>
    <col min="60" max="60" width="22.7109375" style="11" customWidth="1"/>
    <col min="61" max="61" width="21.5703125" style="11" customWidth="1"/>
    <col min="62" max="62" width="15.28515625" style="11" customWidth="1"/>
    <col min="63" max="16384" width="11.42578125" style="11"/>
  </cols>
  <sheetData>
    <row r="1" spans="1:62" ht="12" thickBot="1" x14ac:dyDescent="0.3"/>
    <row r="2" spans="1:62" ht="7.5" customHeight="1" x14ac:dyDescent="0.25">
      <c r="B2" s="238" t="s">
        <v>869</v>
      </c>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c r="AG2" s="239"/>
      <c r="AH2" s="239"/>
      <c r="AI2" s="239"/>
      <c r="AJ2" s="239"/>
      <c r="AK2" s="239"/>
      <c r="AL2" s="239"/>
      <c r="AM2" s="239"/>
      <c r="AN2" s="239"/>
      <c r="AO2" s="239"/>
      <c r="AP2" s="239"/>
      <c r="AQ2" s="239"/>
      <c r="AR2" s="239"/>
      <c r="AS2" s="239"/>
      <c r="AT2" s="239"/>
      <c r="AU2" s="239"/>
      <c r="AV2" s="239"/>
      <c r="AW2" s="239"/>
      <c r="AX2" s="239"/>
      <c r="AY2" s="239"/>
      <c r="AZ2" s="239"/>
      <c r="BA2" s="239"/>
      <c r="BB2" s="239"/>
      <c r="BC2" s="239"/>
      <c r="BD2" s="239"/>
      <c r="BE2" s="239"/>
      <c r="BF2" s="239"/>
      <c r="BG2" s="239"/>
      <c r="BH2" s="239"/>
      <c r="BI2" s="239"/>
      <c r="BJ2" s="240"/>
    </row>
    <row r="3" spans="1:62" ht="7.5" customHeight="1" x14ac:dyDescent="0.25">
      <c r="B3" s="241"/>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3"/>
    </row>
    <row r="4" spans="1:62" ht="7.5" customHeight="1" x14ac:dyDescent="0.25">
      <c r="B4" s="241"/>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3"/>
    </row>
    <row r="5" spans="1:62" ht="7.5" customHeight="1" thickBot="1" x14ac:dyDescent="0.3">
      <c r="B5" s="244"/>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6"/>
    </row>
    <row r="6" spans="1:62" ht="7.5" customHeight="1" x14ac:dyDescent="0.25"/>
    <row r="7" spans="1:62" s="6" customFormat="1" ht="7.5" customHeight="1" thickBot="1" x14ac:dyDescent="0.3">
      <c r="M7" s="9"/>
      <c r="P7" s="10"/>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row>
    <row r="8" spans="1:62" s="6" customFormat="1" ht="25.5" customHeight="1" x14ac:dyDescent="0.25">
      <c r="B8" s="431" t="s">
        <v>96</v>
      </c>
      <c r="C8" s="428" t="s">
        <v>97</v>
      </c>
      <c r="D8" s="428" t="s">
        <v>98</v>
      </c>
      <c r="E8" s="429" t="s">
        <v>99</v>
      </c>
      <c r="F8" s="428" t="s">
        <v>100</v>
      </c>
      <c r="G8" s="429" t="s">
        <v>101</v>
      </c>
      <c r="H8" s="428" t="s">
        <v>102</v>
      </c>
      <c r="I8" s="429" t="s">
        <v>103</v>
      </c>
      <c r="J8" s="428" t="s">
        <v>104</v>
      </c>
      <c r="K8" s="428" t="s">
        <v>105</v>
      </c>
      <c r="L8" s="429" t="s">
        <v>106</v>
      </c>
      <c r="M8" s="430"/>
      <c r="N8" s="429" t="s">
        <v>107</v>
      </c>
      <c r="O8" s="429"/>
      <c r="P8" s="429"/>
      <c r="Q8" s="171" t="s">
        <v>108</v>
      </c>
      <c r="R8" s="429" t="s">
        <v>109</v>
      </c>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32" t="s">
        <v>110</v>
      </c>
      <c r="AX8" s="433"/>
      <c r="AY8" s="433"/>
      <c r="AZ8" s="434"/>
      <c r="BA8" s="435" t="s">
        <v>111</v>
      </c>
      <c r="BB8" s="431" t="s">
        <v>112</v>
      </c>
      <c r="BC8" s="428"/>
      <c r="BD8" s="428"/>
      <c r="BE8" s="428"/>
      <c r="BF8" s="428"/>
      <c r="BG8" s="428" t="s">
        <v>113</v>
      </c>
      <c r="BH8" s="428"/>
      <c r="BI8" s="428"/>
      <c r="BJ8" s="428"/>
    </row>
    <row r="9" spans="1:62" s="6" customFormat="1" ht="33.75" customHeight="1" x14ac:dyDescent="0.25">
      <c r="B9" s="407"/>
      <c r="C9" s="409"/>
      <c r="D9" s="409"/>
      <c r="E9" s="403"/>
      <c r="F9" s="409"/>
      <c r="G9" s="403"/>
      <c r="H9" s="409"/>
      <c r="I9" s="403"/>
      <c r="J9" s="409"/>
      <c r="K9" s="409"/>
      <c r="L9" s="403"/>
      <c r="M9" s="421"/>
      <c r="N9" s="403" t="s">
        <v>5</v>
      </c>
      <c r="O9" s="403" t="s">
        <v>114</v>
      </c>
      <c r="P9" s="403"/>
      <c r="Q9" s="411" t="s">
        <v>115</v>
      </c>
      <c r="R9" s="403" t="s">
        <v>116</v>
      </c>
      <c r="S9" s="403"/>
      <c r="T9" s="403" t="s">
        <v>117</v>
      </c>
      <c r="U9" s="60"/>
      <c r="V9" s="403" t="s">
        <v>118</v>
      </c>
      <c r="W9" s="60"/>
      <c r="X9" s="403" t="s">
        <v>119</v>
      </c>
      <c r="Y9" s="60"/>
      <c r="Z9" s="403" t="s">
        <v>120</v>
      </c>
      <c r="AA9" s="60"/>
      <c r="AB9" s="403" t="s">
        <v>121</v>
      </c>
      <c r="AC9" s="60"/>
      <c r="AD9" s="403" t="s">
        <v>122</v>
      </c>
      <c r="AE9" s="60"/>
      <c r="AF9" s="403" t="s">
        <v>123</v>
      </c>
      <c r="AG9" s="60"/>
      <c r="AH9" s="403" t="s">
        <v>124</v>
      </c>
      <c r="AI9" s="403" t="s">
        <v>125</v>
      </c>
      <c r="AJ9" s="403" t="s">
        <v>126</v>
      </c>
      <c r="AK9" s="403"/>
      <c r="AL9" s="164"/>
      <c r="AM9" s="403" t="s">
        <v>127</v>
      </c>
      <c r="AN9" s="403"/>
      <c r="AO9" s="403" t="s">
        <v>128</v>
      </c>
      <c r="AP9" s="403" t="s">
        <v>129</v>
      </c>
      <c r="AQ9" s="403"/>
      <c r="AR9" s="403" t="s">
        <v>130</v>
      </c>
      <c r="AS9" s="403" t="s">
        <v>131</v>
      </c>
      <c r="AT9" s="60"/>
      <c r="AU9" s="403" t="s">
        <v>132</v>
      </c>
      <c r="AV9" s="403"/>
      <c r="AW9" s="409" t="s">
        <v>5</v>
      </c>
      <c r="AX9" s="409" t="s">
        <v>114</v>
      </c>
      <c r="AY9" s="421"/>
      <c r="AZ9" s="409" t="s">
        <v>115</v>
      </c>
      <c r="BA9" s="436"/>
      <c r="BB9" s="407" t="s">
        <v>133</v>
      </c>
      <c r="BC9" s="409" t="s">
        <v>134</v>
      </c>
      <c r="BD9" s="409" t="s">
        <v>135</v>
      </c>
      <c r="BE9" s="409" t="s">
        <v>136</v>
      </c>
      <c r="BF9" s="409" t="s">
        <v>137</v>
      </c>
      <c r="BG9" s="409" t="s">
        <v>138</v>
      </c>
      <c r="BH9" s="409" t="s">
        <v>134</v>
      </c>
      <c r="BI9" s="409" t="s">
        <v>135</v>
      </c>
      <c r="BJ9" s="409" t="s">
        <v>136</v>
      </c>
    </row>
    <row r="10" spans="1:62" s="6" customFormat="1" ht="48" customHeight="1" thickBot="1" x14ac:dyDescent="0.3">
      <c r="B10" s="522"/>
      <c r="C10" s="520"/>
      <c r="D10" s="520"/>
      <c r="E10" s="411"/>
      <c r="F10" s="520"/>
      <c r="G10" s="411"/>
      <c r="H10" s="520"/>
      <c r="I10" s="411"/>
      <c r="J10" s="520"/>
      <c r="K10" s="520"/>
      <c r="L10" s="411"/>
      <c r="M10" s="521"/>
      <c r="N10" s="411"/>
      <c r="O10" s="411"/>
      <c r="P10" s="411"/>
      <c r="Q10" s="519"/>
      <c r="R10" s="411"/>
      <c r="S10" s="411"/>
      <c r="T10" s="411"/>
      <c r="U10" s="167"/>
      <c r="V10" s="411"/>
      <c r="W10" s="167"/>
      <c r="X10" s="411"/>
      <c r="Y10" s="167"/>
      <c r="Z10" s="411"/>
      <c r="AA10" s="167"/>
      <c r="AB10" s="411"/>
      <c r="AC10" s="167"/>
      <c r="AD10" s="411"/>
      <c r="AE10" s="167"/>
      <c r="AF10" s="411"/>
      <c r="AG10" s="167"/>
      <c r="AH10" s="411"/>
      <c r="AI10" s="411"/>
      <c r="AJ10" s="411"/>
      <c r="AK10" s="411"/>
      <c r="AL10" s="63"/>
      <c r="AM10" s="411"/>
      <c r="AN10" s="411"/>
      <c r="AO10" s="411"/>
      <c r="AP10" s="411"/>
      <c r="AQ10" s="411"/>
      <c r="AR10" s="411"/>
      <c r="AS10" s="411"/>
      <c r="AT10" s="63"/>
      <c r="AU10" s="63" t="s">
        <v>139</v>
      </c>
      <c r="AV10" s="63" t="s">
        <v>140</v>
      </c>
      <c r="AW10" s="520"/>
      <c r="AX10" s="520"/>
      <c r="AY10" s="521"/>
      <c r="AZ10" s="520"/>
      <c r="BA10" s="436"/>
      <c r="BB10" s="522"/>
      <c r="BC10" s="520"/>
      <c r="BD10" s="520"/>
      <c r="BE10" s="520"/>
      <c r="BF10" s="520"/>
      <c r="BG10" s="520"/>
      <c r="BH10" s="520"/>
      <c r="BI10" s="520"/>
      <c r="BJ10" s="520"/>
    </row>
    <row r="11" spans="1:62" s="64" customFormat="1" ht="171" customHeight="1" x14ac:dyDescent="0.25">
      <c r="A11" s="575">
        <v>1</v>
      </c>
      <c r="B11" s="557" t="s">
        <v>10</v>
      </c>
      <c r="C11" s="276">
        <v>1</v>
      </c>
      <c r="D11" s="278" t="s">
        <v>870</v>
      </c>
      <c r="E11" s="278" t="s">
        <v>871</v>
      </c>
      <c r="F11" s="341" t="s">
        <v>31</v>
      </c>
      <c r="G11" s="341" t="s">
        <v>69</v>
      </c>
      <c r="H11" s="344" t="s">
        <v>872</v>
      </c>
      <c r="I11" s="401" t="s">
        <v>51</v>
      </c>
      <c r="J11" s="555" t="s">
        <v>70</v>
      </c>
      <c r="K11" s="121" t="s">
        <v>873</v>
      </c>
      <c r="L11" s="344" t="s">
        <v>874</v>
      </c>
      <c r="M11" s="342" t="str">
        <f>IF(F11="gestion","impacto",IF(F11="corrupcion","impactocorrupcion",IF(F11="seguridad_de_la_informacion","impacto","")))</f>
        <v>impacto</v>
      </c>
      <c r="N11" s="341" t="s">
        <v>25</v>
      </c>
      <c r="O11" s="341" t="s">
        <v>17</v>
      </c>
      <c r="P11" s="342" t="str">
        <f>N11&amp;O11</f>
        <v>ImprobableModerado</v>
      </c>
      <c r="Q11" s="343" t="str">
        <f>IFERROR(VLOOKUP(P11,FORMULAS!$B$37:$C$61,2,FALSE),"")</f>
        <v>Riesgo moderado</v>
      </c>
      <c r="R11" s="380" t="s">
        <v>875</v>
      </c>
      <c r="S11" s="380"/>
      <c r="T11" s="121" t="s">
        <v>147</v>
      </c>
      <c r="U11" s="67">
        <f t="shared" ref="U11:U14" si="0">IF(T11="Asignado",15,0)</f>
        <v>15</v>
      </c>
      <c r="V11" s="121" t="s">
        <v>148</v>
      </c>
      <c r="W11" s="67">
        <f t="shared" ref="W11:W14" si="1">IF(V11="Adecuado",15,0)</f>
        <v>15</v>
      </c>
      <c r="X11" s="121" t="s">
        <v>149</v>
      </c>
      <c r="Y11" s="67">
        <f t="shared" ref="Y11:Y14" si="2">IF(X11="Oportuna",15,0)</f>
        <v>15</v>
      </c>
      <c r="Z11" s="121" t="s">
        <v>150</v>
      </c>
      <c r="AA11" s="67">
        <f t="shared" ref="AA11:AA14" si="3">IF(Z11="Prevenir",15,IF(Z11="Detectar",10,0))</f>
        <v>15</v>
      </c>
      <c r="AB11" s="121" t="s">
        <v>151</v>
      </c>
      <c r="AC11" s="67">
        <f t="shared" ref="AC11:AC14" si="4">IF(AB11="Confiable",15,0)</f>
        <v>15</v>
      </c>
      <c r="AD11" s="121" t="s">
        <v>152</v>
      </c>
      <c r="AE11" s="67">
        <f t="shared" ref="AE11:AE14" si="5">IF(AD11="Se investigan y resuelven oportunamente",15,0)</f>
        <v>15</v>
      </c>
      <c r="AF11" s="121" t="s">
        <v>153</v>
      </c>
      <c r="AG11" s="123">
        <f t="shared" ref="AG11:AG14" si="6">IF(AF11="Completa",10,IF(AF11="incompleta",5,0))</f>
        <v>10</v>
      </c>
      <c r="AH11" s="127">
        <f>U11+W11+Y11+AA11+AC11+AE11+AG11</f>
        <v>100</v>
      </c>
      <c r="AI11" s="127" t="str">
        <f t="shared" ref="AI11:AI14" si="7">IF(AH11&gt;=96,"Fuerte",IF(AH11&gt;=86,"Moderado",IF(AH11&gt;=1,"Débil","")))</f>
        <v>Fuerte</v>
      </c>
      <c r="AJ11" s="119" t="s">
        <v>154</v>
      </c>
      <c r="AK11" s="127" t="str">
        <f t="shared" ref="AK11:AK14" si="8">IF(AJ11="Siempre se ejecuta","Fuerte",IF(AJ11="Algunas veces","Moderado",IF(AJ11="no se ejecuta","Débil","")))</f>
        <v>Fuerte</v>
      </c>
      <c r="AL11" s="127" t="str">
        <f t="shared" ref="AL11:AL14" si="9">AI11&amp;AK11</f>
        <v>FuerteFuerte</v>
      </c>
      <c r="AM11" s="127" t="str">
        <f>IFERROR(VLOOKUP(AL11,FORMULAS!$B$69:$D$77,3,FALSE),"")</f>
        <v>Fuerte</v>
      </c>
      <c r="AN11" s="127">
        <f t="shared" ref="AN11:AN14" si="10">IF(AM11="fuerte",100,IF(AM11="Moderado",50,IF(AM11="débil",0,"")))</f>
        <v>100</v>
      </c>
      <c r="AO11" s="127" t="str">
        <f>IFERROR(VLOOKUP(AL11,FORMULAS!$B$69:$D$77,2,FALSE),"")</f>
        <v>No</v>
      </c>
      <c r="AP11" s="306">
        <f>IFERROR(AVERAGE(AN11:AN12),0)</f>
        <v>100</v>
      </c>
      <c r="AQ11" s="306" t="str">
        <f>IF(AP11&gt;=100,"Fuerte",IF(AP11&gt;=50,"Moderado",IF(AP11&gt;=1,"Débil","")))</f>
        <v>Fuerte</v>
      </c>
      <c r="AR11" s="308" t="s">
        <v>92</v>
      </c>
      <c r="AS11" s="308" t="s">
        <v>94</v>
      </c>
      <c r="AT11" s="306" t="str">
        <f>+AQ11&amp;AR11&amp;AS11</f>
        <v>FuerteDirectamenteIndirectamente</v>
      </c>
      <c r="AU11" s="306">
        <f>IFERROR(VLOOKUP(AT11,FORMULAS!$B$94:$D$101,2,FALSE),0)</f>
        <v>2</v>
      </c>
      <c r="AV11" s="306">
        <f>IFERROR(VLOOKUP(AT11,FORMULAS!$B$94:$D$101,3,FALSE),0)</f>
        <v>1</v>
      </c>
      <c r="AW11" s="341" t="s">
        <v>15</v>
      </c>
      <c r="AX11" s="341" t="s">
        <v>28</v>
      </c>
      <c r="AY11" s="342" t="str">
        <f>AW11&amp;AX11</f>
        <v>Rara vezMenor</v>
      </c>
      <c r="AZ11" s="356" t="str">
        <f>IFERROR(VLOOKUP(AY11,FORMULAS!$B$37:$C$61,2,FALSE),"")</f>
        <v>Riesgo bajo</v>
      </c>
      <c r="BA11" s="343" t="s">
        <v>19</v>
      </c>
      <c r="BB11" s="187" t="s">
        <v>876</v>
      </c>
      <c r="BC11" s="187" t="s">
        <v>174</v>
      </c>
      <c r="BD11" s="187" t="s">
        <v>877</v>
      </c>
      <c r="BE11" s="189" t="s">
        <v>878</v>
      </c>
      <c r="BF11" s="85"/>
      <c r="BG11" s="542" t="s">
        <v>879</v>
      </c>
      <c r="BH11" s="542" t="s">
        <v>880</v>
      </c>
      <c r="BI11" s="542" t="s">
        <v>178</v>
      </c>
      <c r="BJ11" s="540" t="s">
        <v>179</v>
      </c>
    </row>
    <row r="12" spans="1:62" s="64" customFormat="1" ht="110.25" customHeight="1" thickBot="1" x14ac:dyDescent="0.3">
      <c r="A12" s="575"/>
      <c r="B12" s="558"/>
      <c r="C12" s="360"/>
      <c r="D12" s="361"/>
      <c r="E12" s="361"/>
      <c r="F12" s="297"/>
      <c r="G12" s="297"/>
      <c r="H12" s="298"/>
      <c r="I12" s="559"/>
      <c r="J12" s="556"/>
      <c r="K12" s="133" t="s">
        <v>881</v>
      </c>
      <c r="L12" s="298"/>
      <c r="M12" s="254"/>
      <c r="N12" s="297"/>
      <c r="O12" s="297"/>
      <c r="P12" s="254"/>
      <c r="Q12" s="317"/>
      <c r="R12" s="374" t="s">
        <v>882</v>
      </c>
      <c r="S12" s="374"/>
      <c r="T12" s="133" t="s">
        <v>147</v>
      </c>
      <c r="U12" s="66">
        <f t="shared" si="0"/>
        <v>15</v>
      </c>
      <c r="V12" s="133" t="s">
        <v>148</v>
      </c>
      <c r="W12" s="66">
        <f t="shared" si="1"/>
        <v>15</v>
      </c>
      <c r="X12" s="133" t="s">
        <v>149</v>
      </c>
      <c r="Y12" s="66">
        <f t="shared" si="2"/>
        <v>15</v>
      </c>
      <c r="Z12" s="133" t="s">
        <v>150</v>
      </c>
      <c r="AA12" s="66">
        <f t="shared" si="3"/>
        <v>15</v>
      </c>
      <c r="AB12" s="133" t="s">
        <v>151</v>
      </c>
      <c r="AC12" s="66">
        <f t="shared" si="4"/>
        <v>15</v>
      </c>
      <c r="AD12" s="133" t="s">
        <v>152</v>
      </c>
      <c r="AE12" s="66">
        <f t="shared" si="5"/>
        <v>15</v>
      </c>
      <c r="AF12" s="133" t="s">
        <v>153</v>
      </c>
      <c r="AG12" s="135">
        <f t="shared" si="6"/>
        <v>10</v>
      </c>
      <c r="AH12" s="128">
        <f>U12+W12+Y12+AA12+AC12+AE12+AG12</f>
        <v>100</v>
      </c>
      <c r="AI12" s="128" t="str">
        <f t="shared" si="7"/>
        <v>Fuerte</v>
      </c>
      <c r="AJ12" s="139" t="s">
        <v>154</v>
      </c>
      <c r="AK12" s="128" t="str">
        <f t="shared" si="8"/>
        <v>Fuerte</v>
      </c>
      <c r="AL12" s="128" t="str">
        <f t="shared" si="9"/>
        <v>FuerteFuerte</v>
      </c>
      <c r="AM12" s="128" t="str">
        <f>IFERROR(VLOOKUP(AL12,FORMULAS!$B$69:$D$77,3,FALSE),"")</f>
        <v>Fuerte</v>
      </c>
      <c r="AN12" s="128">
        <f t="shared" si="10"/>
        <v>100</v>
      </c>
      <c r="AO12" s="128" t="str">
        <f>IFERROR(VLOOKUP(AL12,FORMULAS!$B$69:$C$77,2,FALSE),"")</f>
        <v>No</v>
      </c>
      <c r="AP12" s="271"/>
      <c r="AQ12" s="271"/>
      <c r="AR12" s="304"/>
      <c r="AS12" s="304"/>
      <c r="AT12" s="271"/>
      <c r="AU12" s="271"/>
      <c r="AV12" s="271"/>
      <c r="AW12" s="297"/>
      <c r="AX12" s="297"/>
      <c r="AY12" s="254"/>
      <c r="AZ12" s="316"/>
      <c r="BA12" s="317"/>
      <c r="BB12" s="188" t="s">
        <v>883</v>
      </c>
      <c r="BC12" s="188" t="s">
        <v>884</v>
      </c>
      <c r="BD12" s="188" t="s">
        <v>877</v>
      </c>
      <c r="BE12" s="190" t="s">
        <v>885</v>
      </c>
      <c r="BF12" s="83"/>
      <c r="BG12" s="543"/>
      <c r="BH12" s="543"/>
      <c r="BI12" s="543"/>
      <c r="BJ12" s="541"/>
    </row>
    <row r="13" spans="1:62" s="59" customFormat="1" ht="123.75" customHeight="1" x14ac:dyDescent="0.25">
      <c r="A13" s="295">
        <v>2</v>
      </c>
      <c r="B13" s="459" t="s">
        <v>49</v>
      </c>
      <c r="C13" s="341">
        <v>2</v>
      </c>
      <c r="D13" s="344" t="s">
        <v>886</v>
      </c>
      <c r="E13" s="344" t="s">
        <v>887</v>
      </c>
      <c r="F13" s="341" t="s">
        <v>31</v>
      </c>
      <c r="G13" s="341" t="s">
        <v>66</v>
      </c>
      <c r="H13" s="344" t="s">
        <v>888</v>
      </c>
      <c r="I13" s="345" t="s">
        <v>54</v>
      </c>
      <c r="J13" s="345" t="s">
        <v>61</v>
      </c>
      <c r="K13" s="65" t="s">
        <v>889</v>
      </c>
      <c r="L13" s="344" t="s">
        <v>890</v>
      </c>
      <c r="M13" s="342" t="str">
        <f>IF(F13="gestion","impacto",IF(F13="corrupcion","impactocorrupcion",IF(F13="seguridad_de_la_informacion","impacto","")))</f>
        <v>impacto</v>
      </c>
      <c r="N13" s="341" t="s">
        <v>35</v>
      </c>
      <c r="O13" s="341" t="s">
        <v>18</v>
      </c>
      <c r="P13" s="342" t="str">
        <f>N13&amp;O13</f>
        <v>PosibleInsignificante</v>
      </c>
      <c r="Q13" s="343" t="str">
        <f>IFERROR(VLOOKUP(P13,FORMULAS!$B$37:$C$61,2,FALSE),"")</f>
        <v>Riesgo bajo</v>
      </c>
      <c r="R13" s="380" t="s">
        <v>891</v>
      </c>
      <c r="S13" s="380"/>
      <c r="T13" s="121" t="s">
        <v>147</v>
      </c>
      <c r="U13" s="67">
        <f t="shared" si="0"/>
        <v>15</v>
      </c>
      <c r="V13" s="121" t="s">
        <v>148</v>
      </c>
      <c r="W13" s="67">
        <f t="shared" si="1"/>
        <v>15</v>
      </c>
      <c r="X13" s="121" t="s">
        <v>149</v>
      </c>
      <c r="Y13" s="67">
        <f t="shared" si="2"/>
        <v>15</v>
      </c>
      <c r="Z13" s="121" t="s">
        <v>182</v>
      </c>
      <c r="AA13" s="67">
        <f t="shared" si="3"/>
        <v>10</v>
      </c>
      <c r="AB13" s="121" t="s">
        <v>151</v>
      </c>
      <c r="AC13" s="67">
        <f t="shared" si="4"/>
        <v>15</v>
      </c>
      <c r="AD13" s="121" t="s">
        <v>152</v>
      </c>
      <c r="AE13" s="67">
        <f t="shared" si="5"/>
        <v>15</v>
      </c>
      <c r="AF13" s="121" t="s">
        <v>153</v>
      </c>
      <c r="AG13" s="123">
        <f t="shared" si="6"/>
        <v>10</v>
      </c>
      <c r="AH13" s="127">
        <f t="shared" ref="AH13:AH14" si="11">U13+W13+Y13+AA13+AC13+AE13+AG13</f>
        <v>95</v>
      </c>
      <c r="AI13" s="127" t="str">
        <f t="shared" si="7"/>
        <v>Moderado</v>
      </c>
      <c r="AJ13" s="119" t="s">
        <v>154</v>
      </c>
      <c r="AK13" s="127" t="str">
        <f t="shared" si="8"/>
        <v>Fuerte</v>
      </c>
      <c r="AL13" s="127" t="str">
        <f t="shared" si="9"/>
        <v>ModeradoFuerte</v>
      </c>
      <c r="AM13" s="127" t="str">
        <f>IFERROR(VLOOKUP(AL13,FORMULAS!$B$69:$D$77,3,FALSE),"")</f>
        <v>Moderado</v>
      </c>
      <c r="AN13" s="127">
        <f t="shared" si="10"/>
        <v>50</v>
      </c>
      <c r="AO13" s="127" t="str">
        <f>IFERROR(VLOOKUP(AL13,FORMULAS!$B$69:$D$77,2,FALSE),"")</f>
        <v>Sí</v>
      </c>
      <c r="AP13" s="306">
        <f>IFERROR(AVERAGE(AN13:AN14),0)</f>
        <v>50</v>
      </c>
      <c r="AQ13" s="306" t="str">
        <f>IF(AP13&gt;=100,"Fuerte",IF(AP13&gt;=50,"Moderado",IF(AP13&gt;=1,"Débil","")))</f>
        <v>Moderado</v>
      </c>
      <c r="AR13" s="308" t="s">
        <v>92</v>
      </c>
      <c r="AS13" s="308" t="s">
        <v>94</v>
      </c>
      <c r="AT13" s="306" t="str">
        <f>+AQ13&amp;AR13&amp;AS13</f>
        <v>ModeradoDirectamenteIndirectamente</v>
      </c>
      <c r="AU13" s="306">
        <f>IFERROR(VLOOKUP(AT13,FORMULAS!$B$94:$D$101,2,FALSE),0)</f>
        <v>1</v>
      </c>
      <c r="AV13" s="306">
        <f>IFERROR(VLOOKUP(AT13,FORMULAS!$B$94:$D$101,3,FALSE),0)</f>
        <v>0</v>
      </c>
      <c r="AW13" s="341" t="s">
        <v>25</v>
      </c>
      <c r="AX13" s="341" t="s">
        <v>18</v>
      </c>
      <c r="AY13" s="342" t="str">
        <f>AW13&amp;AX13</f>
        <v>ImprobableInsignificante</v>
      </c>
      <c r="AZ13" s="356" t="str">
        <f>IFERROR(VLOOKUP(AY13,FORMULAS!$B$37:$C$61,2,FALSE),"")</f>
        <v>Riesgo bajo</v>
      </c>
      <c r="BA13" s="343" t="s">
        <v>19</v>
      </c>
      <c r="BB13" s="149" t="s">
        <v>892</v>
      </c>
      <c r="BC13" s="149" t="s">
        <v>893</v>
      </c>
      <c r="BD13" s="149" t="s">
        <v>374</v>
      </c>
      <c r="BE13" s="553" t="s">
        <v>375</v>
      </c>
      <c r="BF13" s="85"/>
      <c r="BG13" s="328" t="s">
        <v>894</v>
      </c>
      <c r="BH13" s="328" t="s">
        <v>378</v>
      </c>
      <c r="BI13" s="328" t="s">
        <v>379</v>
      </c>
      <c r="BJ13" s="413" t="s">
        <v>399</v>
      </c>
    </row>
    <row r="14" spans="1:62" s="59" customFormat="1" ht="123.75" customHeight="1" thickBot="1" x14ac:dyDescent="0.3">
      <c r="A14" s="295"/>
      <c r="B14" s="460"/>
      <c r="C14" s="297"/>
      <c r="D14" s="298"/>
      <c r="E14" s="298"/>
      <c r="F14" s="297"/>
      <c r="G14" s="297"/>
      <c r="H14" s="298"/>
      <c r="I14" s="299"/>
      <c r="J14" s="299"/>
      <c r="K14" s="62" t="s">
        <v>895</v>
      </c>
      <c r="L14" s="298"/>
      <c r="M14" s="254"/>
      <c r="N14" s="297"/>
      <c r="O14" s="297"/>
      <c r="P14" s="254"/>
      <c r="Q14" s="317"/>
      <c r="R14" s="374" t="s">
        <v>896</v>
      </c>
      <c r="S14" s="374"/>
      <c r="T14" s="133" t="s">
        <v>147</v>
      </c>
      <c r="U14" s="66">
        <f t="shared" si="0"/>
        <v>15</v>
      </c>
      <c r="V14" s="133" t="s">
        <v>148</v>
      </c>
      <c r="W14" s="66">
        <f t="shared" si="1"/>
        <v>15</v>
      </c>
      <c r="X14" s="133" t="s">
        <v>149</v>
      </c>
      <c r="Y14" s="66">
        <f t="shared" si="2"/>
        <v>15</v>
      </c>
      <c r="Z14" s="133" t="s">
        <v>182</v>
      </c>
      <c r="AA14" s="66">
        <f t="shared" si="3"/>
        <v>10</v>
      </c>
      <c r="AB14" s="133" t="s">
        <v>151</v>
      </c>
      <c r="AC14" s="66">
        <f t="shared" si="4"/>
        <v>15</v>
      </c>
      <c r="AD14" s="133" t="s">
        <v>152</v>
      </c>
      <c r="AE14" s="66">
        <f t="shared" si="5"/>
        <v>15</v>
      </c>
      <c r="AF14" s="133" t="s">
        <v>153</v>
      </c>
      <c r="AG14" s="135">
        <f t="shared" si="6"/>
        <v>10</v>
      </c>
      <c r="AH14" s="128">
        <f t="shared" si="11"/>
        <v>95</v>
      </c>
      <c r="AI14" s="128" t="str">
        <f t="shared" si="7"/>
        <v>Moderado</v>
      </c>
      <c r="AJ14" s="139" t="s">
        <v>154</v>
      </c>
      <c r="AK14" s="128" t="str">
        <f t="shared" si="8"/>
        <v>Fuerte</v>
      </c>
      <c r="AL14" s="128" t="str">
        <f t="shared" si="9"/>
        <v>ModeradoFuerte</v>
      </c>
      <c r="AM14" s="128" t="str">
        <f>IFERROR(VLOOKUP(AL14,FORMULAS!$B$69:$D$77,3,FALSE),"")</f>
        <v>Moderado</v>
      </c>
      <c r="AN14" s="128">
        <f t="shared" si="10"/>
        <v>50</v>
      </c>
      <c r="AO14" s="128" t="str">
        <f>IFERROR(VLOOKUP(AL14,FORMULAS!$B$69:$C$77,2,FALSE),"")</f>
        <v>Sí</v>
      </c>
      <c r="AP14" s="271"/>
      <c r="AQ14" s="271"/>
      <c r="AR14" s="304"/>
      <c r="AS14" s="304"/>
      <c r="AT14" s="271"/>
      <c r="AU14" s="271"/>
      <c r="AV14" s="271"/>
      <c r="AW14" s="297"/>
      <c r="AX14" s="297"/>
      <c r="AY14" s="254"/>
      <c r="AZ14" s="316"/>
      <c r="BA14" s="317"/>
      <c r="BB14" s="150" t="s">
        <v>897</v>
      </c>
      <c r="BC14" s="84" t="s">
        <v>898</v>
      </c>
      <c r="BD14" s="150" t="s">
        <v>374</v>
      </c>
      <c r="BE14" s="554"/>
      <c r="BF14" s="83"/>
      <c r="BG14" s="329"/>
      <c r="BH14" s="329"/>
      <c r="BI14" s="329"/>
      <c r="BJ14" s="414"/>
    </row>
    <row r="15" spans="1:62" s="59" customFormat="1" ht="19.5" customHeight="1" x14ac:dyDescent="0.25">
      <c r="A15" s="295">
        <v>3</v>
      </c>
      <c r="B15" s="538" t="s">
        <v>30</v>
      </c>
      <c r="C15" s="257">
        <v>3</v>
      </c>
      <c r="D15" s="288" t="s">
        <v>899</v>
      </c>
      <c r="E15" s="288" t="s">
        <v>900</v>
      </c>
      <c r="F15" s="257" t="s">
        <v>31</v>
      </c>
      <c r="G15" s="257" t="s">
        <v>69</v>
      </c>
      <c r="H15" s="288" t="s">
        <v>901</v>
      </c>
      <c r="I15" s="563" t="s">
        <v>46</v>
      </c>
      <c r="J15" s="563" t="s">
        <v>72</v>
      </c>
      <c r="K15" s="331" t="s">
        <v>902</v>
      </c>
      <c r="L15" s="288" t="s">
        <v>903</v>
      </c>
      <c r="M15" s="560" t="str">
        <f>IF(F15="gestion","impacto",IF(F15="corrupcion","impactocorrupcion",IF(F15="seguridad_de_la_informacion","impacto","")))</f>
        <v>impacto</v>
      </c>
      <c r="N15" s="257" t="s">
        <v>35</v>
      </c>
      <c r="O15" s="257" t="s">
        <v>28</v>
      </c>
      <c r="P15" s="560" t="str">
        <f>N15&amp;O15</f>
        <v>PosibleMenor</v>
      </c>
      <c r="Q15" s="502" t="str">
        <f>IFERROR(VLOOKUP(P15,FORMULAS!$B$37:$C$61,2,FALSE),"")</f>
        <v>Riesgo moderado</v>
      </c>
      <c r="R15" s="492" t="s">
        <v>904</v>
      </c>
      <c r="S15" s="493"/>
      <c r="T15" s="331" t="s">
        <v>147</v>
      </c>
      <c r="U15" s="135">
        <f>IF(T15="Asignado",15,0)</f>
        <v>15</v>
      </c>
      <c r="V15" s="331" t="s">
        <v>148</v>
      </c>
      <c r="W15" s="135">
        <f>IF(V15="Adecuado",15,0)</f>
        <v>15</v>
      </c>
      <c r="X15" s="331" t="s">
        <v>149</v>
      </c>
      <c r="Y15" s="135">
        <f>IF(X15="Oportuna",15,0)</f>
        <v>15</v>
      </c>
      <c r="Z15" s="331" t="s">
        <v>150</v>
      </c>
      <c r="AA15" s="135">
        <f>IF(Z15="Prevenir",15,IF(Z15="Detectar",10,0))</f>
        <v>15</v>
      </c>
      <c r="AB15" s="331" t="s">
        <v>151</v>
      </c>
      <c r="AC15" s="135">
        <f>IF(AB15="Confiable",15,0)</f>
        <v>15</v>
      </c>
      <c r="AD15" s="331" t="s">
        <v>152</v>
      </c>
      <c r="AE15" s="135">
        <f>IF(AD15="Se investigan y resuelven oportunamente",15,0)</f>
        <v>15</v>
      </c>
      <c r="AF15" s="331" t="s">
        <v>153</v>
      </c>
      <c r="AG15" s="135">
        <f>IF(AF15="Completa",10,IF(AF15="incompleta",5,0))</f>
        <v>10</v>
      </c>
      <c r="AH15" s="300">
        <f t="shared" ref="AH15:AH23" si="12">U15+W15+Y15+AA15+AC15+AE15+AG15</f>
        <v>100</v>
      </c>
      <c r="AI15" s="300" t="str">
        <f>IF(AH15&gt;=96,"Fuerte",IF(AH15&gt;=86,"Moderado",IF(AH15&gt;=1,"Débil","")))</f>
        <v>Fuerte</v>
      </c>
      <c r="AJ15" s="301" t="s">
        <v>154</v>
      </c>
      <c r="AK15" s="300" t="str">
        <f>IF(AJ15="Siempre se ejecuta","Fuerte",IF(AJ15="Algunas veces","Moderado",IF(AJ15="no se ejecuta","Débil","")))</f>
        <v>Fuerte</v>
      </c>
      <c r="AL15" s="128" t="str">
        <f>AI15&amp;AK15</f>
        <v>FuerteFuerte</v>
      </c>
      <c r="AM15" s="300" t="str">
        <f>IFERROR(VLOOKUP(AL15,[6]FORMULAS!$B$70:$D$78,3,FALSE),"")</f>
        <v>Fuerte</v>
      </c>
      <c r="AN15" s="300">
        <f>IF(AM15="fuerte",100,IF(AM15="Moderado",50,IF(AM15="débil",0,"")))</f>
        <v>100</v>
      </c>
      <c r="AO15" s="255">
        <f>IFERROR(AVERAGE(AM15:AM26),0)</f>
        <v>0</v>
      </c>
      <c r="AP15" s="255" t="str">
        <f>IF(AO15&gt;=100,"Fuerte",IF(AO15&gt;=50,"Moderado",IF(AO15&gt;=1,"Débil","")))</f>
        <v/>
      </c>
      <c r="AQ15" s="272" t="s">
        <v>92</v>
      </c>
      <c r="AR15" s="272" t="s">
        <v>94</v>
      </c>
      <c r="AS15" s="255" t="str">
        <f>+AP15&amp;AQ15&amp;AR15</f>
        <v>DirectamenteIndirectamente</v>
      </c>
      <c r="AT15" s="255">
        <f>IFERROR(VLOOKUP(AS15,FORMULAS!$B$94:$D$101,2,FALSE),0)</f>
        <v>0</v>
      </c>
      <c r="AU15" s="255">
        <f>IFERROR(VLOOKUP(AS15,FORMULAS!$B$94:$D$101,3,FALSE),0)</f>
        <v>0</v>
      </c>
      <c r="AV15" s="257" t="s">
        <v>15</v>
      </c>
      <c r="AW15" s="257" t="s">
        <v>28</v>
      </c>
      <c r="AX15" s="560" t="str">
        <f>AV15&amp;AW15</f>
        <v>Rara vezMenor</v>
      </c>
      <c r="AY15" s="302" t="str">
        <f>IFERROR(VLOOKUP(AX15,FORMULAS!$B$37:$C$61,2,FALSE),"")</f>
        <v>Riesgo bajo</v>
      </c>
      <c r="AZ15" s="336" t="s">
        <v>84</v>
      </c>
      <c r="BA15" s="502" t="s">
        <v>19</v>
      </c>
      <c r="BB15" s="194" t="s">
        <v>905</v>
      </c>
      <c r="BC15" s="162" t="s">
        <v>906</v>
      </c>
      <c r="BD15" s="162" t="s">
        <v>907</v>
      </c>
      <c r="BE15" s="193" t="s">
        <v>329</v>
      </c>
      <c r="BF15" s="193" t="s">
        <v>908</v>
      </c>
      <c r="BG15" s="194" t="s">
        <v>909</v>
      </c>
      <c r="BH15" s="162" t="s">
        <v>910</v>
      </c>
      <c r="BI15" s="162" t="s">
        <v>911</v>
      </c>
      <c r="BJ15" s="193" t="s">
        <v>274</v>
      </c>
    </row>
    <row r="16" spans="1:62" s="59" customFormat="1" ht="19.5" customHeight="1" x14ac:dyDescent="0.25">
      <c r="A16" s="295"/>
      <c r="B16" s="539"/>
      <c r="C16" s="332"/>
      <c r="D16" s="289"/>
      <c r="E16" s="289"/>
      <c r="F16" s="332"/>
      <c r="G16" s="332"/>
      <c r="H16" s="289"/>
      <c r="I16" s="489"/>
      <c r="J16" s="489"/>
      <c r="K16" s="332"/>
      <c r="L16" s="289"/>
      <c r="M16" s="565"/>
      <c r="N16" s="332"/>
      <c r="O16" s="332"/>
      <c r="P16" s="565"/>
      <c r="Q16" s="491"/>
      <c r="R16" s="494"/>
      <c r="S16" s="495"/>
      <c r="T16" s="332"/>
      <c r="U16" s="135">
        <f t="shared" ref="U16:U18" si="13">IF(T16="Asignado",15,0)</f>
        <v>0</v>
      </c>
      <c r="V16" s="332"/>
      <c r="W16" s="135">
        <f t="shared" ref="W16:W18" si="14">IF(V16="Adecuado",15,0)</f>
        <v>0</v>
      </c>
      <c r="X16" s="332"/>
      <c r="Y16" s="135">
        <f t="shared" ref="Y16:Y18" si="15">IF(X16="Oportuna",15,0)</f>
        <v>0</v>
      </c>
      <c r="Z16" s="332"/>
      <c r="AA16" s="135">
        <f t="shared" ref="AA16:AA18" si="16">IF(Z16="Prevenir",15,IF(Z16="Detectar",10,0))</f>
        <v>0</v>
      </c>
      <c r="AB16" s="332"/>
      <c r="AC16" s="135">
        <f t="shared" ref="AC16:AC18" si="17">IF(AB16="Confiable",15,0)</f>
        <v>0</v>
      </c>
      <c r="AD16" s="332"/>
      <c r="AE16" s="135">
        <f t="shared" ref="AE16:AE18" si="18">IF(AD16="Se investigan y resuelven oportunamente",15,0)</f>
        <v>0</v>
      </c>
      <c r="AF16" s="332"/>
      <c r="AG16" s="135">
        <f t="shared" ref="AG16:AG18" si="19">IF(AF16="Completa",10,IF(AF16="incompleta",5,0))</f>
        <v>0</v>
      </c>
      <c r="AH16" s="487"/>
      <c r="AI16" s="487"/>
      <c r="AJ16" s="488"/>
      <c r="AK16" s="487"/>
      <c r="AL16" s="128" t="str">
        <f t="shared" ref="AL16:AL18" si="20">AI16&amp;AK16</f>
        <v/>
      </c>
      <c r="AM16" s="487"/>
      <c r="AN16" s="487"/>
      <c r="AO16" s="487"/>
      <c r="AP16" s="487"/>
      <c r="AQ16" s="488"/>
      <c r="AR16" s="488"/>
      <c r="AS16" s="487"/>
      <c r="AT16" s="487"/>
      <c r="AU16" s="487"/>
      <c r="AV16" s="332"/>
      <c r="AW16" s="332"/>
      <c r="AX16" s="565"/>
      <c r="AY16" s="501"/>
      <c r="AZ16" s="501"/>
      <c r="BA16" s="491"/>
      <c r="BB16" s="195"/>
      <c r="BC16" s="184"/>
      <c r="BD16" s="184"/>
      <c r="BE16" s="196"/>
      <c r="BF16" s="196"/>
      <c r="BG16" s="195"/>
      <c r="BH16" s="184"/>
      <c r="BI16" s="184"/>
      <c r="BJ16" s="196"/>
    </row>
    <row r="17" spans="1:62" s="59" customFormat="1" ht="19.5" customHeight="1" x14ac:dyDescent="0.25">
      <c r="A17" s="295"/>
      <c r="B17" s="539"/>
      <c r="C17" s="332"/>
      <c r="D17" s="289"/>
      <c r="E17" s="289"/>
      <c r="F17" s="332"/>
      <c r="G17" s="332"/>
      <c r="H17" s="289"/>
      <c r="I17" s="489"/>
      <c r="J17" s="489"/>
      <c r="K17" s="332"/>
      <c r="L17" s="289"/>
      <c r="M17" s="565"/>
      <c r="N17" s="332"/>
      <c r="O17" s="332"/>
      <c r="P17" s="565"/>
      <c r="Q17" s="491"/>
      <c r="R17" s="494"/>
      <c r="S17" s="495"/>
      <c r="T17" s="332"/>
      <c r="U17" s="135">
        <f t="shared" si="13"/>
        <v>0</v>
      </c>
      <c r="V17" s="332"/>
      <c r="W17" s="135">
        <f t="shared" si="14"/>
        <v>0</v>
      </c>
      <c r="X17" s="332"/>
      <c r="Y17" s="135">
        <f t="shared" si="15"/>
        <v>0</v>
      </c>
      <c r="Z17" s="332"/>
      <c r="AA17" s="135">
        <f t="shared" si="16"/>
        <v>0</v>
      </c>
      <c r="AB17" s="332"/>
      <c r="AC17" s="135">
        <f t="shared" si="17"/>
        <v>0</v>
      </c>
      <c r="AD17" s="332"/>
      <c r="AE17" s="135">
        <f t="shared" si="18"/>
        <v>0</v>
      </c>
      <c r="AF17" s="332"/>
      <c r="AG17" s="135">
        <f t="shared" si="19"/>
        <v>0</v>
      </c>
      <c r="AH17" s="487"/>
      <c r="AI17" s="487"/>
      <c r="AJ17" s="488"/>
      <c r="AK17" s="487"/>
      <c r="AL17" s="128" t="str">
        <f t="shared" si="20"/>
        <v/>
      </c>
      <c r="AM17" s="487"/>
      <c r="AN17" s="487"/>
      <c r="AO17" s="487"/>
      <c r="AP17" s="487"/>
      <c r="AQ17" s="488"/>
      <c r="AR17" s="488"/>
      <c r="AS17" s="487"/>
      <c r="AT17" s="487"/>
      <c r="AU17" s="487"/>
      <c r="AV17" s="332"/>
      <c r="AW17" s="332"/>
      <c r="AX17" s="565"/>
      <c r="AY17" s="501"/>
      <c r="AZ17" s="501"/>
      <c r="BA17" s="491"/>
      <c r="BB17" s="195"/>
      <c r="BC17" s="184"/>
      <c r="BD17" s="184"/>
      <c r="BE17" s="196"/>
      <c r="BF17" s="196"/>
      <c r="BG17" s="195"/>
      <c r="BH17" s="184"/>
      <c r="BI17" s="184"/>
      <c r="BJ17" s="196"/>
    </row>
    <row r="18" spans="1:62" s="59" customFormat="1" ht="19.5" customHeight="1" x14ac:dyDescent="0.25">
      <c r="A18" s="295"/>
      <c r="B18" s="539"/>
      <c r="C18" s="332"/>
      <c r="D18" s="289"/>
      <c r="E18" s="289"/>
      <c r="F18" s="332"/>
      <c r="G18" s="332"/>
      <c r="H18" s="289"/>
      <c r="I18" s="489"/>
      <c r="J18" s="489"/>
      <c r="K18" s="258"/>
      <c r="L18" s="289"/>
      <c r="M18" s="565"/>
      <c r="N18" s="332"/>
      <c r="O18" s="332"/>
      <c r="P18" s="565"/>
      <c r="Q18" s="491"/>
      <c r="R18" s="496"/>
      <c r="S18" s="497"/>
      <c r="T18" s="258"/>
      <c r="U18" s="135">
        <f t="shared" si="13"/>
        <v>0</v>
      </c>
      <c r="V18" s="258"/>
      <c r="W18" s="135">
        <f t="shared" si="14"/>
        <v>0</v>
      </c>
      <c r="X18" s="258"/>
      <c r="Y18" s="135">
        <f t="shared" si="15"/>
        <v>0</v>
      </c>
      <c r="Z18" s="258"/>
      <c r="AA18" s="135">
        <f t="shared" si="16"/>
        <v>0</v>
      </c>
      <c r="AB18" s="258"/>
      <c r="AC18" s="135">
        <f t="shared" si="17"/>
        <v>0</v>
      </c>
      <c r="AD18" s="258"/>
      <c r="AE18" s="135">
        <f t="shared" si="18"/>
        <v>0</v>
      </c>
      <c r="AF18" s="258"/>
      <c r="AG18" s="135">
        <f t="shared" si="19"/>
        <v>0</v>
      </c>
      <c r="AH18" s="256"/>
      <c r="AI18" s="256"/>
      <c r="AJ18" s="273"/>
      <c r="AK18" s="256"/>
      <c r="AL18" s="128" t="str">
        <f t="shared" si="20"/>
        <v/>
      </c>
      <c r="AM18" s="256"/>
      <c r="AN18" s="256"/>
      <c r="AO18" s="487"/>
      <c r="AP18" s="487"/>
      <c r="AQ18" s="488"/>
      <c r="AR18" s="488"/>
      <c r="AS18" s="487"/>
      <c r="AT18" s="487"/>
      <c r="AU18" s="487"/>
      <c r="AV18" s="332"/>
      <c r="AW18" s="332"/>
      <c r="AX18" s="565"/>
      <c r="AY18" s="501"/>
      <c r="AZ18" s="501"/>
      <c r="BA18" s="491"/>
      <c r="BB18" s="197"/>
      <c r="BC18" s="172"/>
      <c r="BD18" s="172"/>
      <c r="BE18" s="198"/>
      <c r="BF18" s="198"/>
      <c r="BG18" s="197"/>
      <c r="BH18" s="172"/>
      <c r="BI18" s="172"/>
      <c r="BJ18" s="198"/>
    </row>
    <row r="19" spans="1:62" s="59" customFormat="1" ht="19.5" customHeight="1" x14ac:dyDescent="0.25">
      <c r="A19" s="295"/>
      <c r="B19" s="539"/>
      <c r="C19" s="332"/>
      <c r="D19" s="289"/>
      <c r="E19" s="289"/>
      <c r="F19" s="332"/>
      <c r="G19" s="332"/>
      <c r="H19" s="289"/>
      <c r="I19" s="489"/>
      <c r="J19" s="489"/>
      <c r="K19" s="331" t="s">
        <v>912</v>
      </c>
      <c r="L19" s="289"/>
      <c r="M19" s="565"/>
      <c r="N19" s="332"/>
      <c r="O19" s="332"/>
      <c r="P19" s="565"/>
      <c r="Q19" s="491"/>
      <c r="R19" s="492" t="s">
        <v>913</v>
      </c>
      <c r="S19" s="493"/>
      <c r="T19" s="331" t="s">
        <v>147</v>
      </c>
      <c r="U19" s="135">
        <f>IF(T19="Asignado",15,0)</f>
        <v>15</v>
      </c>
      <c r="V19" s="331" t="s">
        <v>148</v>
      </c>
      <c r="W19" s="135">
        <f>IF(V19="Adecuado",15,0)</f>
        <v>15</v>
      </c>
      <c r="X19" s="331" t="s">
        <v>149</v>
      </c>
      <c r="Y19" s="135">
        <f>IF(X19="Oportuna",15,0)</f>
        <v>15</v>
      </c>
      <c r="Z19" s="331" t="s">
        <v>150</v>
      </c>
      <c r="AA19" s="135">
        <f>IF(Z19="Prevenir",15,IF(Z19="Detectar",10,0))</f>
        <v>15</v>
      </c>
      <c r="AB19" s="331" t="s">
        <v>151</v>
      </c>
      <c r="AC19" s="135">
        <f>IF(AB19="Confiable",15,0)</f>
        <v>15</v>
      </c>
      <c r="AD19" s="331" t="s">
        <v>152</v>
      </c>
      <c r="AE19" s="135">
        <f>IF(AD19="Se investigan y resuelven oportunamente",15,0)</f>
        <v>15</v>
      </c>
      <c r="AF19" s="331" t="s">
        <v>153</v>
      </c>
      <c r="AG19" s="135">
        <f>IF(AF19="Completa",10,IF(AF19="incompleta",5,0))</f>
        <v>10</v>
      </c>
      <c r="AH19" s="300">
        <f t="shared" si="12"/>
        <v>100</v>
      </c>
      <c r="AI19" s="300" t="str">
        <f>IF(AH19&gt;=96,"Fuerte",IF(AH19&gt;=86,"Moderado",IF(AH19&gt;=1,"Débil","")))</f>
        <v>Fuerte</v>
      </c>
      <c r="AJ19" s="301" t="s">
        <v>154</v>
      </c>
      <c r="AK19" s="300" t="str">
        <f>IF(AJ19="Siempre se ejecuta","Fuerte",IF(AJ19="Algunas veces","Moderado",IF(AJ19="no se ejecuta","Débil","")))</f>
        <v>Fuerte</v>
      </c>
      <c r="AL19" s="128" t="str">
        <f>AI19&amp;AK19</f>
        <v>FuerteFuerte</v>
      </c>
      <c r="AM19" s="300" t="str">
        <f>IFERROR(VLOOKUP(AL19,[6]FORMULAS!$B$70:$D$78,3,FALSE),"")</f>
        <v>Fuerte</v>
      </c>
      <c r="AN19" s="300">
        <f>IF(AM19="fuerte",100,IF(AM19="Moderado",50,IF(AM19="débil",0,"")))</f>
        <v>100</v>
      </c>
      <c r="AO19" s="487"/>
      <c r="AP19" s="487"/>
      <c r="AQ19" s="488"/>
      <c r="AR19" s="488"/>
      <c r="AS19" s="487"/>
      <c r="AT19" s="487"/>
      <c r="AU19" s="487"/>
      <c r="AV19" s="332"/>
      <c r="AW19" s="332"/>
      <c r="AX19" s="565"/>
      <c r="AY19" s="501"/>
      <c r="AZ19" s="501"/>
      <c r="BA19" s="491"/>
      <c r="BB19" s="194" t="s">
        <v>914</v>
      </c>
      <c r="BC19" s="162" t="s">
        <v>915</v>
      </c>
      <c r="BD19" s="162" t="s">
        <v>916</v>
      </c>
      <c r="BE19" s="193" t="s">
        <v>917</v>
      </c>
      <c r="BF19" s="193" t="s">
        <v>918</v>
      </c>
      <c r="BG19" s="194" t="s">
        <v>919</v>
      </c>
      <c r="BH19" s="162" t="s">
        <v>920</v>
      </c>
      <c r="BI19" s="162" t="s">
        <v>921</v>
      </c>
      <c r="BJ19" s="193" t="s">
        <v>274</v>
      </c>
    </row>
    <row r="20" spans="1:62" s="59" customFormat="1" ht="19.5" customHeight="1" x14ac:dyDescent="0.25">
      <c r="A20" s="295"/>
      <c r="B20" s="539"/>
      <c r="C20" s="332"/>
      <c r="D20" s="289"/>
      <c r="E20" s="289"/>
      <c r="F20" s="332"/>
      <c r="G20" s="332"/>
      <c r="H20" s="289"/>
      <c r="I20" s="489"/>
      <c r="J20" s="489"/>
      <c r="K20" s="332"/>
      <c r="L20" s="289"/>
      <c r="M20" s="565"/>
      <c r="N20" s="332"/>
      <c r="O20" s="332"/>
      <c r="P20" s="565"/>
      <c r="Q20" s="491"/>
      <c r="R20" s="494"/>
      <c r="S20" s="495"/>
      <c r="T20" s="332"/>
      <c r="U20" s="135">
        <f t="shared" ref="U20:U22" si="21">IF(T20="Asignado",15,0)</f>
        <v>0</v>
      </c>
      <c r="V20" s="332"/>
      <c r="W20" s="135">
        <f t="shared" ref="W20:W22" si="22">IF(V20="Adecuado",15,0)</f>
        <v>0</v>
      </c>
      <c r="X20" s="332"/>
      <c r="Y20" s="135">
        <f t="shared" ref="Y20:Y22" si="23">IF(X20="Oportuna",15,0)</f>
        <v>0</v>
      </c>
      <c r="Z20" s="332"/>
      <c r="AA20" s="135">
        <f t="shared" ref="AA20:AA22" si="24">IF(Z20="Prevenir",15,IF(Z20="Detectar",10,0))</f>
        <v>0</v>
      </c>
      <c r="AB20" s="332"/>
      <c r="AC20" s="135">
        <f t="shared" ref="AC20:AC22" si="25">IF(AB20="Confiable",15,0)</f>
        <v>0</v>
      </c>
      <c r="AD20" s="332"/>
      <c r="AE20" s="135">
        <f t="shared" ref="AE20:AE22" si="26">IF(AD20="Se investigan y resuelven oportunamente",15,0)</f>
        <v>0</v>
      </c>
      <c r="AF20" s="332"/>
      <c r="AG20" s="135">
        <f t="shared" ref="AG20:AG22" si="27">IF(AF20="Completa",10,IF(AF20="incompleta",5,0))</f>
        <v>0</v>
      </c>
      <c r="AH20" s="487"/>
      <c r="AI20" s="487"/>
      <c r="AJ20" s="488"/>
      <c r="AK20" s="487"/>
      <c r="AL20" s="128" t="str">
        <f t="shared" ref="AL20:AL22" si="28">AI20&amp;AK20</f>
        <v/>
      </c>
      <c r="AM20" s="487"/>
      <c r="AN20" s="487"/>
      <c r="AO20" s="487"/>
      <c r="AP20" s="487"/>
      <c r="AQ20" s="488"/>
      <c r="AR20" s="488"/>
      <c r="AS20" s="487"/>
      <c r="AT20" s="487"/>
      <c r="AU20" s="487"/>
      <c r="AV20" s="332"/>
      <c r="AW20" s="332"/>
      <c r="AX20" s="565"/>
      <c r="AY20" s="501"/>
      <c r="AZ20" s="501"/>
      <c r="BA20" s="491"/>
      <c r="BB20" s="195"/>
      <c r="BC20" s="184"/>
      <c r="BD20" s="184"/>
      <c r="BE20" s="196"/>
      <c r="BF20" s="196"/>
      <c r="BG20" s="195"/>
      <c r="BH20" s="184"/>
      <c r="BI20" s="184"/>
      <c r="BJ20" s="196"/>
    </row>
    <row r="21" spans="1:62" s="59" customFormat="1" ht="19.5" customHeight="1" x14ac:dyDescent="0.25">
      <c r="A21" s="295"/>
      <c r="B21" s="539"/>
      <c r="C21" s="332"/>
      <c r="D21" s="289"/>
      <c r="E21" s="289"/>
      <c r="F21" s="332"/>
      <c r="G21" s="332"/>
      <c r="H21" s="289"/>
      <c r="I21" s="489"/>
      <c r="J21" s="489"/>
      <c r="K21" s="332"/>
      <c r="L21" s="289"/>
      <c r="M21" s="565"/>
      <c r="N21" s="332"/>
      <c r="O21" s="332"/>
      <c r="P21" s="565"/>
      <c r="Q21" s="491"/>
      <c r="R21" s="494"/>
      <c r="S21" s="495"/>
      <c r="T21" s="332"/>
      <c r="U21" s="135">
        <f t="shared" si="21"/>
        <v>0</v>
      </c>
      <c r="V21" s="332"/>
      <c r="W21" s="135">
        <f t="shared" si="22"/>
        <v>0</v>
      </c>
      <c r="X21" s="332"/>
      <c r="Y21" s="135">
        <f t="shared" si="23"/>
        <v>0</v>
      </c>
      <c r="Z21" s="332"/>
      <c r="AA21" s="135">
        <f t="shared" si="24"/>
        <v>0</v>
      </c>
      <c r="AB21" s="332"/>
      <c r="AC21" s="135">
        <f t="shared" si="25"/>
        <v>0</v>
      </c>
      <c r="AD21" s="332"/>
      <c r="AE21" s="135">
        <f t="shared" si="26"/>
        <v>0</v>
      </c>
      <c r="AF21" s="332"/>
      <c r="AG21" s="135">
        <f t="shared" si="27"/>
        <v>0</v>
      </c>
      <c r="AH21" s="487"/>
      <c r="AI21" s="487"/>
      <c r="AJ21" s="488"/>
      <c r="AK21" s="487"/>
      <c r="AL21" s="128" t="str">
        <f t="shared" si="28"/>
        <v/>
      </c>
      <c r="AM21" s="487"/>
      <c r="AN21" s="487"/>
      <c r="AO21" s="487"/>
      <c r="AP21" s="487"/>
      <c r="AQ21" s="488"/>
      <c r="AR21" s="488"/>
      <c r="AS21" s="487"/>
      <c r="AT21" s="487"/>
      <c r="AU21" s="487"/>
      <c r="AV21" s="332"/>
      <c r="AW21" s="332"/>
      <c r="AX21" s="565"/>
      <c r="AY21" s="501"/>
      <c r="AZ21" s="501"/>
      <c r="BA21" s="491"/>
      <c r="BB21" s="195"/>
      <c r="BC21" s="184"/>
      <c r="BD21" s="184"/>
      <c r="BE21" s="196"/>
      <c r="BF21" s="196"/>
      <c r="BG21" s="195"/>
      <c r="BH21" s="184"/>
      <c r="BI21" s="184"/>
      <c r="BJ21" s="196"/>
    </row>
    <row r="22" spans="1:62" s="59" customFormat="1" ht="19.5" customHeight="1" x14ac:dyDescent="0.25">
      <c r="A22" s="295"/>
      <c r="B22" s="539"/>
      <c r="C22" s="332"/>
      <c r="D22" s="289"/>
      <c r="E22" s="289"/>
      <c r="F22" s="332"/>
      <c r="G22" s="332"/>
      <c r="H22" s="289"/>
      <c r="I22" s="489"/>
      <c r="J22" s="489"/>
      <c r="K22" s="258"/>
      <c r="L22" s="289"/>
      <c r="M22" s="565"/>
      <c r="N22" s="332"/>
      <c r="O22" s="332"/>
      <c r="P22" s="565"/>
      <c r="Q22" s="491"/>
      <c r="R22" s="496"/>
      <c r="S22" s="497"/>
      <c r="T22" s="258"/>
      <c r="U22" s="135">
        <f t="shared" si="21"/>
        <v>0</v>
      </c>
      <c r="V22" s="258"/>
      <c r="W22" s="135">
        <f t="shared" si="22"/>
        <v>0</v>
      </c>
      <c r="X22" s="258"/>
      <c r="Y22" s="135">
        <f t="shared" si="23"/>
        <v>0</v>
      </c>
      <c r="Z22" s="258"/>
      <c r="AA22" s="135">
        <f t="shared" si="24"/>
        <v>0</v>
      </c>
      <c r="AB22" s="258"/>
      <c r="AC22" s="135">
        <f t="shared" si="25"/>
        <v>0</v>
      </c>
      <c r="AD22" s="258"/>
      <c r="AE22" s="135">
        <f t="shared" si="26"/>
        <v>0</v>
      </c>
      <c r="AF22" s="258"/>
      <c r="AG22" s="135">
        <f t="shared" si="27"/>
        <v>0</v>
      </c>
      <c r="AH22" s="256"/>
      <c r="AI22" s="256"/>
      <c r="AJ22" s="273"/>
      <c r="AK22" s="256"/>
      <c r="AL22" s="128" t="str">
        <f t="shared" si="28"/>
        <v/>
      </c>
      <c r="AM22" s="256"/>
      <c r="AN22" s="256"/>
      <c r="AO22" s="487"/>
      <c r="AP22" s="487"/>
      <c r="AQ22" s="488"/>
      <c r="AR22" s="488"/>
      <c r="AS22" s="487"/>
      <c r="AT22" s="487"/>
      <c r="AU22" s="487"/>
      <c r="AV22" s="332"/>
      <c r="AW22" s="332"/>
      <c r="AX22" s="565"/>
      <c r="AY22" s="501"/>
      <c r="AZ22" s="501"/>
      <c r="BA22" s="491"/>
      <c r="BB22" s="197"/>
      <c r="BC22" s="172"/>
      <c r="BD22" s="172"/>
      <c r="BE22" s="198"/>
      <c r="BF22" s="198"/>
      <c r="BG22" s="197"/>
      <c r="BH22" s="172"/>
      <c r="BI22" s="172"/>
      <c r="BJ22" s="198"/>
    </row>
    <row r="23" spans="1:62" s="59" customFormat="1" ht="19.5" customHeight="1" x14ac:dyDescent="0.25">
      <c r="A23" s="295"/>
      <c r="B23" s="539"/>
      <c r="C23" s="332"/>
      <c r="D23" s="289"/>
      <c r="E23" s="289"/>
      <c r="F23" s="332"/>
      <c r="G23" s="332"/>
      <c r="H23" s="289"/>
      <c r="I23" s="489"/>
      <c r="J23" s="489"/>
      <c r="K23" s="331" t="s">
        <v>922</v>
      </c>
      <c r="L23" s="289"/>
      <c r="M23" s="565"/>
      <c r="N23" s="332"/>
      <c r="O23" s="332"/>
      <c r="P23" s="565"/>
      <c r="Q23" s="491"/>
      <c r="R23" s="492" t="s">
        <v>923</v>
      </c>
      <c r="S23" s="493"/>
      <c r="T23" s="331" t="s">
        <v>147</v>
      </c>
      <c r="U23" s="135">
        <f>IF(T23="Asignado",15,0)</f>
        <v>15</v>
      </c>
      <c r="V23" s="331" t="s">
        <v>148</v>
      </c>
      <c r="W23" s="135">
        <f>IF(V23="Adecuado",15,0)</f>
        <v>15</v>
      </c>
      <c r="X23" s="331" t="s">
        <v>149</v>
      </c>
      <c r="Y23" s="135">
        <f>IF(X23="Oportuna",15,0)</f>
        <v>15</v>
      </c>
      <c r="Z23" s="331" t="s">
        <v>150</v>
      </c>
      <c r="AA23" s="135">
        <f>IF(Z23="Prevenir",15,IF(Z23="Detectar",10,0))</f>
        <v>15</v>
      </c>
      <c r="AB23" s="331" t="s">
        <v>151</v>
      </c>
      <c r="AC23" s="135">
        <f>IF(AB23="Confiable",15,0)</f>
        <v>15</v>
      </c>
      <c r="AD23" s="331" t="s">
        <v>152</v>
      </c>
      <c r="AE23" s="135">
        <f>IF(AD23="Se investigan y resuelven oportunamente",15,0)</f>
        <v>15</v>
      </c>
      <c r="AF23" s="331" t="s">
        <v>153</v>
      </c>
      <c r="AG23" s="135">
        <f>IF(AF23="Completa",10,IF(AF23="incompleta",5,0))</f>
        <v>10</v>
      </c>
      <c r="AH23" s="300">
        <f t="shared" si="12"/>
        <v>100</v>
      </c>
      <c r="AI23" s="300" t="str">
        <f>IF(AH23&gt;=96,"Fuerte",IF(AH23&gt;=86,"Moderado",IF(AH23&gt;=1,"Débil","")))</f>
        <v>Fuerte</v>
      </c>
      <c r="AJ23" s="301" t="s">
        <v>154</v>
      </c>
      <c r="AK23" s="300" t="str">
        <f>IF(AJ23="Siempre se ejecuta","Fuerte",IF(AJ23="Algunas veces","Moderado",IF(AJ23="no se ejecuta","Débil","")))</f>
        <v>Fuerte</v>
      </c>
      <c r="AL23" s="128" t="str">
        <f>AI23&amp;AK23</f>
        <v>FuerteFuerte</v>
      </c>
      <c r="AM23" s="300" t="str">
        <f>IFERROR(VLOOKUP(AL23,[6]FORMULAS!$B$70:$D$78,3,FALSE),"")</f>
        <v>Fuerte</v>
      </c>
      <c r="AN23" s="300">
        <f>IF(AM23="fuerte",100,IF(AM23="Moderado",50,IF(AM23="débil",0,"")))</f>
        <v>100</v>
      </c>
      <c r="AO23" s="487"/>
      <c r="AP23" s="487"/>
      <c r="AQ23" s="488"/>
      <c r="AR23" s="488"/>
      <c r="AS23" s="487"/>
      <c r="AT23" s="487"/>
      <c r="AU23" s="487"/>
      <c r="AV23" s="332"/>
      <c r="AW23" s="332"/>
      <c r="AX23" s="565"/>
      <c r="AY23" s="501"/>
      <c r="AZ23" s="501"/>
      <c r="BA23" s="491"/>
      <c r="BB23" s="194" t="s">
        <v>924</v>
      </c>
      <c r="BC23" s="162" t="s">
        <v>925</v>
      </c>
      <c r="BD23" s="162" t="s">
        <v>916</v>
      </c>
      <c r="BE23" s="193" t="s">
        <v>926</v>
      </c>
      <c r="BF23" s="193" t="s">
        <v>927</v>
      </c>
      <c r="BG23" s="194" t="s">
        <v>928</v>
      </c>
      <c r="BH23" s="162" t="s">
        <v>929</v>
      </c>
      <c r="BI23" s="162" t="s">
        <v>921</v>
      </c>
      <c r="BJ23" s="193" t="s">
        <v>274</v>
      </c>
    </row>
    <row r="24" spans="1:62" s="59" customFormat="1" ht="19.5" customHeight="1" x14ac:dyDescent="0.25">
      <c r="A24" s="295"/>
      <c r="B24" s="539"/>
      <c r="C24" s="332"/>
      <c r="D24" s="289"/>
      <c r="E24" s="289"/>
      <c r="F24" s="332"/>
      <c r="G24" s="332"/>
      <c r="H24" s="289"/>
      <c r="I24" s="489"/>
      <c r="J24" s="489"/>
      <c r="K24" s="332"/>
      <c r="L24" s="289"/>
      <c r="M24" s="565"/>
      <c r="N24" s="332"/>
      <c r="O24" s="332"/>
      <c r="P24" s="565"/>
      <c r="Q24" s="491"/>
      <c r="R24" s="494"/>
      <c r="S24" s="495"/>
      <c r="T24" s="332"/>
      <c r="U24" s="135">
        <f t="shared" ref="U24:U26" si="29">IF(T24="Asignado",15,0)</f>
        <v>0</v>
      </c>
      <c r="V24" s="332"/>
      <c r="W24" s="135">
        <f t="shared" ref="W24:W26" si="30">IF(V24="Adecuado",15,0)</f>
        <v>0</v>
      </c>
      <c r="X24" s="332"/>
      <c r="Y24" s="135">
        <f t="shared" ref="Y24:Y26" si="31">IF(X24="Oportuna",15,0)</f>
        <v>0</v>
      </c>
      <c r="Z24" s="332"/>
      <c r="AA24" s="135">
        <f t="shared" ref="AA24:AA26" si="32">IF(Z24="Prevenir",15,IF(Z24="Detectar",10,0))</f>
        <v>0</v>
      </c>
      <c r="AB24" s="332"/>
      <c r="AC24" s="135">
        <f t="shared" ref="AC24:AC26" si="33">IF(AB24="Confiable",15,0)</f>
        <v>0</v>
      </c>
      <c r="AD24" s="332"/>
      <c r="AE24" s="135">
        <f t="shared" ref="AE24:AE26" si="34">IF(AD24="Se investigan y resuelven oportunamente",15,0)</f>
        <v>0</v>
      </c>
      <c r="AF24" s="332"/>
      <c r="AG24" s="135">
        <f t="shared" ref="AG24:AG26" si="35">IF(AF24="Completa",10,IF(AF24="incompleta",5,0))</f>
        <v>0</v>
      </c>
      <c r="AH24" s="487"/>
      <c r="AI24" s="487"/>
      <c r="AJ24" s="488"/>
      <c r="AK24" s="487"/>
      <c r="AL24" s="128" t="str">
        <f t="shared" ref="AL24:AL26" si="36">AI24&amp;AK24</f>
        <v/>
      </c>
      <c r="AM24" s="487"/>
      <c r="AN24" s="487"/>
      <c r="AO24" s="487"/>
      <c r="AP24" s="487"/>
      <c r="AQ24" s="488"/>
      <c r="AR24" s="488"/>
      <c r="AS24" s="487"/>
      <c r="AT24" s="487"/>
      <c r="AU24" s="487"/>
      <c r="AV24" s="332"/>
      <c r="AW24" s="332"/>
      <c r="AX24" s="565"/>
      <c r="AY24" s="501"/>
      <c r="AZ24" s="501"/>
      <c r="BA24" s="491"/>
      <c r="BB24" s="195"/>
      <c r="BC24" s="184"/>
      <c r="BD24" s="184"/>
      <c r="BE24" s="196"/>
      <c r="BF24" s="196"/>
      <c r="BG24" s="195"/>
      <c r="BH24" s="184"/>
      <c r="BI24" s="184"/>
      <c r="BJ24" s="196"/>
    </row>
    <row r="25" spans="1:62" s="59" customFormat="1" ht="19.5" customHeight="1" x14ac:dyDescent="0.25">
      <c r="A25" s="295"/>
      <c r="B25" s="539"/>
      <c r="C25" s="332"/>
      <c r="D25" s="289"/>
      <c r="E25" s="289"/>
      <c r="F25" s="332"/>
      <c r="G25" s="332"/>
      <c r="H25" s="289"/>
      <c r="I25" s="489"/>
      <c r="J25" s="489"/>
      <c r="K25" s="332"/>
      <c r="L25" s="289"/>
      <c r="M25" s="565"/>
      <c r="N25" s="332"/>
      <c r="O25" s="332"/>
      <c r="P25" s="565"/>
      <c r="Q25" s="491"/>
      <c r="R25" s="494"/>
      <c r="S25" s="495"/>
      <c r="T25" s="332"/>
      <c r="U25" s="135">
        <f t="shared" si="29"/>
        <v>0</v>
      </c>
      <c r="V25" s="332"/>
      <c r="W25" s="135">
        <f t="shared" si="30"/>
        <v>0</v>
      </c>
      <c r="X25" s="332"/>
      <c r="Y25" s="135">
        <f t="shared" si="31"/>
        <v>0</v>
      </c>
      <c r="Z25" s="332"/>
      <c r="AA25" s="135">
        <f t="shared" si="32"/>
        <v>0</v>
      </c>
      <c r="AB25" s="332"/>
      <c r="AC25" s="135">
        <f t="shared" si="33"/>
        <v>0</v>
      </c>
      <c r="AD25" s="332"/>
      <c r="AE25" s="135">
        <f t="shared" si="34"/>
        <v>0</v>
      </c>
      <c r="AF25" s="332"/>
      <c r="AG25" s="135">
        <f t="shared" si="35"/>
        <v>0</v>
      </c>
      <c r="AH25" s="487"/>
      <c r="AI25" s="487"/>
      <c r="AJ25" s="488"/>
      <c r="AK25" s="487"/>
      <c r="AL25" s="128" t="str">
        <f t="shared" si="36"/>
        <v/>
      </c>
      <c r="AM25" s="487"/>
      <c r="AN25" s="487"/>
      <c r="AO25" s="487"/>
      <c r="AP25" s="487"/>
      <c r="AQ25" s="488"/>
      <c r="AR25" s="488"/>
      <c r="AS25" s="487"/>
      <c r="AT25" s="487"/>
      <c r="AU25" s="487"/>
      <c r="AV25" s="332"/>
      <c r="AW25" s="332"/>
      <c r="AX25" s="565"/>
      <c r="AY25" s="501"/>
      <c r="AZ25" s="501"/>
      <c r="BA25" s="491"/>
      <c r="BB25" s="195"/>
      <c r="BC25" s="184"/>
      <c r="BD25" s="184"/>
      <c r="BE25" s="196"/>
      <c r="BF25" s="196"/>
      <c r="BG25" s="195"/>
      <c r="BH25" s="184"/>
      <c r="BI25" s="184"/>
      <c r="BJ25" s="196"/>
    </row>
    <row r="26" spans="1:62" s="59" customFormat="1" ht="19.5" customHeight="1" thickBot="1" x14ac:dyDescent="0.3">
      <c r="A26" s="295"/>
      <c r="B26" s="539"/>
      <c r="C26" s="332"/>
      <c r="D26" s="289"/>
      <c r="E26" s="289"/>
      <c r="F26" s="332"/>
      <c r="G26" s="332"/>
      <c r="H26" s="289"/>
      <c r="I26" s="489"/>
      <c r="J26" s="489"/>
      <c r="K26" s="258"/>
      <c r="L26" s="289"/>
      <c r="M26" s="565"/>
      <c r="N26" s="332"/>
      <c r="O26" s="332"/>
      <c r="P26" s="565"/>
      <c r="Q26" s="491"/>
      <c r="R26" s="496"/>
      <c r="S26" s="497"/>
      <c r="T26" s="258"/>
      <c r="U26" s="135">
        <f t="shared" si="29"/>
        <v>0</v>
      </c>
      <c r="V26" s="258"/>
      <c r="W26" s="135">
        <f t="shared" si="30"/>
        <v>0</v>
      </c>
      <c r="X26" s="258"/>
      <c r="Y26" s="135">
        <f t="shared" si="31"/>
        <v>0</v>
      </c>
      <c r="Z26" s="258"/>
      <c r="AA26" s="135">
        <f t="shared" si="32"/>
        <v>0</v>
      </c>
      <c r="AB26" s="258"/>
      <c r="AC26" s="135">
        <f t="shared" si="33"/>
        <v>0</v>
      </c>
      <c r="AD26" s="258"/>
      <c r="AE26" s="135">
        <f t="shared" si="34"/>
        <v>0</v>
      </c>
      <c r="AF26" s="258"/>
      <c r="AG26" s="135">
        <f t="shared" si="35"/>
        <v>0</v>
      </c>
      <c r="AH26" s="256"/>
      <c r="AI26" s="256"/>
      <c r="AJ26" s="273"/>
      <c r="AK26" s="256"/>
      <c r="AL26" s="128" t="str">
        <f t="shared" si="36"/>
        <v/>
      </c>
      <c r="AM26" s="256"/>
      <c r="AN26" s="256"/>
      <c r="AO26" s="487"/>
      <c r="AP26" s="487"/>
      <c r="AQ26" s="488"/>
      <c r="AR26" s="488"/>
      <c r="AS26" s="487"/>
      <c r="AT26" s="487"/>
      <c r="AU26" s="487"/>
      <c r="AV26" s="332"/>
      <c r="AW26" s="332"/>
      <c r="AX26" s="565"/>
      <c r="AY26" s="501"/>
      <c r="AZ26" s="455"/>
      <c r="BA26" s="491"/>
      <c r="BB26" s="197"/>
      <c r="BC26" s="172"/>
      <c r="BD26" s="172"/>
      <c r="BE26" s="198"/>
      <c r="BF26" s="198"/>
      <c r="BG26" s="197"/>
      <c r="BH26" s="172"/>
      <c r="BI26" s="172"/>
      <c r="BJ26" s="198"/>
    </row>
    <row r="27" spans="1:62" s="59" customFormat="1" ht="19.5" customHeight="1" x14ac:dyDescent="0.25">
      <c r="A27" s="295">
        <v>4</v>
      </c>
      <c r="B27" s="538" t="s">
        <v>30</v>
      </c>
      <c r="C27" s="331">
        <v>4</v>
      </c>
      <c r="D27" s="333" t="s">
        <v>930</v>
      </c>
      <c r="E27" s="333" t="s">
        <v>931</v>
      </c>
      <c r="F27" s="331" t="s">
        <v>31</v>
      </c>
      <c r="G27" s="331" t="s">
        <v>63</v>
      </c>
      <c r="H27" s="333" t="s">
        <v>901</v>
      </c>
      <c r="I27" s="390" t="s">
        <v>51</v>
      </c>
      <c r="J27" s="390" t="s">
        <v>932</v>
      </c>
      <c r="K27" s="331" t="s">
        <v>902</v>
      </c>
      <c r="L27" s="331" t="s">
        <v>933</v>
      </c>
      <c r="M27" s="254" t="str">
        <f t="shared" ref="M27" si="37">IF(F27="gestion","impacto",IF(F27="corrupcion","impactocorrupcion",IF(F27="seguridad_de_la_informacion","impacto","")))</f>
        <v>impacto</v>
      </c>
      <c r="N27" s="331" t="s">
        <v>42</v>
      </c>
      <c r="O27" s="331" t="s">
        <v>28</v>
      </c>
      <c r="P27" s="254" t="str">
        <f t="shared" ref="P27" si="38">N27&amp;O27</f>
        <v>ProbableMenor</v>
      </c>
      <c r="Q27" s="337" t="str">
        <f>IFERROR(VLOOKUP(P27,[11]FORMULAS!$B$38:$C$62,2,FALSE),"")</f>
        <v>Riesgo alto</v>
      </c>
      <c r="R27" s="492" t="s">
        <v>904</v>
      </c>
      <c r="S27" s="493"/>
      <c r="T27" s="331" t="s">
        <v>147</v>
      </c>
      <c r="U27" s="135">
        <f>IF(T27="Asignado",15,0)</f>
        <v>15</v>
      </c>
      <c r="V27" s="331" t="s">
        <v>148</v>
      </c>
      <c r="W27" s="135">
        <f>IF(V27="Adecuado",15,0)</f>
        <v>15</v>
      </c>
      <c r="X27" s="331" t="s">
        <v>149</v>
      </c>
      <c r="Y27" s="135">
        <f>IF(X27="Oportuna",15,0)</f>
        <v>15</v>
      </c>
      <c r="Z27" s="331" t="s">
        <v>150</v>
      </c>
      <c r="AA27" s="135">
        <f>IF(Z27="Prevenir",15,IF(Z27="Detectar",10,0))</f>
        <v>15</v>
      </c>
      <c r="AB27" s="331" t="s">
        <v>151</v>
      </c>
      <c r="AC27" s="135">
        <f>IF(AB27="Confiable",15,0)</f>
        <v>15</v>
      </c>
      <c r="AD27" s="331" t="s">
        <v>152</v>
      </c>
      <c r="AE27" s="135">
        <f>IF(AD27="Se investigan y resuelven oportunamente",15,0)</f>
        <v>15</v>
      </c>
      <c r="AF27" s="331" t="s">
        <v>153</v>
      </c>
      <c r="AG27" s="135">
        <f>IF(AF27="Completa",10,IF(AF27="incompleta",5,0))</f>
        <v>10</v>
      </c>
      <c r="AH27" s="300">
        <f t="shared" ref="AH27:AH35" si="39">U27+W27+Y27+AA27+AC27+AE27+AG27</f>
        <v>100</v>
      </c>
      <c r="AI27" s="300" t="str">
        <f>IF(AH27&gt;=96,"Fuerte",IF(AH27&gt;=86,"Moderado",IF(AH27&gt;=1,"Débil","")))</f>
        <v>Fuerte</v>
      </c>
      <c r="AJ27" s="301" t="s">
        <v>154</v>
      </c>
      <c r="AK27" s="300" t="str">
        <f>IF(AJ27="Siempre se ejecuta","Fuerte",IF(AJ27="Algunas veces","Moderado",IF(AJ27="no se ejecuta","Débil","")))</f>
        <v>Fuerte</v>
      </c>
      <c r="AL27" s="128" t="str">
        <f>AI27&amp;AK27</f>
        <v>FuerteFuerte</v>
      </c>
      <c r="AM27" s="300" t="str">
        <f>IFERROR(VLOOKUP(AL27,[11]FORMULAS!$B$70:$D$78,3,FALSE),"")</f>
        <v>Fuerte</v>
      </c>
      <c r="AN27" s="300">
        <f>IF(AM27="fuerte",100,IF(AM27="Moderado",50,IF(AM27="débil",0,"")))</f>
        <v>100</v>
      </c>
      <c r="AO27" s="271">
        <f>IFERROR(AVERAGE(AN27:AN30),0)</f>
        <v>100</v>
      </c>
      <c r="AQ27" s="271" t="str">
        <f>IF(AO27&gt;=100,"Fuerte",IF(AO27&gt;=50,"Moderado",IF(AO27&gt;=1,"Débil","")))</f>
        <v>Fuerte</v>
      </c>
      <c r="AR27" s="139" t="s">
        <v>92</v>
      </c>
      <c r="AS27" s="139" t="s">
        <v>94</v>
      </c>
      <c r="AT27" s="128" t="str">
        <f>+AQ27&amp;AR27&amp;AS27</f>
        <v>FuerteDirectamenteIndirectamente</v>
      </c>
      <c r="AU27" s="128">
        <f>IFERROR(VLOOKUP(AT27,[11]FORMULAS!$B$95:$D$102,2,FALSE),0)</f>
        <v>2</v>
      </c>
      <c r="AV27" s="128">
        <f>IFERROR(VLOOKUP(AT27,[11]FORMULAS!$B$95:$D$102,3,FALSE),0)</f>
        <v>1</v>
      </c>
      <c r="AW27" s="163" t="s">
        <v>15</v>
      </c>
      <c r="AX27" s="163" t="s">
        <v>28</v>
      </c>
      <c r="AY27" s="135" t="str">
        <f>AW27&amp;AX27</f>
        <v>Rara vezMenor</v>
      </c>
      <c r="AZ27" s="336" t="str">
        <f>IFERROR(VLOOKUP(AY27,[11]FORMULAS!$B$38:$C$62,2,FALSE),"")</f>
        <v>Riesgo bajo</v>
      </c>
      <c r="BA27" s="162" t="s">
        <v>19</v>
      </c>
      <c r="BB27" s="194" t="s">
        <v>905</v>
      </c>
      <c r="BC27" s="162" t="s">
        <v>906</v>
      </c>
      <c r="BD27" s="162" t="s">
        <v>907</v>
      </c>
      <c r="BE27" s="193" t="s">
        <v>329</v>
      </c>
      <c r="BF27" s="193" t="s">
        <v>908</v>
      </c>
      <c r="BG27" s="194" t="s">
        <v>909</v>
      </c>
      <c r="BH27" s="162" t="s">
        <v>910</v>
      </c>
      <c r="BI27" s="162" t="s">
        <v>911</v>
      </c>
      <c r="BJ27" s="193" t="s">
        <v>274</v>
      </c>
    </row>
    <row r="28" spans="1:62" s="59" customFormat="1" ht="19.5" customHeight="1" x14ac:dyDescent="0.25">
      <c r="A28" s="295"/>
      <c r="B28" s="539"/>
      <c r="C28" s="332"/>
      <c r="D28" s="289"/>
      <c r="E28" s="289"/>
      <c r="F28" s="332"/>
      <c r="G28" s="332"/>
      <c r="H28" s="289"/>
      <c r="I28" s="489"/>
      <c r="J28" s="489"/>
      <c r="K28" s="332"/>
      <c r="L28" s="332"/>
      <c r="M28" s="254"/>
      <c r="N28" s="332"/>
      <c r="O28" s="332"/>
      <c r="P28" s="254"/>
      <c r="Q28" s="491"/>
      <c r="R28" s="494"/>
      <c r="S28" s="495"/>
      <c r="T28" s="332"/>
      <c r="U28" s="135">
        <f t="shared" ref="U28:U30" si="40">IF(T28="Asignado",15,0)</f>
        <v>0</v>
      </c>
      <c r="V28" s="332"/>
      <c r="W28" s="135">
        <f t="shared" ref="W28:W30" si="41">IF(V28="Adecuado",15,0)</f>
        <v>0</v>
      </c>
      <c r="X28" s="332"/>
      <c r="Y28" s="135">
        <f t="shared" ref="Y28:Y30" si="42">IF(X28="Oportuna",15,0)</f>
        <v>0</v>
      </c>
      <c r="Z28" s="332"/>
      <c r="AA28" s="135">
        <f t="shared" ref="AA28:AA30" si="43">IF(Z28="Prevenir",15,IF(Z28="Detectar",10,0))</f>
        <v>0</v>
      </c>
      <c r="AB28" s="332"/>
      <c r="AC28" s="135">
        <f t="shared" ref="AC28:AC30" si="44">IF(AB28="Confiable",15,0)</f>
        <v>0</v>
      </c>
      <c r="AD28" s="332"/>
      <c r="AE28" s="135">
        <f t="shared" ref="AE28:AE30" si="45">IF(AD28="Se investigan y resuelven oportunamente",15,0)</f>
        <v>0</v>
      </c>
      <c r="AF28" s="332"/>
      <c r="AG28" s="135">
        <f t="shared" ref="AG28:AG30" si="46">IF(AF28="Completa",10,IF(AF28="incompleta",5,0))</f>
        <v>0</v>
      </c>
      <c r="AH28" s="487"/>
      <c r="AI28" s="487"/>
      <c r="AJ28" s="488"/>
      <c r="AK28" s="487"/>
      <c r="AL28" s="128" t="str">
        <f t="shared" ref="AL28:AL30" si="47">AI28&amp;AK28</f>
        <v/>
      </c>
      <c r="AM28" s="487"/>
      <c r="AN28" s="487"/>
      <c r="AO28" s="271"/>
      <c r="AQ28" s="271"/>
      <c r="AR28" s="139"/>
      <c r="AS28" s="139"/>
      <c r="AT28" s="128"/>
      <c r="AU28" s="128"/>
      <c r="AV28" s="128"/>
      <c r="AW28" s="185"/>
      <c r="AX28" s="185"/>
      <c r="AY28" s="135"/>
      <c r="AZ28" s="501"/>
      <c r="BA28" s="184"/>
      <c r="BB28" s="195"/>
      <c r="BC28" s="184"/>
      <c r="BD28" s="184"/>
      <c r="BE28" s="196"/>
      <c r="BF28" s="196"/>
      <c r="BG28" s="195"/>
      <c r="BH28" s="184"/>
      <c r="BI28" s="184"/>
      <c r="BJ28" s="196"/>
    </row>
    <row r="29" spans="1:62" s="59" customFormat="1" ht="19.5" customHeight="1" x14ac:dyDescent="0.25">
      <c r="A29" s="295"/>
      <c r="B29" s="539"/>
      <c r="C29" s="332"/>
      <c r="D29" s="289"/>
      <c r="E29" s="289"/>
      <c r="F29" s="332"/>
      <c r="G29" s="332"/>
      <c r="H29" s="289"/>
      <c r="I29" s="489"/>
      <c r="J29" s="489"/>
      <c r="K29" s="332"/>
      <c r="L29" s="332"/>
      <c r="M29" s="254"/>
      <c r="N29" s="332"/>
      <c r="O29" s="332"/>
      <c r="P29" s="254"/>
      <c r="Q29" s="491"/>
      <c r="R29" s="494"/>
      <c r="S29" s="495"/>
      <c r="T29" s="332"/>
      <c r="U29" s="135">
        <f t="shared" si="40"/>
        <v>0</v>
      </c>
      <c r="V29" s="332"/>
      <c r="W29" s="135">
        <f t="shared" si="41"/>
        <v>0</v>
      </c>
      <c r="X29" s="332"/>
      <c r="Y29" s="135">
        <f t="shared" si="42"/>
        <v>0</v>
      </c>
      <c r="Z29" s="332"/>
      <c r="AA29" s="135">
        <f t="shared" si="43"/>
        <v>0</v>
      </c>
      <c r="AB29" s="332"/>
      <c r="AC29" s="135">
        <f t="shared" si="44"/>
        <v>0</v>
      </c>
      <c r="AD29" s="332"/>
      <c r="AE29" s="135">
        <f t="shared" si="45"/>
        <v>0</v>
      </c>
      <c r="AF29" s="332"/>
      <c r="AG29" s="135">
        <f t="shared" si="46"/>
        <v>0</v>
      </c>
      <c r="AH29" s="487"/>
      <c r="AI29" s="487"/>
      <c r="AJ29" s="488"/>
      <c r="AK29" s="487"/>
      <c r="AL29" s="128" t="str">
        <f t="shared" si="47"/>
        <v/>
      </c>
      <c r="AM29" s="487"/>
      <c r="AN29" s="487"/>
      <c r="AO29" s="271"/>
      <c r="AQ29" s="271"/>
      <c r="AR29" s="139"/>
      <c r="AS29" s="139"/>
      <c r="AT29" s="128"/>
      <c r="AU29" s="128"/>
      <c r="AV29" s="128"/>
      <c r="AW29" s="185"/>
      <c r="AX29" s="185"/>
      <c r="AY29" s="135"/>
      <c r="AZ29" s="501"/>
      <c r="BA29" s="184"/>
      <c r="BB29" s="195"/>
      <c r="BC29" s="184"/>
      <c r="BD29" s="184"/>
      <c r="BE29" s="196"/>
      <c r="BF29" s="196"/>
      <c r="BG29" s="195"/>
      <c r="BH29" s="184"/>
      <c r="BI29" s="184"/>
      <c r="BJ29" s="196"/>
    </row>
    <row r="30" spans="1:62" s="59" customFormat="1" ht="19.5" customHeight="1" x14ac:dyDescent="0.25">
      <c r="A30" s="295"/>
      <c r="B30" s="539"/>
      <c r="C30" s="332"/>
      <c r="D30" s="289"/>
      <c r="E30" s="289"/>
      <c r="F30" s="332"/>
      <c r="G30" s="332"/>
      <c r="H30" s="289"/>
      <c r="I30" s="489"/>
      <c r="J30" s="489"/>
      <c r="K30" s="258"/>
      <c r="L30" s="332"/>
      <c r="M30" s="254"/>
      <c r="N30" s="332"/>
      <c r="O30" s="332"/>
      <c r="P30" s="254"/>
      <c r="Q30" s="491"/>
      <c r="R30" s="496"/>
      <c r="S30" s="497"/>
      <c r="T30" s="258"/>
      <c r="U30" s="135">
        <f t="shared" si="40"/>
        <v>0</v>
      </c>
      <c r="V30" s="258"/>
      <c r="W30" s="135">
        <f t="shared" si="41"/>
        <v>0</v>
      </c>
      <c r="X30" s="258"/>
      <c r="Y30" s="135">
        <f t="shared" si="42"/>
        <v>0</v>
      </c>
      <c r="Z30" s="258"/>
      <c r="AA30" s="135">
        <f t="shared" si="43"/>
        <v>0</v>
      </c>
      <c r="AB30" s="258"/>
      <c r="AC30" s="135">
        <f t="shared" si="44"/>
        <v>0</v>
      </c>
      <c r="AD30" s="258"/>
      <c r="AE30" s="135">
        <f t="shared" si="45"/>
        <v>0</v>
      </c>
      <c r="AF30" s="258"/>
      <c r="AG30" s="135">
        <f t="shared" si="46"/>
        <v>0</v>
      </c>
      <c r="AH30" s="256"/>
      <c r="AI30" s="256"/>
      <c r="AJ30" s="273"/>
      <c r="AK30" s="256"/>
      <c r="AL30" s="128" t="str">
        <f t="shared" si="47"/>
        <v/>
      </c>
      <c r="AM30" s="256"/>
      <c r="AN30" s="256"/>
      <c r="AO30" s="271"/>
      <c r="AQ30" s="271"/>
      <c r="AR30" s="139"/>
      <c r="AS30" s="139"/>
      <c r="AT30" s="128"/>
      <c r="AU30" s="128"/>
      <c r="AV30" s="128"/>
      <c r="AW30" s="185"/>
      <c r="AX30" s="185"/>
      <c r="AY30" s="135"/>
      <c r="AZ30" s="501"/>
      <c r="BA30" s="184"/>
      <c r="BB30" s="197"/>
      <c r="BC30" s="172"/>
      <c r="BD30" s="172"/>
      <c r="BE30" s="198"/>
      <c r="BF30" s="198"/>
      <c r="BG30" s="197"/>
      <c r="BH30" s="172"/>
      <c r="BI30" s="172"/>
      <c r="BJ30" s="198"/>
    </row>
    <row r="31" spans="1:62" s="59" customFormat="1" ht="19.5" customHeight="1" x14ac:dyDescent="0.25">
      <c r="A31" s="295"/>
      <c r="B31" s="539"/>
      <c r="C31" s="332"/>
      <c r="D31" s="289"/>
      <c r="E31" s="289"/>
      <c r="F31" s="332"/>
      <c r="G31" s="332"/>
      <c r="H31" s="289"/>
      <c r="I31" s="489"/>
      <c r="J31" s="489"/>
      <c r="K31" s="331" t="s">
        <v>912</v>
      </c>
      <c r="L31" s="332"/>
      <c r="M31" s="254" t="str">
        <f t="shared" ref="M31" si="48">IF(F31="gestion","impacto",IF(F31="corrupcion","impactocorrupcion",IF(F31="seguridad_de_la_informacion","impacto","")))</f>
        <v/>
      </c>
      <c r="N31" s="332"/>
      <c r="O31" s="332"/>
      <c r="P31" s="254" t="str">
        <f t="shared" ref="P31" si="49">N31&amp;O31</f>
        <v/>
      </c>
      <c r="Q31" s="491"/>
      <c r="R31" s="492" t="s">
        <v>913</v>
      </c>
      <c r="S31" s="493"/>
      <c r="T31" s="331" t="s">
        <v>147</v>
      </c>
      <c r="U31" s="135">
        <f>IF(T31="Asignado",15,0)</f>
        <v>15</v>
      </c>
      <c r="V31" s="331" t="s">
        <v>148</v>
      </c>
      <c r="W31" s="135">
        <f>IF(V31="Adecuado",15,0)</f>
        <v>15</v>
      </c>
      <c r="X31" s="331" t="s">
        <v>149</v>
      </c>
      <c r="Y31" s="135">
        <f>IF(X31="Oportuna",15,0)</f>
        <v>15</v>
      </c>
      <c r="Z31" s="331" t="s">
        <v>150</v>
      </c>
      <c r="AA31" s="135">
        <f>IF(Z31="Prevenir",15,IF(Z31="Detectar",10,0))</f>
        <v>15</v>
      </c>
      <c r="AB31" s="331" t="s">
        <v>151</v>
      </c>
      <c r="AC31" s="135">
        <f>IF(AB31="Confiable",15,0)</f>
        <v>15</v>
      </c>
      <c r="AD31" s="331" t="s">
        <v>152</v>
      </c>
      <c r="AE31" s="135">
        <f>IF(AD31="Se investigan y resuelven oportunamente",15,0)</f>
        <v>15</v>
      </c>
      <c r="AF31" s="331" t="s">
        <v>153</v>
      </c>
      <c r="AG31" s="135">
        <f>IF(AF31="Completa",10,IF(AF31="incompleta",5,0))</f>
        <v>10</v>
      </c>
      <c r="AH31" s="300">
        <f t="shared" si="39"/>
        <v>100</v>
      </c>
      <c r="AI31" s="300" t="str">
        <f>IF(AH31&gt;=96,"Fuerte",IF(AH31&gt;=86,"Moderado",IF(AH31&gt;=1,"Débil","")))</f>
        <v>Fuerte</v>
      </c>
      <c r="AJ31" s="301" t="s">
        <v>154</v>
      </c>
      <c r="AK31" s="300" t="str">
        <f>IF(AJ31="Siempre se ejecuta","Fuerte",IF(AJ31="Algunas veces","Moderado",IF(AJ31="no se ejecuta","Débil","")))</f>
        <v>Fuerte</v>
      </c>
      <c r="AL31" s="128" t="str">
        <f>AI31&amp;AK31</f>
        <v>FuerteFuerte</v>
      </c>
      <c r="AM31" s="300" t="str">
        <f>IFERROR(VLOOKUP(AL31,[11]FORMULAS!$B$70:$D$78,3,FALSE),"")</f>
        <v>Fuerte</v>
      </c>
      <c r="AN31" s="300">
        <f>IF(AM31="fuerte",100,IF(AM31="Moderado",50,IF(AM31="débil",0,"")))</f>
        <v>100</v>
      </c>
      <c r="AO31" s="271">
        <f>IFERROR(AVERAGE(AN31:AN34),0)</f>
        <v>100</v>
      </c>
      <c r="AQ31" s="271" t="str">
        <f>IF(AO31&gt;=100,"Fuerte",IF(AO31&gt;=50,"Moderado",IF(AO31&gt;=1,"Débil","")))</f>
        <v>Fuerte</v>
      </c>
      <c r="AR31" s="139" t="s">
        <v>92</v>
      </c>
      <c r="AS31" s="139" t="s">
        <v>94</v>
      </c>
      <c r="AT31" s="128" t="str">
        <f>+AQ31&amp;AR31&amp;AS31</f>
        <v>FuerteDirectamenteIndirectamente</v>
      </c>
      <c r="AU31" s="128">
        <f>IFERROR(VLOOKUP(AT31,[11]FORMULAS!$B$95:$D$102,2,FALSE),0)</f>
        <v>2</v>
      </c>
      <c r="AV31" s="128">
        <f>IFERROR(VLOOKUP(AT31,[11]FORMULAS!$B$95:$D$102,3,FALSE),0)</f>
        <v>1</v>
      </c>
      <c r="AW31" s="185"/>
      <c r="AX31" s="185"/>
      <c r="AY31" s="135" t="str">
        <f>AW31&amp;AX31</f>
        <v/>
      </c>
      <c r="AZ31" s="501"/>
      <c r="BA31" s="184"/>
      <c r="BB31" s="194" t="s">
        <v>914</v>
      </c>
      <c r="BC31" s="162" t="s">
        <v>915</v>
      </c>
      <c r="BD31" s="162" t="s">
        <v>916</v>
      </c>
      <c r="BE31" s="193" t="s">
        <v>917</v>
      </c>
      <c r="BF31" s="193" t="s">
        <v>918</v>
      </c>
      <c r="BG31" s="194" t="s">
        <v>919</v>
      </c>
      <c r="BH31" s="162" t="s">
        <v>920</v>
      </c>
      <c r="BI31" s="162" t="s">
        <v>921</v>
      </c>
      <c r="BJ31" s="193" t="s">
        <v>274</v>
      </c>
    </row>
    <row r="32" spans="1:62" s="59" customFormat="1" ht="19.5" customHeight="1" x14ac:dyDescent="0.25">
      <c r="A32" s="295"/>
      <c r="B32" s="539"/>
      <c r="C32" s="332"/>
      <c r="D32" s="289"/>
      <c r="E32" s="289"/>
      <c r="F32" s="332"/>
      <c r="G32" s="332"/>
      <c r="H32" s="289"/>
      <c r="I32" s="489"/>
      <c r="J32" s="489"/>
      <c r="K32" s="332"/>
      <c r="L32" s="332"/>
      <c r="M32" s="254"/>
      <c r="N32" s="332"/>
      <c r="O32" s="332"/>
      <c r="P32" s="254"/>
      <c r="Q32" s="491"/>
      <c r="R32" s="494"/>
      <c r="S32" s="495"/>
      <c r="T32" s="332"/>
      <c r="U32" s="135">
        <f t="shared" ref="U32:U34" si="50">IF(T32="Asignado",15,0)</f>
        <v>0</v>
      </c>
      <c r="V32" s="332"/>
      <c r="W32" s="135">
        <f t="shared" ref="W32:W34" si="51">IF(V32="Adecuado",15,0)</f>
        <v>0</v>
      </c>
      <c r="X32" s="332"/>
      <c r="Y32" s="135">
        <f t="shared" ref="Y32:Y34" si="52">IF(X32="Oportuna",15,0)</f>
        <v>0</v>
      </c>
      <c r="Z32" s="332"/>
      <c r="AA32" s="135">
        <f t="shared" ref="AA32:AA34" si="53">IF(Z32="Prevenir",15,IF(Z32="Detectar",10,0))</f>
        <v>0</v>
      </c>
      <c r="AB32" s="332"/>
      <c r="AC32" s="135">
        <f t="shared" ref="AC32:AC34" si="54">IF(AB32="Confiable",15,0)</f>
        <v>0</v>
      </c>
      <c r="AD32" s="332"/>
      <c r="AE32" s="135">
        <f t="shared" ref="AE32:AE34" si="55">IF(AD32="Se investigan y resuelven oportunamente",15,0)</f>
        <v>0</v>
      </c>
      <c r="AF32" s="332"/>
      <c r="AG32" s="135">
        <f t="shared" ref="AG32:AG34" si="56">IF(AF32="Completa",10,IF(AF32="incompleta",5,0))</f>
        <v>0</v>
      </c>
      <c r="AH32" s="487"/>
      <c r="AI32" s="487"/>
      <c r="AJ32" s="488"/>
      <c r="AK32" s="487"/>
      <c r="AL32" s="128" t="str">
        <f t="shared" ref="AL32:AL34" si="57">AI32&amp;AK32</f>
        <v/>
      </c>
      <c r="AM32" s="487"/>
      <c r="AN32" s="487"/>
      <c r="AO32" s="271"/>
      <c r="AQ32" s="271"/>
      <c r="AR32" s="139"/>
      <c r="AS32" s="139"/>
      <c r="AT32" s="128"/>
      <c r="AU32" s="128"/>
      <c r="AV32" s="128"/>
      <c r="AW32" s="185"/>
      <c r="AX32" s="185"/>
      <c r="AY32" s="135"/>
      <c r="AZ32" s="501"/>
      <c r="BA32" s="184"/>
      <c r="BB32" s="195"/>
      <c r="BC32" s="184"/>
      <c r="BD32" s="184"/>
      <c r="BE32" s="196"/>
      <c r="BF32" s="196"/>
      <c r="BG32" s="195"/>
      <c r="BH32" s="184"/>
      <c r="BI32" s="184"/>
      <c r="BJ32" s="196"/>
    </row>
    <row r="33" spans="1:62" s="59" customFormat="1" ht="19.5" customHeight="1" x14ac:dyDescent="0.25">
      <c r="A33" s="295"/>
      <c r="B33" s="539"/>
      <c r="C33" s="332"/>
      <c r="D33" s="289"/>
      <c r="E33" s="289"/>
      <c r="F33" s="332"/>
      <c r="G33" s="332"/>
      <c r="H33" s="289"/>
      <c r="I33" s="489"/>
      <c r="J33" s="489"/>
      <c r="K33" s="332"/>
      <c r="L33" s="332"/>
      <c r="M33" s="254"/>
      <c r="N33" s="332"/>
      <c r="O33" s="332"/>
      <c r="P33" s="254"/>
      <c r="Q33" s="491"/>
      <c r="R33" s="494"/>
      <c r="S33" s="495"/>
      <c r="T33" s="332"/>
      <c r="U33" s="135">
        <f t="shared" si="50"/>
        <v>0</v>
      </c>
      <c r="V33" s="332"/>
      <c r="W33" s="135">
        <f t="shared" si="51"/>
        <v>0</v>
      </c>
      <c r="X33" s="332"/>
      <c r="Y33" s="135">
        <f t="shared" si="52"/>
        <v>0</v>
      </c>
      <c r="Z33" s="332"/>
      <c r="AA33" s="135">
        <f t="shared" si="53"/>
        <v>0</v>
      </c>
      <c r="AB33" s="332"/>
      <c r="AC33" s="135">
        <f t="shared" si="54"/>
        <v>0</v>
      </c>
      <c r="AD33" s="332"/>
      <c r="AE33" s="135">
        <f t="shared" si="55"/>
        <v>0</v>
      </c>
      <c r="AF33" s="332"/>
      <c r="AG33" s="135">
        <f t="shared" si="56"/>
        <v>0</v>
      </c>
      <c r="AH33" s="487"/>
      <c r="AI33" s="487"/>
      <c r="AJ33" s="488"/>
      <c r="AK33" s="487"/>
      <c r="AL33" s="128" t="str">
        <f t="shared" si="57"/>
        <v/>
      </c>
      <c r="AM33" s="487"/>
      <c r="AN33" s="487"/>
      <c r="AO33" s="271"/>
      <c r="AQ33" s="271"/>
      <c r="AR33" s="139"/>
      <c r="AS33" s="139"/>
      <c r="AT33" s="128"/>
      <c r="AU33" s="128"/>
      <c r="AV33" s="128"/>
      <c r="AW33" s="185"/>
      <c r="AX33" s="185"/>
      <c r="AY33" s="135"/>
      <c r="AZ33" s="501"/>
      <c r="BA33" s="184"/>
      <c r="BB33" s="195"/>
      <c r="BC33" s="184"/>
      <c r="BD33" s="184"/>
      <c r="BE33" s="196"/>
      <c r="BF33" s="196"/>
      <c r="BG33" s="195"/>
      <c r="BH33" s="184"/>
      <c r="BI33" s="184"/>
      <c r="BJ33" s="196"/>
    </row>
    <row r="34" spans="1:62" s="59" customFormat="1" ht="19.5" customHeight="1" x14ac:dyDescent="0.25">
      <c r="A34" s="295"/>
      <c r="B34" s="539"/>
      <c r="C34" s="332"/>
      <c r="D34" s="289"/>
      <c r="E34" s="289"/>
      <c r="F34" s="332"/>
      <c r="G34" s="332"/>
      <c r="H34" s="289"/>
      <c r="I34" s="489"/>
      <c r="J34" s="489"/>
      <c r="K34" s="258"/>
      <c r="L34" s="332"/>
      <c r="M34" s="254"/>
      <c r="N34" s="332"/>
      <c r="O34" s="332"/>
      <c r="P34" s="254"/>
      <c r="Q34" s="491"/>
      <c r="R34" s="496"/>
      <c r="S34" s="497"/>
      <c r="T34" s="258"/>
      <c r="U34" s="135">
        <f t="shared" si="50"/>
        <v>0</v>
      </c>
      <c r="V34" s="258"/>
      <c r="W34" s="135">
        <f t="shared" si="51"/>
        <v>0</v>
      </c>
      <c r="X34" s="258"/>
      <c r="Y34" s="135">
        <f t="shared" si="52"/>
        <v>0</v>
      </c>
      <c r="Z34" s="258"/>
      <c r="AA34" s="135">
        <f t="shared" si="53"/>
        <v>0</v>
      </c>
      <c r="AB34" s="258"/>
      <c r="AC34" s="135">
        <f t="shared" si="54"/>
        <v>0</v>
      </c>
      <c r="AD34" s="258"/>
      <c r="AE34" s="135">
        <f t="shared" si="55"/>
        <v>0</v>
      </c>
      <c r="AF34" s="258"/>
      <c r="AG34" s="135">
        <f t="shared" si="56"/>
        <v>0</v>
      </c>
      <c r="AH34" s="256"/>
      <c r="AI34" s="256"/>
      <c r="AJ34" s="273"/>
      <c r="AK34" s="256"/>
      <c r="AL34" s="128" t="str">
        <f t="shared" si="57"/>
        <v/>
      </c>
      <c r="AM34" s="256"/>
      <c r="AN34" s="256"/>
      <c r="AO34" s="271"/>
      <c r="AQ34" s="271"/>
      <c r="AR34" s="139"/>
      <c r="AS34" s="139"/>
      <c r="AT34" s="128"/>
      <c r="AU34" s="128"/>
      <c r="AV34" s="128"/>
      <c r="AW34" s="185"/>
      <c r="AX34" s="185"/>
      <c r="AY34" s="135"/>
      <c r="AZ34" s="501"/>
      <c r="BA34" s="184"/>
      <c r="BB34" s="197"/>
      <c r="BC34" s="172"/>
      <c r="BD34" s="172"/>
      <c r="BE34" s="198"/>
      <c r="BF34" s="198"/>
      <c r="BG34" s="197"/>
      <c r="BH34" s="172"/>
      <c r="BI34" s="172"/>
      <c r="BJ34" s="198"/>
    </row>
    <row r="35" spans="1:62" s="59" customFormat="1" ht="19.5" customHeight="1" x14ac:dyDescent="0.25">
      <c r="A35" s="295"/>
      <c r="B35" s="539"/>
      <c r="C35" s="332"/>
      <c r="D35" s="289"/>
      <c r="E35" s="289"/>
      <c r="F35" s="332"/>
      <c r="G35" s="332"/>
      <c r="H35" s="289"/>
      <c r="I35" s="489"/>
      <c r="J35" s="489"/>
      <c r="K35" s="331" t="s">
        <v>922</v>
      </c>
      <c r="L35" s="332"/>
      <c r="M35" s="254" t="str">
        <f t="shared" ref="M35" si="58">IF(F35="gestion","impacto",IF(F35="corrupcion","impactocorrupcion",IF(F35="seguridad_de_la_informacion","impacto","")))</f>
        <v/>
      </c>
      <c r="N35" s="332"/>
      <c r="O35" s="332"/>
      <c r="P35" s="254" t="str">
        <f t="shared" ref="P35" si="59">N35&amp;O35</f>
        <v/>
      </c>
      <c r="Q35" s="491"/>
      <c r="R35" s="492" t="s">
        <v>923</v>
      </c>
      <c r="S35" s="493"/>
      <c r="T35" s="331" t="s">
        <v>147</v>
      </c>
      <c r="U35" s="135">
        <f>IF(T35="Asignado",15,0)</f>
        <v>15</v>
      </c>
      <c r="V35" s="331" t="s">
        <v>148</v>
      </c>
      <c r="W35" s="135">
        <f>IF(V35="Adecuado",15,0)</f>
        <v>15</v>
      </c>
      <c r="X35" s="331" t="s">
        <v>149</v>
      </c>
      <c r="Y35" s="135">
        <f>IF(X35="Oportuna",15,0)</f>
        <v>15</v>
      </c>
      <c r="Z35" s="331" t="s">
        <v>150</v>
      </c>
      <c r="AA35" s="135">
        <f>IF(Z35="Prevenir",15,IF(Z35="Detectar",10,0))</f>
        <v>15</v>
      </c>
      <c r="AB35" s="331" t="s">
        <v>151</v>
      </c>
      <c r="AC35" s="135">
        <f>IF(AB35="Confiable",15,0)</f>
        <v>15</v>
      </c>
      <c r="AD35" s="331" t="s">
        <v>152</v>
      </c>
      <c r="AE35" s="135">
        <f>IF(AD35="Se investigan y resuelven oportunamente",15,0)</f>
        <v>15</v>
      </c>
      <c r="AF35" s="331" t="s">
        <v>153</v>
      </c>
      <c r="AG35" s="135">
        <f>IF(AF35="Completa",10,IF(AF35="incompleta",5,0))</f>
        <v>10</v>
      </c>
      <c r="AH35" s="300">
        <f t="shared" si="39"/>
        <v>100</v>
      </c>
      <c r="AI35" s="300" t="str">
        <f>IF(AH35&gt;=96,"Fuerte",IF(AH35&gt;=86,"Moderado",IF(AH35&gt;=1,"Débil","")))</f>
        <v>Fuerte</v>
      </c>
      <c r="AJ35" s="301" t="s">
        <v>154</v>
      </c>
      <c r="AK35" s="300" t="str">
        <f>IF(AJ35="Siempre se ejecuta","Fuerte",IF(AJ35="Algunas veces","Moderado",IF(AJ35="no se ejecuta","Débil","")))</f>
        <v>Fuerte</v>
      </c>
      <c r="AL35" s="128" t="str">
        <f>AI35&amp;AK35</f>
        <v>FuerteFuerte</v>
      </c>
      <c r="AM35" s="300" t="str">
        <f>IFERROR(VLOOKUP(AL35,[11]FORMULAS!$B$70:$D$78,3,FALSE),"")</f>
        <v>Fuerte</v>
      </c>
      <c r="AN35" s="300">
        <f>IF(AM35="fuerte",100,IF(AM35="Moderado",50,IF(AM35="débil",0,"")))</f>
        <v>100</v>
      </c>
      <c r="AO35" s="271">
        <f>IFERROR(AVERAGE(AN35:AN38),0)</f>
        <v>100</v>
      </c>
      <c r="AQ35" s="271" t="str">
        <f>IF(AO35&gt;=100,"Fuerte",IF(AO35&gt;=50,"Moderado",IF(AO35&gt;=1,"Débil","")))</f>
        <v>Fuerte</v>
      </c>
      <c r="AR35" s="139" t="s">
        <v>92</v>
      </c>
      <c r="AS35" s="139" t="s">
        <v>94</v>
      </c>
      <c r="AT35" s="128" t="str">
        <f>+AQ35&amp;AR35&amp;AS35</f>
        <v>FuerteDirectamenteIndirectamente</v>
      </c>
      <c r="AU35" s="128">
        <f>IFERROR(VLOOKUP(AT35,[11]FORMULAS!$B$95:$D$102,2,FALSE),0)</f>
        <v>2</v>
      </c>
      <c r="AV35" s="128">
        <f>IFERROR(VLOOKUP(AT35,[11]FORMULAS!$B$95:$D$102,3,FALSE),0)</f>
        <v>1</v>
      </c>
      <c r="AW35" s="185"/>
      <c r="AX35" s="185"/>
      <c r="AY35" s="135" t="str">
        <f>AW35&amp;AX35</f>
        <v/>
      </c>
      <c r="AZ35" s="501"/>
      <c r="BA35" s="184"/>
      <c r="BB35" s="194" t="s">
        <v>924</v>
      </c>
      <c r="BC35" s="162" t="s">
        <v>925</v>
      </c>
      <c r="BD35" s="162" t="s">
        <v>916</v>
      </c>
      <c r="BE35" s="193" t="s">
        <v>926</v>
      </c>
      <c r="BF35" s="193" t="s">
        <v>927</v>
      </c>
      <c r="BG35" s="194" t="s">
        <v>928</v>
      </c>
      <c r="BH35" s="162" t="s">
        <v>929</v>
      </c>
      <c r="BI35" s="162" t="s">
        <v>921</v>
      </c>
      <c r="BJ35" s="193" t="s">
        <v>274</v>
      </c>
    </row>
    <row r="36" spans="1:62" s="59" customFormat="1" ht="19.5" customHeight="1" x14ac:dyDescent="0.25">
      <c r="A36" s="295"/>
      <c r="B36" s="539"/>
      <c r="C36" s="332"/>
      <c r="D36" s="289"/>
      <c r="E36" s="289"/>
      <c r="F36" s="332"/>
      <c r="G36" s="332"/>
      <c r="H36" s="289"/>
      <c r="I36" s="489"/>
      <c r="J36" s="489"/>
      <c r="K36" s="332"/>
      <c r="L36" s="332"/>
      <c r="M36" s="254"/>
      <c r="N36" s="332"/>
      <c r="O36" s="332"/>
      <c r="P36" s="254"/>
      <c r="Q36" s="491"/>
      <c r="R36" s="494"/>
      <c r="S36" s="495"/>
      <c r="T36" s="332"/>
      <c r="U36" s="135">
        <f t="shared" ref="U36:U38" si="60">IF(T36="Asignado",15,0)</f>
        <v>0</v>
      </c>
      <c r="V36" s="332"/>
      <c r="W36" s="135">
        <f t="shared" ref="W36:W38" si="61">IF(V36="Adecuado",15,0)</f>
        <v>0</v>
      </c>
      <c r="X36" s="332"/>
      <c r="Y36" s="135">
        <f t="shared" ref="Y36:Y38" si="62">IF(X36="Oportuna",15,0)</f>
        <v>0</v>
      </c>
      <c r="Z36" s="332"/>
      <c r="AA36" s="135">
        <f t="shared" ref="AA36:AA38" si="63">IF(Z36="Prevenir",15,IF(Z36="Detectar",10,0))</f>
        <v>0</v>
      </c>
      <c r="AB36" s="332"/>
      <c r="AC36" s="135">
        <f t="shared" ref="AC36:AC38" si="64">IF(AB36="Confiable",15,0)</f>
        <v>0</v>
      </c>
      <c r="AD36" s="332"/>
      <c r="AE36" s="135">
        <f t="shared" ref="AE36:AE38" si="65">IF(AD36="Se investigan y resuelven oportunamente",15,0)</f>
        <v>0</v>
      </c>
      <c r="AF36" s="332"/>
      <c r="AG36" s="135">
        <f t="shared" ref="AG36:AG38" si="66">IF(AF36="Completa",10,IF(AF36="incompleta",5,0))</f>
        <v>0</v>
      </c>
      <c r="AH36" s="487"/>
      <c r="AI36" s="487"/>
      <c r="AJ36" s="488"/>
      <c r="AK36" s="487"/>
      <c r="AL36" s="128" t="str">
        <f t="shared" ref="AL36:AL38" si="67">AI36&amp;AK36</f>
        <v/>
      </c>
      <c r="AM36" s="487"/>
      <c r="AN36" s="487"/>
      <c r="AO36" s="271"/>
      <c r="AQ36" s="271"/>
      <c r="AR36" s="139"/>
      <c r="AS36" s="139"/>
      <c r="AT36" s="128"/>
      <c r="AU36" s="128"/>
      <c r="AV36" s="128"/>
      <c r="AW36" s="185"/>
      <c r="AX36" s="185"/>
      <c r="AY36" s="135"/>
      <c r="AZ36" s="501"/>
      <c r="BA36" s="184"/>
      <c r="BB36" s="195"/>
      <c r="BC36" s="184"/>
      <c r="BD36" s="184"/>
      <c r="BE36" s="196"/>
      <c r="BF36" s="196"/>
      <c r="BG36" s="195"/>
      <c r="BH36" s="184"/>
      <c r="BI36" s="184"/>
      <c r="BJ36" s="196"/>
    </row>
    <row r="37" spans="1:62" s="59" customFormat="1" ht="19.5" customHeight="1" x14ac:dyDescent="0.25">
      <c r="A37" s="295"/>
      <c r="B37" s="539"/>
      <c r="C37" s="332"/>
      <c r="D37" s="289"/>
      <c r="E37" s="289"/>
      <c r="F37" s="332"/>
      <c r="G37" s="332"/>
      <c r="H37" s="289"/>
      <c r="I37" s="489"/>
      <c r="J37" s="489"/>
      <c r="K37" s="332"/>
      <c r="L37" s="332"/>
      <c r="M37" s="254"/>
      <c r="N37" s="332"/>
      <c r="O37" s="332"/>
      <c r="P37" s="254"/>
      <c r="Q37" s="491"/>
      <c r="R37" s="494"/>
      <c r="S37" s="495"/>
      <c r="T37" s="332"/>
      <c r="U37" s="135">
        <f t="shared" si="60"/>
        <v>0</v>
      </c>
      <c r="V37" s="332"/>
      <c r="W37" s="135">
        <f t="shared" si="61"/>
        <v>0</v>
      </c>
      <c r="X37" s="332"/>
      <c r="Y37" s="135">
        <f t="shared" si="62"/>
        <v>0</v>
      </c>
      <c r="Z37" s="332"/>
      <c r="AA37" s="135">
        <f t="shared" si="63"/>
        <v>0</v>
      </c>
      <c r="AB37" s="332"/>
      <c r="AC37" s="135">
        <f t="shared" si="64"/>
        <v>0</v>
      </c>
      <c r="AD37" s="332"/>
      <c r="AE37" s="135">
        <f t="shared" si="65"/>
        <v>0</v>
      </c>
      <c r="AF37" s="332"/>
      <c r="AG37" s="135">
        <f t="shared" si="66"/>
        <v>0</v>
      </c>
      <c r="AH37" s="487"/>
      <c r="AI37" s="487"/>
      <c r="AJ37" s="488"/>
      <c r="AK37" s="487"/>
      <c r="AL37" s="128" t="str">
        <f t="shared" si="67"/>
        <v/>
      </c>
      <c r="AM37" s="487"/>
      <c r="AN37" s="487"/>
      <c r="AO37" s="271"/>
      <c r="AQ37" s="271"/>
      <c r="AR37" s="139"/>
      <c r="AS37" s="139"/>
      <c r="AT37" s="128"/>
      <c r="AU37" s="128"/>
      <c r="AV37" s="128"/>
      <c r="AW37" s="185"/>
      <c r="AX37" s="185"/>
      <c r="AY37" s="135"/>
      <c r="AZ37" s="501"/>
      <c r="BA37" s="184"/>
      <c r="BB37" s="195"/>
      <c r="BC37" s="184"/>
      <c r="BD37" s="184"/>
      <c r="BE37" s="196"/>
      <c r="BF37" s="196"/>
      <c r="BG37" s="195"/>
      <c r="BH37" s="184"/>
      <c r="BI37" s="184"/>
      <c r="BJ37" s="196"/>
    </row>
    <row r="38" spans="1:62" s="59" customFormat="1" ht="19.5" customHeight="1" thickBot="1" x14ac:dyDescent="0.3">
      <c r="A38" s="295"/>
      <c r="B38" s="539"/>
      <c r="C38" s="258"/>
      <c r="D38" s="334"/>
      <c r="E38" s="334"/>
      <c r="F38" s="258"/>
      <c r="G38" s="258"/>
      <c r="H38" s="334"/>
      <c r="I38" s="490"/>
      <c r="J38" s="490"/>
      <c r="K38" s="258"/>
      <c r="L38" s="258"/>
      <c r="M38" s="254"/>
      <c r="N38" s="258"/>
      <c r="O38" s="258"/>
      <c r="P38" s="254"/>
      <c r="Q38" s="338"/>
      <c r="R38" s="496"/>
      <c r="S38" s="497"/>
      <c r="T38" s="258"/>
      <c r="U38" s="135">
        <f t="shared" si="60"/>
        <v>0</v>
      </c>
      <c r="V38" s="258"/>
      <c r="W38" s="135">
        <f t="shared" si="61"/>
        <v>0</v>
      </c>
      <c r="X38" s="258"/>
      <c r="Y38" s="135">
        <f t="shared" si="62"/>
        <v>0</v>
      </c>
      <c r="Z38" s="258"/>
      <c r="AA38" s="135">
        <f t="shared" si="63"/>
        <v>0</v>
      </c>
      <c r="AB38" s="258"/>
      <c r="AC38" s="135">
        <f t="shared" si="64"/>
        <v>0</v>
      </c>
      <c r="AD38" s="258"/>
      <c r="AE38" s="135">
        <f t="shared" si="65"/>
        <v>0</v>
      </c>
      <c r="AF38" s="258"/>
      <c r="AG38" s="135">
        <f t="shared" si="66"/>
        <v>0</v>
      </c>
      <c r="AH38" s="256"/>
      <c r="AI38" s="256"/>
      <c r="AJ38" s="273"/>
      <c r="AK38" s="256"/>
      <c r="AL38" s="128" t="str">
        <f t="shared" si="67"/>
        <v/>
      </c>
      <c r="AM38" s="256"/>
      <c r="AN38" s="256"/>
      <c r="AO38" s="271"/>
      <c r="AQ38" s="271"/>
      <c r="AR38" s="139"/>
      <c r="AS38" s="139"/>
      <c r="AT38" s="128"/>
      <c r="AU38" s="128"/>
      <c r="AV38" s="128"/>
      <c r="AW38" s="175"/>
      <c r="AX38" s="175"/>
      <c r="AY38" s="135"/>
      <c r="AZ38" s="455"/>
      <c r="BA38" s="172"/>
      <c r="BB38" s="197"/>
      <c r="BC38" s="172"/>
      <c r="BD38" s="172"/>
      <c r="BE38" s="198"/>
      <c r="BF38" s="198"/>
      <c r="BG38" s="197"/>
      <c r="BH38" s="172"/>
      <c r="BI38" s="172"/>
      <c r="BJ38" s="198"/>
    </row>
    <row r="39" spans="1:62" s="59" customFormat="1" ht="228" customHeight="1" x14ac:dyDescent="0.25">
      <c r="A39" s="295">
        <v>5</v>
      </c>
      <c r="B39" s="538" t="s">
        <v>53</v>
      </c>
      <c r="C39" s="331">
        <v>5</v>
      </c>
      <c r="D39" s="333" t="s">
        <v>934</v>
      </c>
      <c r="E39" s="333" t="s">
        <v>935</v>
      </c>
      <c r="F39" s="331" t="s">
        <v>31</v>
      </c>
      <c r="G39" s="331" t="s">
        <v>69</v>
      </c>
      <c r="H39" s="333" t="s">
        <v>936</v>
      </c>
      <c r="I39" s="566" t="s">
        <v>51</v>
      </c>
      <c r="J39" s="566" t="s">
        <v>74</v>
      </c>
      <c r="K39" s="199" t="s">
        <v>937</v>
      </c>
      <c r="L39" s="331" t="s">
        <v>938</v>
      </c>
      <c r="M39" s="161" t="str">
        <f>IF(F39="gestion","impacto",IF(F39="corrupcion","impactocorrupcion",IF(F39="seguridad_de_la_informacion","impacto","")))</f>
        <v>impacto</v>
      </c>
      <c r="N39" s="331" t="s">
        <v>35</v>
      </c>
      <c r="O39" s="331" t="s">
        <v>27</v>
      </c>
      <c r="P39" s="161" t="str">
        <f>N39&amp;O39</f>
        <v>PosibleMayor</v>
      </c>
      <c r="Q39" s="337" t="str">
        <f>IFERROR(VLOOKUP(P39,[12]FORMULAS!$B$38:$C$62,2,FALSE),"")</f>
        <v>Riesgo extremo</v>
      </c>
      <c r="R39" s="568" t="s">
        <v>939</v>
      </c>
      <c r="S39" s="569"/>
      <c r="T39" s="126" t="s">
        <v>147</v>
      </c>
      <c r="U39" s="135">
        <f>IF(T39="Asignado",15,0)</f>
        <v>15</v>
      </c>
      <c r="V39" s="126" t="s">
        <v>148</v>
      </c>
      <c r="W39" s="135">
        <f>IF(V39="Adecuado",15,0)</f>
        <v>15</v>
      </c>
      <c r="X39" s="126" t="s">
        <v>149</v>
      </c>
      <c r="Y39" s="135">
        <f>IF(X39="Oportuna",15,0)</f>
        <v>15</v>
      </c>
      <c r="Z39" s="126" t="s">
        <v>150</v>
      </c>
      <c r="AA39" s="135">
        <f>IF(Z39="Prevenir",15,IF(Z39="Detectar",10,0))</f>
        <v>15</v>
      </c>
      <c r="AB39" s="126" t="s">
        <v>151</v>
      </c>
      <c r="AC39" s="135">
        <f>IF(AB39="Confiable",15,0)</f>
        <v>15</v>
      </c>
      <c r="AD39" s="126" t="s">
        <v>152</v>
      </c>
      <c r="AE39" s="135">
        <f>IF(AD39="Se investigan y resuelven oportunamente",15,0)</f>
        <v>15</v>
      </c>
      <c r="AF39" s="126" t="s">
        <v>153</v>
      </c>
      <c r="AG39" s="135">
        <f>IF(AF39="Completa",10,IF(AF39="incompleta",5,0))</f>
        <v>10</v>
      </c>
      <c r="AH39" s="128">
        <f t="shared" ref="AH39:AH40" si="68">U39+W39+Y39+AA39+AC39+AE39+AG39</f>
        <v>100</v>
      </c>
      <c r="AI39" s="128" t="str">
        <f>IF(AH39&gt;=96,"Fuerte",IF(AH39&gt;=86,"Moderado",IF(AH39&gt;=1,"Débil","")))</f>
        <v>Fuerte</v>
      </c>
      <c r="AJ39" s="139" t="s">
        <v>154</v>
      </c>
      <c r="AK39" s="128" t="str">
        <f>IF(AJ39="Siempre se ejecuta","Fuerte",IF(AJ39="Algunas veces","Moderado",IF(AJ39="no se ejecuta","Débil","")))</f>
        <v>Fuerte</v>
      </c>
      <c r="AL39" s="128" t="str">
        <f>AI39&amp;AK39</f>
        <v>FuerteFuerte</v>
      </c>
      <c r="AM39" s="128" t="str">
        <f>IFERROR(VLOOKUP(AL39,[12]FORMULAS!$B$70:$D$78,3,FALSE),"")</f>
        <v>Fuerte</v>
      </c>
      <c r="AN39" s="128">
        <f>IF(AM39="fuerte",100,IF(AM39="Moderado",50,IF(AM39="débil",0,"")))</f>
        <v>100</v>
      </c>
      <c r="AO39" s="159">
        <f>IFERROR(AVERAGE(AN39:AN39),0)</f>
        <v>100</v>
      </c>
      <c r="AQ39" s="159" t="str">
        <f>IF(AO39&gt;=100,"Fuerte",IF(AO39&gt;=50,"Moderado",IF(AO39&gt;=1,"Débil","")))</f>
        <v>Fuerte</v>
      </c>
      <c r="AR39" s="160" t="s">
        <v>92</v>
      </c>
      <c r="AS39" s="160" t="s">
        <v>94</v>
      </c>
      <c r="AT39" s="159" t="str">
        <f>+AQ39&amp;AR39&amp;AS39</f>
        <v>FuerteDirectamenteIndirectamente</v>
      </c>
      <c r="AU39" s="159">
        <f>IFERROR(VLOOKUP(AT39,[12]FORMULAS!$B$95:$D$102,2,FALSE),0)</f>
        <v>2</v>
      </c>
      <c r="AV39" s="159">
        <f>IFERROR(VLOOKUP(AT39,[12]FORMULAS!$B$95:$D$102,3,FALSE),0)</f>
        <v>1</v>
      </c>
      <c r="AW39" s="331" t="s">
        <v>25</v>
      </c>
      <c r="AX39" s="331" t="s">
        <v>28</v>
      </c>
      <c r="AY39" s="161" t="str">
        <f>AW39&amp;AX39</f>
        <v>ImprobableMenor</v>
      </c>
      <c r="AZ39" s="302" t="str">
        <f>IFERROR(VLOOKUP(AY39,[12]FORMULAS!$B$38:$C$62,2,FALSE),"")</f>
        <v>Riesgo bajo</v>
      </c>
      <c r="BA39" s="337" t="s">
        <v>19</v>
      </c>
      <c r="BB39" s="182" t="s">
        <v>940</v>
      </c>
      <c r="BC39" s="141" t="s">
        <v>941</v>
      </c>
      <c r="BD39" s="141" t="s">
        <v>942</v>
      </c>
      <c r="BE39" s="183" t="s">
        <v>943</v>
      </c>
      <c r="BF39" s="183" t="s">
        <v>944</v>
      </c>
      <c r="BG39" s="182" t="s">
        <v>945</v>
      </c>
      <c r="BH39" s="182" t="s">
        <v>946</v>
      </c>
      <c r="BI39" s="182" t="s">
        <v>947</v>
      </c>
      <c r="BJ39" s="183" t="s">
        <v>440</v>
      </c>
    </row>
    <row r="40" spans="1:62" s="59" customFormat="1" ht="106.5" customHeight="1" thickBot="1" x14ac:dyDescent="0.3">
      <c r="A40" s="295"/>
      <c r="B40" s="544"/>
      <c r="C40" s="321"/>
      <c r="D40" s="315"/>
      <c r="E40" s="315"/>
      <c r="F40" s="321"/>
      <c r="G40" s="321"/>
      <c r="H40" s="315"/>
      <c r="I40" s="567"/>
      <c r="J40" s="567"/>
      <c r="K40" s="126" t="s">
        <v>948</v>
      </c>
      <c r="L40" s="321"/>
      <c r="M40" s="161"/>
      <c r="N40" s="321"/>
      <c r="O40" s="321"/>
      <c r="P40" s="161"/>
      <c r="Q40" s="503"/>
      <c r="R40" s="568" t="s">
        <v>949</v>
      </c>
      <c r="S40" s="569"/>
      <c r="T40" s="126" t="s">
        <v>147</v>
      </c>
      <c r="U40" s="135">
        <f>IF(T40="Asignado",15,0)</f>
        <v>15</v>
      </c>
      <c r="V40" s="126" t="s">
        <v>148</v>
      </c>
      <c r="W40" s="135">
        <f>IF(V40="Adecuado",15,0)</f>
        <v>15</v>
      </c>
      <c r="X40" s="126" t="s">
        <v>149</v>
      </c>
      <c r="Y40" s="135">
        <f>IF(X40="Oportuna",15,0)</f>
        <v>15</v>
      </c>
      <c r="Z40" s="126" t="s">
        <v>150</v>
      </c>
      <c r="AA40" s="135">
        <f>IF(Z40="Prevenir",15,IF(Z40="Detectar",10,0))</f>
        <v>15</v>
      </c>
      <c r="AB40" s="126" t="s">
        <v>151</v>
      </c>
      <c r="AC40" s="135">
        <f>IF(AB40="Confiable",15,0)</f>
        <v>15</v>
      </c>
      <c r="AD40" s="126" t="s">
        <v>152</v>
      </c>
      <c r="AE40" s="135">
        <f>IF(AD40="Se investigan y resuelven oportunamente",15,0)</f>
        <v>15</v>
      </c>
      <c r="AF40" s="126" t="s">
        <v>153</v>
      </c>
      <c r="AG40" s="135">
        <f>IF(AF40="Completa",10,IF(AF40="incompleta",5,0))</f>
        <v>10</v>
      </c>
      <c r="AH40" s="128">
        <f t="shared" si="68"/>
        <v>100</v>
      </c>
      <c r="AI40" s="128" t="str">
        <f>IF(AH40&gt;=96,"Fuerte",IF(AH40&gt;=86,"Moderado",IF(AH40&gt;=1,"Débil","")))</f>
        <v>Fuerte</v>
      </c>
      <c r="AJ40" s="139" t="s">
        <v>154</v>
      </c>
      <c r="AK40" s="128" t="str">
        <f>IF(AJ40="Siempre se ejecuta","Fuerte",IF(AJ40="Algunas veces","Moderado",IF(AJ40="no se ejecuta","Débil","")))</f>
        <v>Fuerte</v>
      </c>
      <c r="AL40" s="128" t="str">
        <f>AI40&amp;AK40</f>
        <v>FuerteFuerte</v>
      </c>
      <c r="AM40" s="128" t="str">
        <f>IFERROR(VLOOKUP(AL40,[12]FORMULAS!$B$70:$D$78,3,FALSE),"")</f>
        <v>Fuerte</v>
      </c>
      <c r="AN40" s="128">
        <f>IF(AM40="fuerte",100,IF(AM40="Moderado",50,IF(AM40="débil",0,"")))</f>
        <v>100</v>
      </c>
      <c r="AO40" s="159">
        <f>IFERROR(AVERAGE(AN40:AN40),0)</f>
        <v>100</v>
      </c>
      <c r="AQ40" s="159" t="str">
        <f>IF(AO40&gt;=100,"Fuerte",IF(AO40&gt;=50,"Moderado",IF(AO40&gt;=1,"Débil","")))</f>
        <v>Fuerte</v>
      </c>
      <c r="AR40" s="160" t="s">
        <v>92</v>
      </c>
      <c r="AS40" s="160" t="s">
        <v>94</v>
      </c>
      <c r="AT40" s="159" t="str">
        <f>+AQ40&amp;AR40&amp;AS40</f>
        <v>FuerteDirectamenteIndirectamente</v>
      </c>
      <c r="AU40" s="159">
        <f>IFERROR(VLOOKUP(AT40,[12]FORMULAS!$B$95:$D$102,2,FALSE),0)</f>
        <v>2</v>
      </c>
      <c r="AV40" s="159">
        <f>IFERROR(VLOOKUP(AT40,[12]FORMULAS!$B$95:$D$102,3,FALSE),0)</f>
        <v>1</v>
      </c>
      <c r="AW40" s="321"/>
      <c r="AX40" s="321"/>
      <c r="AY40" s="161"/>
      <c r="AZ40" s="455"/>
      <c r="BA40" s="503"/>
      <c r="BB40" s="182" t="s">
        <v>950</v>
      </c>
      <c r="BC40" s="141" t="s">
        <v>951</v>
      </c>
      <c r="BD40" s="141" t="s">
        <v>435</v>
      </c>
      <c r="BE40" s="183" t="s">
        <v>224</v>
      </c>
      <c r="BF40" s="183" t="s">
        <v>952</v>
      </c>
      <c r="BG40" s="182" t="s">
        <v>953</v>
      </c>
      <c r="BH40" s="141" t="s">
        <v>954</v>
      </c>
      <c r="BI40" s="141" t="s">
        <v>955</v>
      </c>
      <c r="BJ40" s="183" t="s">
        <v>440</v>
      </c>
    </row>
    <row r="41" spans="1:62" s="59" customFormat="1" ht="48" x14ac:dyDescent="0.25">
      <c r="A41" s="295">
        <v>6</v>
      </c>
      <c r="B41" s="538" t="s">
        <v>53</v>
      </c>
      <c r="C41" s="297">
        <v>6</v>
      </c>
      <c r="D41" s="298" t="s">
        <v>956</v>
      </c>
      <c r="E41" s="298" t="s">
        <v>957</v>
      </c>
      <c r="F41" s="297" t="s">
        <v>31</v>
      </c>
      <c r="G41" s="297" t="s">
        <v>69</v>
      </c>
      <c r="H41" s="298" t="s">
        <v>958</v>
      </c>
      <c r="I41" s="547" t="s">
        <v>51</v>
      </c>
      <c r="J41" s="547" t="s">
        <v>959</v>
      </c>
      <c r="K41" s="126" t="s">
        <v>960</v>
      </c>
      <c r="L41" s="331" t="s">
        <v>961</v>
      </c>
      <c r="M41" s="254" t="str">
        <f t="shared" ref="M41" si="69">IF(F41="gestion","impacto",IF(F41="corrupcion","impactocorrupcion",IF(F41="seguridad_de_la_informacion","impacto","")))</f>
        <v>impacto</v>
      </c>
      <c r="N41" s="297" t="s">
        <v>35</v>
      </c>
      <c r="O41" s="331" t="s">
        <v>27</v>
      </c>
      <c r="P41" s="254" t="str">
        <f t="shared" ref="P41" si="70">N41&amp;O41</f>
        <v>PosibleMayor</v>
      </c>
      <c r="Q41" s="317" t="str">
        <f>IFERROR(VLOOKUP(P41,[12]FORMULAS!$B$38:$C$62,2,FALSE),"")</f>
        <v>Riesgo extremo</v>
      </c>
      <c r="R41" s="298" t="s">
        <v>962</v>
      </c>
      <c r="S41" s="298"/>
      <c r="T41" s="126" t="s">
        <v>147</v>
      </c>
      <c r="U41" s="135">
        <f>IF(T41="Asignado",15,0)</f>
        <v>15</v>
      </c>
      <c r="V41" s="126" t="s">
        <v>148</v>
      </c>
      <c r="W41" s="135">
        <f>IF(V41="Adecuado",15,0)</f>
        <v>15</v>
      </c>
      <c r="X41" s="126" t="s">
        <v>149</v>
      </c>
      <c r="Y41" s="135">
        <f>IF(X41="Oportuna",15,0)</f>
        <v>15</v>
      </c>
      <c r="Z41" s="126" t="s">
        <v>150</v>
      </c>
      <c r="AA41" s="135">
        <f>IF(Z41="Prevenir",15,IF(Z41="Detectar",10,0))</f>
        <v>15</v>
      </c>
      <c r="AB41" s="126" t="s">
        <v>151</v>
      </c>
      <c r="AC41" s="135">
        <f>IF(AB41="Confiable",15,0)</f>
        <v>15</v>
      </c>
      <c r="AD41" s="126" t="s">
        <v>152</v>
      </c>
      <c r="AE41" s="135">
        <f>IF(AD41="Se investigan y resuelven oportunamente",15,0)</f>
        <v>15</v>
      </c>
      <c r="AF41" s="126" t="s">
        <v>153</v>
      </c>
      <c r="AG41" s="135">
        <f>IF(AF41="Completa",10,IF(AF41="incompleta",5,0))</f>
        <v>10</v>
      </c>
      <c r="AH41" s="128">
        <f t="shared" ref="AH41:AH45" si="71">U41+W41+Y41+AA41+AC41+AE41+AG41</f>
        <v>100</v>
      </c>
      <c r="AI41" s="128" t="str">
        <f>IF(AH41&gt;=96,"Fuerte",IF(AH41&gt;=86,"Moderado",IF(AH41&gt;=1,"Débil","")))</f>
        <v>Fuerte</v>
      </c>
      <c r="AJ41" s="139" t="s">
        <v>154</v>
      </c>
      <c r="AK41" s="128" t="str">
        <f>IF(AJ41="Siempre se ejecuta","Fuerte",IF(AJ41="Algunas veces","Moderado",IF(AJ41="no se ejecuta","Débil","")))</f>
        <v>Fuerte</v>
      </c>
      <c r="AL41" s="128" t="str">
        <f>AI41&amp;AK41</f>
        <v>FuerteFuerte</v>
      </c>
      <c r="AM41" s="128" t="str">
        <f>IFERROR(VLOOKUP(AL41,[12]FORMULAS!$B$70:$D$78,3,FALSE),"")</f>
        <v>Fuerte</v>
      </c>
      <c r="AN41" s="128">
        <f>IF(AM41="fuerte",100,IF(AM41="Moderado",50,IF(AM41="débil",0,"")))</f>
        <v>100</v>
      </c>
      <c r="AO41" s="271">
        <f>IFERROR(AVERAGE(AN41:AN45),0)</f>
        <v>100</v>
      </c>
      <c r="AP41" s="461"/>
      <c r="AQ41" s="271" t="str">
        <f>IF(AO41&gt;=100,"Fuerte",IF(AO41&gt;=50,"Moderado",IF(AO41&gt;=1,"Débil","")))</f>
        <v>Fuerte</v>
      </c>
      <c r="AR41" s="301" t="s">
        <v>92</v>
      </c>
      <c r="AS41" s="301" t="s">
        <v>94</v>
      </c>
      <c r="AT41" s="128" t="str">
        <f>+AQ41&amp;AR41&amp;AS41</f>
        <v>FuerteDirectamenteIndirectamente</v>
      </c>
      <c r="AU41" s="300">
        <f>IFERROR(VLOOKUP(AT41,[12]FORMULAS!$B$95:$D$102,2,FALSE),0)</f>
        <v>2</v>
      </c>
      <c r="AV41" s="300">
        <f>IFERROR(VLOOKUP(AT41,[12]FORMULAS!$B$95:$D$102,3,FALSE),0)</f>
        <v>1</v>
      </c>
      <c r="AW41" s="257" t="s">
        <v>25</v>
      </c>
      <c r="AX41" s="257" t="s">
        <v>17</v>
      </c>
      <c r="AY41" s="135" t="str">
        <f>AW41&amp;AX41</f>
        <v>ImprobableModerado</v>
      </c>
      <c r="AZ41" s="302" t="str">
        <f>IFERROR(VLOOKUP(AY41,[12]FORMULAS!$B$38:$C$62,2,FALSE),"")</f>
        <v>Riesgo moderado</v>
      </c>
      <c r="BA41" s="502" t="s">
        <v>29</v>
      </c>
      <c r="BB41" s="182" t="s">
        <v>963</v>
      </c>
      <c r="BC41" s="141" t="s">
        <v>964</v>
      </c>
      <c r="BD41" s="141" t="s">
        <v>965</v>
      </c>
      <c r="BE41" s="183" t="s">
        <v>966</v>
      </c>
      <c r="BF41" s="183" t="s">
        <v>967</v>
      </c>
      <c r="BG41" s="182" t="s">
        <v>968</v>
      </c>
      <c r="BH41" s="141" t="s">
        <v>969</v>
      </c>
      <c r="BI41" s="141" t="s">
        <v>965</v>
      </c>
      <c r="BJ41" s="183" t="s">
        <v>440</v>
      </c>
    </row>
    <row r="42" spans="1:62" s="59" customFormat="1" ht="91.5" customHeight="1" x14ac:dyDescent="0.25">
      <c r="A42" s="295"/>
      <c r="B42" s="539"/>
      <c r="C42" s="297"/>
      <c r="D42" s="298"/>
      <c r="E42" s="298"/>
      <c r="F42" s="297"/>
      <c r="G42" s="297"/>
      <c r="H42" s="298"/>
      <c r="I42" s="547"/>
      <c r="J42" s="547"/>
      <c r="K42" s="126" t="s">
        <v>948</v>
      </c>
      <c r="L42" s="332"/>
      <c r="M42" s="254"/>
      <c r="N42" s="297"/>
      <c r="O42" s="332"/>
      <c r="P42" s="254"/>
      <c r="Q42" s="317"/>
      <c r="R42" s="298" t="s">
        <v>970</v>
      </c>
      <c r="S42" s="298"/>
      <c r="T42" s="126" t="s">
        <v>147</v>
      </c>
      <c r="U42" s="135">
        <f t="shared" ref="U42:U45" si="72">IF(T42="Asignado",15,0)</f>
        <v>15</v>
      </c>
      <c r="V42" s="126" t="s">
        <v>148</v>
      </c>
      <c r="W42" s="135">
        <f t="shared" ref="W42:W45" si="73">IF(V42="Adecuado",15,0)</f>
        <v>15</v>
      </c>
      <c r="X42" s="126" t="s">
        <v>149</v>
      </c>
      <c r="Y42" s="135">
        <f t="shared" ref="Y42:Y45" si="74">IF(X42="Oportuna",15,0)</f>
        <v>15</v>
      </c>
      <c r="Z42" s="126" t="s">
        <v>150</v>
      </c>
      <c r="AA42" s="135">
        <f t="shared" ref="AA42:AA45" si="75">IF(Z42="Prevenir",15,IF(Z42="Detectar",10,0))</f>
        <v>15</v>
      </c>
      <c r="AB42" s="126" t="s">
        <v>151</v>
      </c>
      <c r="AC42" s="135">
        <f t="shared" ref="AC42:AC45" si="76">IF(AB42="Confiable",15,0)</f>
        <v>15</v>
      </c>
      <c r="AD42" s="126" t="s">
        <v>152</v>
      </c>
      <c r="AE42" s="135">
        <f t="shared" ref="AE42:AE45" si="77">IF(AD42="Se investigan y resuelven oportunamente",15,0)</f>
        <v>15</v>
      </c>
      <c r="AF42" s="126" t="s">
        <v>153</v>
      </c>
      <c r="AG42" s="135">
        <f t="shared" ref="AG42:AG45" si="78">IF(AF42="Completa",10,IF(AF42="incompleta",5,0))</f>
        <v>10</v>
      </c>
      <c r="AH42" s="128">
        <f t="shared" si="71"/>
        <v>100</v>
      </c>
      <c r="AI42" s="128" t="str">
        <f>IF(AH42&gt;=96,"Fuerte",IF(AH42&gt;=86,"Moderado",IF(AH42&gt;=1,"Débil","")))</f>
        <v>Fuerte</v>
      </c>
      <c r="AJ42" s="139" t="s">
        <v>154</v>
      </c>
      <c r="AK42" s="128" t="str">
        <f t="shared" ref="AK42:AK45" si="79">IF(AJ42="Siempre se ejecuta","Fuerte",IF(AJ42="Algunas veces","Moderado",IF(AJ42="no se ejecuta","Débil","")))</f>
        <v>Fuerte</v>
      </c>
      <c r="AL42" s="128" t="str">
        <f t="shared" ref="AL42:AL45" si="80">AI42&amp;AK42</f>
        <v>FuerteFuerte</v>
      </c>
      <c r="AM42" s="128" t="str">
        <f>IFERROR(VLOOKUP(AL42,[12]FORMULAS!$B$70:$D$78,3,FALSE),"")</f>
        <v>Fuerte</v>
      </c>
      <c r="AN42" s="128">
        <f t="shared" ref="AN42:AN45" si="81">IF(AM42="fuerte",100,IF(AM42="Moderado",50,IF(AM42="débil",0,"")))</f>
        <v>100</v>
      </c>
      <c r="AO42" s="271"/>
      <c r="AP42" s="461"/>
      <c r="AQ42" s="271"/>
      <c r="AR42" s="488"/>
      <c r="AS42" s="488"/>
      <c r="AT42" s="128"/>
      <c r="AU42" s="487"/>
      <c r="AV42" s="487"/>
      <c r="AW42" s="332"/>
      <c r="AX42" s="332"/>
      <c r="AY42" s="135"/>
      <c r="AZ42" s="501"/>
      <c r="BA42" s="491"/>
      <c r="BB42" s="182" t="s">
        <v>971</v>
      </c>
      <c r="BC42" s="141" t="s">
        <v>964</v>
      </c>
      <c r="BD42" s="141" t="s">
        <v>965</v>
      </c>
      <c r="BE42" s="183" t="s">
        <v>158</v>
      </c>
      <c r="BF42" s="183" t="s">
        <v>972</v>
      </c>
      <c r="BG42" s="182" t="s">
        <v>973</v>
      </c>
      <c r="BH42" s="141" t="s">
        <v>954</v>
      </c>
      <c r="BI42" s="141" t="s">
        <v>965</v>
      </c>
      <c r="BJ42" s="183" t="s">
        <v>440</v>
      </c>
    </row>
    <row r="43" spans="1:62" s="59" customFormat="1" ht="72" x14ac:dyDescent="0.25">
      <c r="A43" s="295"/>
      <c r="B43" s="539"/>
      <c r="C43" s="297"/>
      <c r="D43" s="298"/>
      <c r="E43" s="298"/>
      <c r="F43" s="297"/>
      <c r="G43" s="297"/>
      <c r="H43" s="298"/>
      <c r="I43" s="547"/>
      <c r="J43" s="547"/>
      <c r="K43" s="126" t="s">
        <v>974</v>
      </c>
      <c r="L43" s="332"/>
      <c r="M43" s="254"/>
      <c r="N43" s="297"/>
      <c r="O43" s="332"/>
      <c r="P43" s="254"/>
      <c r="Q43" s="317"/>
      <c r="R43" s="568" t="s">
        <v>913</v>
      </c>
      <c r="S43" s="569"/>
      <c r="T43" s="126" t="s">
        <v>147</v>
      </c>
      <c r="U43" s="135">
        <f t="shared" si="72"/>
        <v>15</v>
      </c>
      <c r="V43" s="126" t="s">
        <v>148</v>
      </c>
      <c r="W43" s="135">
        <f t="shared" si="73"/>
        <v>15</v>
      </c>
      <c r="X43" s="126" t="s">
        <v>149</v>
      </c>
      <c r="Y43" s="135">
        <f t="shared" si="74"/>
        <v>15</v>
      </c>
      <c r="Z43" s="126" t="s">
        <v>150</v>
      </c>
      <c r="AA43" s="135">
        <f t="shared" si="75"/>
        <v>15</v>
      </c>
      <c r="AB43" s="126" t="s">
        <v>151</v>
      </c>
      <c r="AC43" s="135">
        <f t="shared" si="76"/>
        <v>15</v>
      </c>
      <c r="AD43" s="126" t="s">
        <v>152</v>
      </c>
      <c r="AE43" s="135">
        <f t="shared" si="77"/>
        <v>15</v>
      </c>
      <c r="AF43" s="126" t="s">
        <v>153</v>
      </c>
      <c r="AG43" s="135">
        <f t="shared" si="78"/>
        <v>10</v>
      </c>
      <c r="AH43" s="128">
        <f t="shared" si="71"/>
        <v>100</v>
      </c>
      <c r="AI43" s="128" t="str">
        <f t="shared" ref="AI43:AI45" si="82">IF(AH43&gt;=96,"Fuerte",IF(AH43&gt;=86,"Moderado",IF(AH43&gt;=1,"Débil","")))</f>
        <v>Fuerte</v>
      </c>
      <c r="AJ43" s="139" t="s">
        <v>154</v>
      </c>
      <c r="AK43" s="128" t="str">
        <f t="shared" si="79"/>
        <v>Fuerte</v>
      </c>
      <c r="AL43" s="128" t="str">
        <f t="shared" si="80"/>
        <v>FuerteFuerte</v>
      </c>
      <c r="AM43" s="128" t="str">
        <f>IFERROR(VLOOKUP(AL43,[12]FORMULAS!$B$70:$D$78,3,FALSE),"")</f>
        <v>Fuerte</v>
      </c>
      <c r="AN43" s="128">
        <f t="shared" si="81"/>
        <v>100</v>
      </c>
      <c r="AO43" s="271"/>
      <c r="AP43" s="461"/>
      <c r="AQ43" s="271"/>
      <c r="AR43" s="488"/>
      <c r="AS43" s="488"/>
      <c r="AT43" s="128"/>
      <c r="AU43" s="487"/>
      <c r="AV43" s="487"/>
      <c r="AW43" s="332"/>
      <c r="AX43" s="332"/>
      <c r="AY43" s="135"/>
      <c r="AZ43" s="501"/>
      <c r="BA43" s="491"/>
      <c r="BB43" s="182" t="s">
        <v>975</v>
      </c>
      <c r="BC43" s="141" t="s">
        <v>976</v>
      </c>
      <c r="BD43" s="141" t="s">
        <v>977</v>
      </c>
      <c r="BE43" s="183" t="s">
        <v>917</v>
      </c>
      <c r="BF43" s="183" t="s">
        <v>918</v>
      </c>
      <c r="BG43" s="182" t="s">
        <v>978</v>
      </c>
      <c r="BH43" s="141" t="s">
        <v>976</v>
      </c>
      <c r="BI43" s="141" t="s">
        <v>965</v>
      </c>
      <c r="BJ43" s="183" t="s">
        <v>440</v>
      </c>
    </row>
    <row r="44" spans="1:62" s="59" customFormat="1" ht="96" x14ac:dyDescent="0.25">
      <c r="A44" s="295"/>
      <c r="B44" s="539"/>
      <c r="C44" s="297"/>
      <c r="D44" s="298"/>
      <c r="E44" s="298"/>
      <c r="F44" s="297"/>
      <c r="G44" s="297"/>
      <c r="H44" s="298"/>
      <c r="I44" s="547"/>
      <c r="J44" s="547"/>
      <c r="K44" s="126" t="s">
        <v>979</v>
      </c>
      <c r="L44" s="332"/>
      <c r="M44" s="254"/>
      <c r="N44" s="297"/>
      <c r="O44" s="332"/>
      <c r="P44" s="254"/>
      <c r="Q44" s="317"/>
      <c r="R44" s="298" t="s">
        <v>980</v>
      </c>
      <c r="S44" s="298"/>
      <c r="T44" s="126" t="s">
        <v>147</v>
      </c>
      <c r="U44" s="135">
        <f t="shared" si="72"/>
        <v>15</v>
      </c>
      <c r="V44" s="126" t="s">
        <v>148</v>
      </c>
      <c r="W44" s="135">
        <f t="shared" si="73"/>
        <v>15</v>
      </c>
      <c r="X44" s="126" t="s">
        <v>149</v>
      </c>
      <c r="Y44" s="135">
        <f t="shared" si="74"/>
        <v>15</v>
      </c>
      <c r="Z44" s="126" t="s">
        <v>150</v>
      </c>
      <c r="AA44" s="135">
        <f t="shared" si="75"/>
        <v>15</v>
      </c>
      <c r="AB44" s="126" t="s">
        <v>151</v>
      </c>
      <c r="AC44" s="135">
        <f t="shared" si="76"/>
        <v>15</v>
      </c>
      <c r="AD44" s="126" t="s">
        <v>152</v>
      </c>
      <c r="AE44" s="135">
        <f t="shared" si="77"/>
        <v>15</v>
      </c>
      <c r="AF44" s="126" t="s">
        <v>153</v>
      </c>
      <c r="AG44" s="135">
        <f t="shared" si="78"/>
        <v>10</v>
      </c>
      <c r="AH44" s="128">
        <f t="shared" si="71"/>
        <v>100</v>
      </c>
      <c r="AI44" s="128" t="str">
        <f t="shared" si="82"/>
        <v>Fuerte</v>
      </c>
      <c r="AJ44" s="139" t="s">
        <v>154</v>
      </c>
      <c r="AK44" s="128" t="str">
        <f t="shared" si="79"/>
        <v>Fuerte</v>
      </c>
      <c r="AL44" s="128" t="str">
        <f t="shared" si="80"/>
        <v>FuerteFuerte</v>
      </c>
      <c r="AM44" s="128" t="str">
        <f>IFERROR(VLOOKUP(AL44,[12]FORMULAS!$B$70:$D$78,3,FALSE),"")</f>
        <v>Fuerte</v>
      </c>
      <c r="AN44" s="128">
        <f t="shared" si="81"/>
        <v>100</v>
      </c>
      <c r="AO44" s="271"/>
      <c r="AP44" s="461"/>
      <c r="AQ44" s="271"/>
      <c r="AR44" s="488"/>
      <c r="AS44" s="488"/>
      <c r="AT44" s="128"/>
      <c r="AU44" s="487"/>
      <c r="AV44" s="487"/>
      <c r="AW44" s="332"/>
      <c r="AX44" s="332"/>
      <c r="AY44" s="135"/>
      <c r="AZ44" s="501"/>
      <c r="BA44" s="491"/>
      <c r="BB44" s="182" t="s">
        <v>981</v>
      </c>
      <c r="BC44" s="141" t="s">
        <v>964</v>
      </c>
      <c r="BD44" s="141" t="s">
        <v>965</v>
      </c>
      <c r="BE44" s="183" t="s">
        <v>515</v>
      </c>
      <c r="BF44" s="183" t="s">
        <v>982</v>
      </c>
      <c r="BG44" s="182" t="s">
        <v>968</v>
      </c>
      <c r="BH44" s="141" t="s">
        <v>983</v>
      </c>
      <c r="BI44" s="141" t="s">
        <v>965</v>
      </c>
      <c r="BJ44" s="183" t="s">
        <v>440</v>
      </c>
    </row>
    <row r="45" spans="1:62" s="59" customFormat="1" ht="60.75" thickBot="1" x14ac:dyDescent="0.3">
      <c r="A45" s="295"/>
      <c r="B45" s="544"/>
      <c r="C45" s="297"/>
      <c r="D45" s="298"/>
      <c r="E45" s="298"/>
      <c r="F45" s="297"/>
      <c r="G45" s="297"/>
      <c r="H45" s="298"/>
      <c r="I45" s="547"/>
      <c r="J45" s="547"/>
      <c r="K45" s="126" t="s">
        <v>984</v>
      </c>
      <c r="L45" s="258"/>
      <c r="M45" s="254"/>
      <c r="N45" s="297"/>
      <c r="O45" s="258"/>
      <c r="P45" s="254"/>
      <c r="Q45" s="317"/>
      <c r="R45" s="298" t="s">
        <v>985</v>
      </c>
      <c r="S45" s="298"/>
      <c r="T45" s="126" t="s">
        <v>147</v>
      </c>
      <c r="U45" s="135">
        <f t="shared" si="72"/>
        <v>15</v>
      </c>
      <c r="V45" s="126" t="s">
        <v>148</v>
      </c>
      <c r="W45" s="135">
        <f t="shared" si="73"/>
        <v>15</v>
      </c>
      <c r="X45" s="126" t="s">
        <v>149</v>
      </c>
      <c r="Y45" s="135">
        <f t="shared" si="74"/>
        <v>15</v>
      </c>
      <c r="Z45" s="126" t="s">
        <v>150</v>
      </c>
      <c r="AA45" s="135">
        <f t="shared" si="75"/>
        <v>15</v>
      </c>
      <c r="AB45" s="126" t="s">
        <v>151</v>
      </c>
      <c r="AC45" s="135">
        <f t="shared" si="76"/>
        <v>15</v>
      </c>
      <c r="AD45" s="126" t="s">
        <v>152</v>
      </c>
      <c r="AE45" s="135">
        <f t="shared" si="77"/>
        <v>15</v>
      </c>
      <c r="AF45" s="126" t="s">
        <v>153</v>
      </c>
      <c r="AG45" s="135">
        <f t="shared" si="78"/>
        <v>10</v>
      </c>
      <c r="AH45" s="128">
        <f t="shared" si="71"/>
        <v>100</v>
      </c>
      <c r="AI45" s="128" t="str">
        <f t="shared" si="82"/>
        <v>Fuerte</v>
      </c>
      <c r="AJ45" s="139" t="s">
        <v>154</v>
      </c>
      <c r="AK45" s="128" t="str">
        <f t="shared" si="79"/>
        <v>Fuerte</v>
      </c>
      <c r="AL45" s="128" t="str">
        <f t="shared" si="80"/>
        <v>FuerteFuerte</v>
      </c>
      <c r="AM45" s="128" t="str">
        <f>IFERROR(VLOOKUP(AL45,[12]FORMULAS!$B$70:$D$78,3,FALSE),"")</f>
        <v>Fuerte</v>
      </c>
      <c r="AN45" s="128">
        <f t="shared" si="81"/>
        <v>100</v>
      </c>
      <c r="AO45" s="271"/>
      <c r="AP45" s="461"/>
      <c r="AQ45" s="271"/>
      <c r="AR45" s="453"/>
      <c r="AS45" s="453"/>
      <c r="AT45" s="128"/>
      <c r="AU45" s="322"/>
      <c r="AV45" s="322"/>
      <c r="AW45" s="321"/>
      <c r="AX45" s="321"/>
      <c r="AY45" s="135"/>
      <c r="AZ45" s="455"/>
      <c r="BA45" s="503"/>
      <c r="BB45" s="141" t="s">
        <v>986</v>
      </c>
      <c r="BC45" s="141" t="s">
        <v>987</v>
      </c>
      <c r="BD45" s="141" t="s">
        <v>988</v>
      </c>
      <c r="BE45" s="182" t="s">
        <v>158</v>
      </c>
      <c r="BF45" s="183" t="s">
        <v>989</v>
      </c>
      <c r="BG45" s="182" t="s">
        <v>968</v>
      </c>
      <c r="BH45" s="141" t="s">
        <v>990</v>
      </c>
      <c r="BI45" s="141" t="s">
        <v>991</v>
      </c>
      <c r="BJ45" s="183" t="s">
        <v>440</v>
      </c>
    </row>
    <row r="46" spans="1:62" s="59" customFormat="1" ht="108" customHeight="1" x14ac:dyDescent="0.25">
      <c r="A46" s="295">
        <v>7</v>
      </c>
      <c r="B46" s="538" t="s">
        <v>53</v>
      </c>
      <c r="C46" s="331">
        <v>7</v>
      </c>
      <c r="D46" s="333" t="s">
        <v>992</v>
      </c>
      <c r="E46" s="333" t="s">
        <v>993</v>
      </c>
      <c r="F46" s="331" t="s">
        <v>31</v>
      </c>
      <c r="G46" s="331" t="s">
        <v>69</v>
      </c>
      <c r="H46" s="333" t="s">
        <v>994</v>
      </c>
      <c r="I46" s="390" t="s">
        <v>54</v>
      </c>
      <c r="J46" s="390" t="s">
        <v>995</v>
      </c>
      <c r="K46" s="126" t="s">
        <v>996</v>
      </c>
      <c r="L46" s="331" t="s">
        <v>997</v>
      </c>
      <c r="M46" s="135" t="str">
        <f t="shared" ref="M46" si="83">IF(F46="gestion","impacto",IF(F46="corrupcion","impactocorrupcion",IF(F46="seguridad_de_la_informacion","impacto","")))</f>
        <v>impacto</v>
      </c>
      <c r="N46" s="331" t="s">
        <v>35</v>
      </c>
      <c r="O46" s="331" t="s">
        <v>27</v>
      </c>
      <c r="P46" s="135" t="str">
        <f t="shared" ref="P46" si="84">N46&amp;O46</f>
        <v>PosibleMayor</v>
      </c>
      <c r="Q46" s="337" t="str">
        <f>IFERROR(VLOOKUP(P46,[12]FORMULAS!$B$38:$C$62,2,FALSE),"")</f>
        <v>Riesgo extremo</v>
      </c>
      <c r="R46" s="298" t="s">
        <v>998</v>
      </c>
      <c r="S46" s="298"/>
      <c r="T46" s="126" t="s">
        <v>147</v>
      </c>
      <c r="U46" s="135">
        <f>IF(T46="Asignado",15,0)</f>
        <v>15</v>
      </c>
      <c r="V46" s="126" t="s">
        <v>148</v>
      </c>
      <c r="W46" s="135">
        <f>IF(V46="Adecuado",15,0)</f>
        <v>15</v>
      </c>
      <c r="X46" s="126" t="s">
        <v>149</v>
      </c>
      <c r="Y46" s="135">
        <f>IF(X46="Oportuna",15,0)</f>
        <v>15</v>
      </c>
      <c r="Z46" s="126" t="s">
        <v>150</v>
      </c>
      <c r="AA46" s="135">
        <f>IF(Z46="Prevenir",15,IF(Z46="Detectar",10,0))</f>
        <v>15</v>
      </c>
      <c r="AB46" s="126" t="s">
        <v>151</v>
      </c>
      <c r="AC46" s="135">
        <f>IF(AB46="Confiable",15,0)</f>
        <v>15</v>
      </c>
      <c r="AD46" s="126" t="s">
        <v>152</v>
      </c>
      <c r="AE46" s="135">
        <f>IF(AD46="Se investigan y resuelven oportunamente",15,0)</f>
        <v>15</v>
      </c>
      <c r="AF46" s="126" t="s">
        <v>153</v>
      </c>
      <c r="AG46" s="135">
        <f>IF(AF46="Completa",10,IF(AF46="incompleta",5,0))</f>
        <v>10</v>
      </c>
      <c r="AH46" s="128">
        <f t="shared" ref="AH46:AH47" si="85">U46+W46+Y46+AA46+AC46+AE46+AG46</f>
        <v>100</v>
      </c>
      <c r="AI46" s="128" t="str">
        <f>IF(AH46&gt;=96,"Fuerte",IF(AH46&gt;=86,"Moderado",IF(AH46&gt;=1,"Débil","")))</f>
        <v>Fuerte</v>
      </c>
      <c r="AJ46" s="139" t="s">
        <v>154</v>
      </c>
      <c r="AK46" s="128" t="str">
        <f>IF(AJ46="Siempre se ejecuta","Fuerte",IF(AJ46="Algunas veces","Moderado",IF(AJ46="no se ejecuta","Débil","")))</f>
        <v>Fuerte</v>
      </c>
      <c r="AL46" s="128" t="str">
        <f>AI46&amp;AK46</f>
        <v>FuerteFuerte</v>
      </c>
      <c r="AM46" s="128" t="str">
        <f>IFERROR(VLOOKUP(AL46,[12]FORMULAS!$B$70:$D$78,3,FALSE),"")</f>
        <v>Fuerte</v>
      </c>
      <c r="AN46" s="128">
        <f>IF(AM46="fuerte",100,IF(AM46="Moderado",50,IF(AM46="débil",0,"")))</f>
        <v>100</v>
      </c>
      <c r="AO46" s="128">
        <f>IFERROR(AVERAGE(AN46:AN46),0)</f>
        <v>100</v>
      </c>
      <c r="AP46" s="461"/>
      <c r="AQ46" s="128" t="str">
        <f>IF(AO46&gt;=100,"Fuerte",IF(AO46&gt;=50,"Moderado",IF(AO46&gt;=1,"Débil","")))</f>
        <v>Fuerte</v>
      </c>
      <c r="AR46" s="139" t="s">
        <v>92</v>
      </c>
      <c r="AS46" s="139" t="s">
        <v>94</v>
      </c>
      <c r="AT46" s="128" t="str">
        <f>+AQ46&amp;AR46&amp;AS46</f>
        <v>FuerteDirectamenteIndirectamente</v>
      </c>
      <c r="AU46" s="128">
        <f>IFERROR(VLOOKUP(AT46,[12]FORMULAS!$B$95:$D$102,2,FALSE),0)</f>
        <v>2</v>
      </c>
      <c r="AV46" s="128">
        <f>IFERROR(VLOOKUP(AT46,[12]FORMULAS!$B$95:$D$102,3,FALSE),0)</f>
        <v>1</v>
      </c>
      <c r="AW46" s="126" t="s">
        <v>15</v>
      </c>
      <c r="AX46" s="126" t="s">
        <v>17</v>
      </c>
      <c r="AY46" s="135" t="str">
        <f>AW46&amp;AX46</f>
        <v>Rara vezModerado</v>
      </c>
      <c r="AZ46" s="302" t="str">
        <f>IFERROR(VLOOKUP(AY46,[12]FORMULAS!$B$38:$C$62,2,FALSE),"")</f>
        <v>Riesgo moderado</v>
      </c>
      <c r="BA46" s="502" t="s">
        <v>19</v>
      </c>
      <c r="BB46" s="182" t="s">
        <v>999</v>
      </c>
      <c r="BC46" s="141" t="s">
        <v>1000</v>
      </c>
      <c r="BD46" s="141" t="s">
        <v>1001</v>
      </c>
      <c r="BE46" s="183" t="s">
        <v>158</v>
      </c>
      <c r="BF46" s="183" t="s">
        <v>1002</v>
      </c>
      <c r="BG46" s="182" t="s">
        <v>1003</v>
      </c>
      <c r="BH46" s="141" t="s">
        <v>946</v>
      </c>
      <c r="BI46" s="141" t="s">
        <v>947</v>
      </c>
      <c r="BJ46" s="183" t="s">
        <v>440</v>
      </c>
    </row>
    <row r="47" spans="1:62" s="59" customFormat="1" ht="110.25" customHeight="1" thickBot="1" x14ac:dyDescent="0.3">
      <c r="A47" s="295"/>
      <c r="B47" s="539"/>
      <c r="C47" s="258"/>
      <c r="D47" s="334"/>
      <c r="E47" s="334"/>
      <c r="F47" s="258"/>
      <c r="G47" s="258"/>
      <c r="H47" s="334"/>
      <c r="I47" s="490"/>
      <c r="J47" s="490"/>
      <c r="K47" s="126" t="s">
        <v>1004</v>
      </c>
      <c r="L47" s="258"/>
      <c r="M47" s="135"/>
      <c r="N47" s="258"/>
      <c r="O47" s="258"/>
      <c r="P47" s="135"/>
      <c r="Q47" s="338"/>
      <c r="R47" s="568" t="s">
        <v>1005</v>
      </c>
      <c r="S47" s="569"/>
      <c r="T47" s="126" t="s">
        <v>147</v>
      </c>
      <c r="U47" s="135">
        <f>IF(T47="Asignado",15,0)</f>
        <v>15</v>
      </c>
      <c r="V47" s="126" t="s">
        <v>148</v>
      </c>
      <c r="W47" s="135">
        <f>IF(V47="Adecuado",15,0)</f>
        <v>15</v>
      </c>
      <c r="X47" s="126" t="s">
        <v>149</v>
      </c>
      <c r="Y47" s="135">
        <f>IF(X47="Oportuna",15,0)</f>
        <v>15</v>
      </c>
      <c r="Z47" s="126" t="s">
        <v>150</v>
      </c>
      <c r="AA47" s="135">
        <f>IF(Z47="Prevenir",15,IF(Z47="Detectar",10,0))</f>
        <v>15</v>
      </c>
      <c r="AB47" s="126" t="s">
        <v>151</v>
      </c>
      <c r="AC47" s="135">
        <f>IF(AB47="Confiable",15,0)</f>
        <v>15</v>
      </c>
      <c r="AD47" s="126" t="s">
        <v>152</v>
      </c>
      <c r="AE47" s="135">
        <f>IF(AD47="Se investigan y resuelven oportunamente",15,0)</f>
        <v>15</v>
      </c>
      <c r="AF47" s="126" t="s">
        <v>153</v>
      </c>
      <c r="AG47" s="135">
        <f>IF(AF47="Completa",10,IF(AF47="incompleta",5,0))</f>
        <v>10</v>
      </c>
      <c r="AH47" s="128">
        <f t="shared" si="85"/>
        <v>100</v>
      </c>
      <c r="AI47" s="128" t="str">
        <f>IF(AH47&gt;=96,"Fuerte",IF(AH47&gt;=86,"Moderado",IF(AH47&gt;=1,"Débil","")))</f>
        <v>Fuerte</v>
      </c>
      <c r="AJ47" s="139" t="s">
        <v>154</v>
      </c>
      <c r="AK47" s="128" t="str">
        <f>IF(AJ47="Siempre se ejecuta","Fuerte",IF(AJ47="Algunas veces","Moderado",IF(AJ47="no se ejecuta","Débil","")))</f>
        <v>Fuerte</v>
      </c>
      <c r="AL47" s="128" t="str">
        <f>AI47&amp;AK47</f>
        <v>FuerteFuerte</v>
      </c>
      <c r="AM47" s="128" t="str">
        <f>IFERROR(VLOOKUP(AL47,[12]FORMULAS!$B$70:$D$78,3,FALSE),"")</f>
        <v>Fuerte</v>
      </c>
      <c r="AN47" s="128">
        <f>IF(AM47="fuerte",100,IF(AM47="Moderado",50,IF(AM47="débil",0,"")))</f>
        <v>100</v>
      </c>
      <c r="AO47" s="128">
        <f>IFERROR(AVERAGE(AN47:AN47),0)</f>
        <v>100</v>
      </c>
      <c r="AP47" s="461"/>
      <c r="AQ47" s="128" t="str">
        <f>IF(AO47&gt;=100,"Fuerte",IF(AO47&gt;=50,"Moderado",IF(AO47&gt;=1,"Débil","")))</f>
        <v>Fuerte</v>
      </c>
      <c r="AR47" s="139" t="s">
        <v>92</v>
      </c>
      <c r="AS47" s="139" t="s">
        <v>92</v>
      </c>
      <c r="AT47" s="128" t="str">
        <f>+AQ47&amp;AR47&amp;AS47</f>
        <v>FuerteDirectamenteDirectamente</v>
      </c>
      <c r="AU47" s="128">
        <f>IFERROR(VLOOKUP(AT47,[12]FORMULAS!$B$95:$D$102,2,FALSE),0)</f>
        <v>2</v>
      </c>
      <c r="AV47" s="128">
        <f>IFERROR(VLOOKUP(AT47,[12]FORMULAS!$B$95:$D$102,3,FALSE),0)</f>
        <v>2</v>
      </c>
      <c r="AW47" s="126" t="s">
        <v>15</v>
      </c>
      <c r="AX47" s="126" t="s">
        <v>17</v>
      </c>
      <c r="AY47" s="135"/>
      <c r="AZ47" s="455"/>
      <c r="BA47" s="503"/>
      <c r="BB47" s="182" t="s">
        <v>1006</v>
      </c>
      <c r="BC47" s="141" t="s">
        <v>1000</v>
      </c>
      <c r="BD47" s="141" t="s">
        <v>1001</v>
      </c>
      <c r="BE47" s="183" t="s">
        <v>312</v>
      </c>
      <c r="BF47" s="183" t="s">
        <v>1007</v>
      </c>
      <c r="BG47" s="182" t="s">
        <v>1008</v>
      </c>
      <c r="BH47" s="141" t="s">
        <v>1009</v>
      </c>
      <c r="BI47" s="141" t="s">
        <v>947</v>
      </c>
      <c r="BJ47" s="183" t="s">
        <v>440</v>
      </c>
    </row>
    <row r="48" spans="1:62" s="59" customFormat="1" ht="132" x14ac:dyDescent="0.25">
      <c r="A48" s="295">
        <v>8</v>
      </c>
      <c r="B48" s="538" t="s">
        <v>53</v>
      </c>
      <c r="C48" s="297">
        <v>8</v>
      </c>
      <c r="D48" s="298" t="s">
        <v>1010</v>
      </c>
      <c r="E48" s="298" t="s">
        <v>1011</v>
      </c>
      <c r="F48" s="297" t="s">
        <v>31</v>
      </c>
      <c r="G48" s="297" t="s">
        <v>69</v>
      </c>
      <c r="H48" s="298" t="s">
        <v>1012</v>
      </c>
      <c r="I48" s="299" t="s">
        <v>51</v>
      </c>
      <c r="J48" s="299" t="s">
        <v>1013</v>
      </c>
      <c r="K48" s="126" t="s">
        <v>1014</v>
      </c>
      <c r="L48" s="331" t="s">
        <v>1015</v>
      </c>
      <c r="M48" s="254" t="str">
        <f t="shared" ref="M48" si="86">IF(F48="gestion","impacto",IF(F48="corrupcion","impactocorrupcion",IF(F48="seguridad_de_la_informacion","impacto","")))</f>
        <v>impacto</v>
      </c>
      <c r="N48" s="297" t="s">
        <v>42</v>
      </c>
      <c r="O48" s="297" t="s">
        <v>28</v>
      </c>
      <c r="P48" s="254" t="str">
        <f t="shared" ref="P48" si="87">N48&amp;O48</f>
        <v>ProbableMenor</v>
      </c>
      <c r="Q48" s="317" t="str">
        <f>IFERROR(VLOOKUP(P48,[12]FORMULAS!$B$38:$C$62,2,FALSE),"")</f>
        <v>Riesgo alto</v>
      </c>
      <c r="R48" s="298" t="s">
        <v>1016</v>
      </c>
      <c r="S48" s="298"/>
      <c r="T48" s="126" t="s">
        <v>147</v>
      </c>
      <c r="U48" s="135">
        <f>IF(T48="Asignado",15,0)</f>
        <v>15</v>
      </c>
      <c r="V48" s="126" t="s">
        <v>148</v>
      </c>
      <c r="W48" s="135">
        <f t="shared" ref="W48:W49" si="88">IF(V48="Adecuado",15,0)</f>
        <v>15</v>
      </c>
      <c r="X48" s="126" t="s">
        <v>149</v>
      </c>
      <c r="Y48" s="135">
        <f t="shared" ref="Y48:Y49" si="89">IF(X48="Oportuna",15,0)</f>
        <v>15</v>
      </c>
      <c r="Z48" s="126" t="s">
        <v>150</v>
      </c>
      <c r="AA48" s="135">
        <f t="shared" ref="AA48:AA49" si="90">IF(Z48="Prevenir",15,IF(Z48="Detectar",10,0))</f>
        <v>15</v>
      </c>
      <c r="AB48" s="126" t="s">
        <v>151</v>
      </c>
      <c r="AC48" s="135">
        <f t="shared" ref="AC48:AC49" si="91">IF(AB48="Confiable",15,0)</f>
        <v>15</v>
      </c>
      <c r="AD48" s="126" t="s">
        <v>152</v>
      </c>
      <c r="AE48" s="135">
        <f t="shared" ref="AE48:AE49" si="92">IF(AD48="Se investigan y resuelven oportunamente",15,0)</f>
        <v>15</v>
      </c>
      <c r="AF48" s="126" t="s">
        <v>153</v>
      </c>
      <c r="AG48" s="135">
        <f>IF(AF48="Completa",10,IF(AF48="incompleta",5,0))</f>
        <v>10</v>
      </c>
      <c r="AH48" s="128">
        <f t="shared" ref="AH48:AH50" si="93">U48+W48+Y48+AA48+AC48+AE48+AG48</f>
        <v>100</v>
      </c>
      <c r="AI48" s="128" t="str">
        <f>IF(AH48&gt;=96,"Fuerte",IF(AH48&gt;=86,"Moderado",IF(AH48&gt;=1,"Débil","")))</f>
        <v>Fuerte</v>
      </c>
      <c r="AJ48" s="139" t="s">
        <v>154</v>
      </c>
      <c r="AK48" s="128" t="str">
        <f t="shared" ref="AK48:AK50" si="94">IF(AJ48="Siempre se ejecuta","Fuerte",IF(AJ48="Algunas veces","Moderado",IF(AJ48="no se ejecuta","Débil","")))</f>
        <v>Fuerte</v>
      </c>
      <c r="AL48" s="128" t="str">
        <f t="shared" ref="AL48:AL50" si="95">AI48&amp;AK48</f>
        <v>FuerteFuerte</v>
      </c>
      <c r="AM48" s="128" t="str">
        <f>IFERROR(VLOOKUP(AL48,[12]FORMULAS!$B$70:$D$78,3,FALSE),"")</f>
        <v>Fuerte</v>
      </c>
      <c r="AN48" s="128">
        <f t="shared" ref="AN48:AN50" si="96">IF(AM48="fuerte",100,IF(AM48="Moderado",50,IF(AM48="débil",0,"")))</f>
        <v>100</v>
      </c>
      <c r="AO48" s="271">
        <f>IFERROR(AVERAGE(AN48:AN50),0)</f>
        <v>100</v>
      </c>
      <c r="AQ48" s="271" t="str">
        <f>IF(AO48&gt;=100,"Fuerte",IF(AO48&gt;=50,"Moderado",IF(AO48&gt;=1,"Débil","")))</f>
        <v>Fuerte</v>
      </c>
      <c r="AR48" s="301" t="s">
        <v>92</v>
      </c>
      <c r="AS48" s="301" t="s">
        <v>92</v>
      </c>
      <c r="AT48" s="128" t="str">
        <f>+AQ48&amp;AR48&amp;AS48</f>
        <v>FuerteDirectamenteDirectamente</v>
      </c>
      <c r="AU48" s="300">
        <f>IFERROR(VLOOKUP(AT48,[12]FORMULAS!$B$95:$D$102,2,FALSE),0)</f>
        <v>2</v>
      </c>
      <c r="AV48" s="300">
        <f>IFERROR(VLOOKUP(AT48,[12]FORMULAS!$B$95:$D$102,3,FALSE),0)</f>
        <v>2</v>
      </c>
      <c r="AW48" s="331" t="s">
        <v>15</v>
      </c>
      <c r="AX48" s="331" t="s">
        <v>18</v>
      </c>
      <c r="AY48" s="135" t="str">
        <f>AW48&amp;AX48</f>
        <v>Rara vezInsignificante</v>
      </c>
      <c r="AZ48" s="302" t="str">
        <f>IFERROR(VLOOKUP(AY48,[12]FORMULAS!$B$38:$C$62,2,FALSE),"")</f>
        <v>Riesgo bajo</v>
      </c>
      <c r="BA48" s="502" t="s">
        <v>19</v>
      </c>
      <c r="BB48" s="182" t="s">
        <v>1017</v>
      </c>
      <c r="BC48" s="141" t="s">
        <v>1000</v>
      </c>
      <c r="BD48" s="141" t="s">
        <v>1001</v>
      </c>
      <c r="BE48" s="183" t="s">
        <v>329</v>
      </c>
      <c r="BF48" s="183" t="s">
        <v>1018</v>
      </c>
      <c r="BG48" s="182" t="s">
        <v>1019</v>
      </c>
      <c r="BH48" s="141" t="s">
        <v>1020</v>
      </c>
      <c r="BI48" s="141" t="s">
        <v>1021</v>
      </c>
      <c r="BJ48" s="183" t="s">
        <v>440</v>
      </c>
    </row>
    <row r="49" spans="1:62" s="59" customFormat="1" ht="72" x14ac:dyDescent="0.25">
      <c r="A49" s="295"/>
      <c r="B49" s="539"/>
      <c r="C49" s="297"/>
      <c r="D49" s="298"/>
      <c r="E49" s="298"/>
      <c r="F49" s="297"/>
      <c r="G49" s="297"/>
      <c r="H49" s="298"/>
      <c r="I49" s="299"/>
      <c r="J49" s="299"/>
      <c r="K49" s="126" t="s">
        <v>1022</v>
      </c>
      <c r="L49" s="332"/>
      <c r="M49" s="254"/>
      <c r="N49" s="297"/>
      <c r="O49" s="297"/>
      <c r="P49" s="254"/>
      <c r="Q49" s="317"/>
      <c r="R49" s="298" t="s">
        <v>1023</v>
      </c>
      <c r="S49" s="298"/>
      <c r="T49" s="126" t="s">
        <v>147</v>
      </c>
      <c r="U49" s="135">
        <f t="shared" ref="U49:U50" si="97">IF(T49="Asignado",15,0)</f>
        <v>15</v>
      </c>
      <c r="V49" s="126" t="s">
        <v>148</v>
      </c>
      <c r="W49" s="135">
        <f t="shared" si="88"/>
        <v>15</v>
      </c>
      <c r="X49" s="126" t="s">
        <v>149</v>
      </c>
      <c r="Y49" s="135">
        <f t="shared" si="89"/>
        <v>15</v>
      </c>
      <c r="Z49" s="126" t="s">
        <v>150</v>
      </c>
      <c r="AA49" s="135">
        <f t="shared" si="90"/>
        <v>15</v>
      </c>
      <c r="AB49" s="126" t="s">
        <v>151</v>
      </c>
      <c r="AC49" s="135">
        <f t="shared" si="91"/>
        <v>15</v>
      </c>
      <c r="AD49" s="126" t="s">
        <v>152</v>
      </c>
      <c r="AE49" s="135">
        <f t="shared" si="92"/>
        <v>15</v>
      </c>
      <c r="AF49" s="126" t="s">
        <v>153</v>
      </c>
      <c r="AG49" s="135">
        <f t="shared" ref="AG49:AG50" si="98">IF(AF49="Completa",10,IF(AF49="incompleta",5,0))</f>
        <v>10</v>
      </c>
      <c r="AH49" s="128">
        <f t="shared" si="93"/>
        <v>100</v>
      </c>
      <c r="AI49" s="128" t="str">
        <f>IF(AH49&gt;=96,"Fuerte",IF(AH49&gt;=86,"Moderado",IF(AH49&gt;=1,"Débil","")))</f>
        <v>Fuerte</v>
      </c>
      <c r="AJ49" s="139" t="s">
        <v>154</v>
      </c>
      <c r="AK49" s="128" t="str">
        <f t="shared" si="94"/>
        <v>Fuerte</v>
      </c>
      <c r="AL49" s="128" t="str">
        <f t="shared" si="95"/>
        <v>FuerteFuerte</v>
      </c>
      <c r="AM49" s="128" t="str">
        <f>IFERROR(VLOOKUP(AL49,[12]FORMULAS!$B$70:$D$78,3,FALSE),"")</f>
        <v>Fuerte</v>
      </c>
      <c r="AN49" s="128">
        <f t="shared" si="96"/>
        <v>100</v>
      </c>
      <c r="AO49" s="271"/>
      <c r="AQ49" s="271"/>
      <c r="AR49" s="488"/>
      <c r="AS49" s="488"/>
      <c r="AT49" s="128"/>
      <c r="AU49" s="487"/>
      <c r="AV49" s="487"/>
      <c r="AW49" s="332"/>
      <c r="AX49" s="332"/>
      <c r="AY49" s="135"/>
      <c r="AZ49" s="501"/>
      <c r="BA49" s="491"/>
      <c r="BB49" s="182" t="s">
        <v>1024</v>
      </c>
      <c r="BC49" s="141" t="s">
        <v>1000</v>
      </c>
      <c r="BD49" s="141" t="s">
        <v>1001</v>
      </c>
      <c r="BE49" s="183" t="s">
        <v>329</v>
      </c>
      <c r="BF49" s="183" t="s">
        <v>1018</v>
      </c>
      <c r="BG49" s="182" t="s">
        <v>1025</v>
      </c>
      <c r="BH49" s="141" t="s">
        <v>1026</v>
      </c>
      <c r="BI49" s="141" t="s">
        <v>1021</v>
      </c>
      <c r="BJ49" s="183" t="s">
        <v>440</v>
      </c>
    </row>
    <row r="50" spans="1:62" s="59" customFormat="1" ht="108.75" thickBot="1" x14ac:dyDescent="0.3">
      <c r="A50" s="295"/>
      <c r="B50" s="544"/>
      <c r="C50" s="297"/>
      <c r="D50" s="298"/>
      <c r="E50" s="298"/>
      <c r="F50" s="297"/>
      <c r="G50" s="297"/>
      <c r="H50" s="298"/>
      <c r="I50" s="299"/>
      <c r="J50" s="299"/>
      <c r="K50" s="126" t="s">
        <v>1027</v>
      </c>
      <c r="L50" s="258"/>
      <c r="M50" s="254"/>
      <c r="N50" s="297"/>
      <c r="O50" s="297"/>
      <c r="P50" s="254"/>
      <c r="Q50" s="317"/>
      <c r="R50" s="298" t="s">
        <v>1028</v>
      </c>
      <c r="S50" s="298"/>
      <c r="T50" s="126" t="s">
        <v>147</v>
      </c>
      <c r="U50" s="135">
        <f t="shared" si="97"/>
        <v>15</v>
      </c>
      <c r="V50" s="126" t="s">
        <v>148</v>
      </c>
      <c r="W50" s="135">
        <f>IF(V50="Adecuado",15,0)</f>
        <v>15</v>
      </c>
      <c r="X50" s="126" t="s">
        <v>149</v>
      </c>
      <c r="Y50" s="135">
        <f>IF(X50="Oportuna",15,0)</f>
        <v>15</v>
      </c>
      <c r="Z50" s="126" t="s">
        <v>150</v>
      </c>
      <c r="AA50" s="135">
        <f>IF(Z50="Prevenir",15,IF(Z50="Detectar",10,0))</f>
        <v>15</v>
      </c>
      <c r="AB50" s="126" t="s">
        <v>151</v>
      </c>
      <c r="AC50" s="135">
        <f>IF(AB50="Confiable",15,0)</f>
        <v>15</v>
      </c>
      <c r="AD50" s="126" t="s">
        <v>152</v>
      </c>
      <c r="AE50" s="135">
        <f>IF(AD50="Se investigan y resuelven oportunamente",15,0)</f>
        <v>15</v>
      </c>
      <c r="AF50" s="126" t="s">
        <v>153</v>
      </c>
      <c r="AG50" s="135">
        <f t="shared" si="98"/>
        <v>10</v>
      </c>
      <c r="AH50" s="128">
        <f t="shared" si="93"/>
        <v>100</v>
      </c>
      <c r="AI50" s="128" t="str">
        <f t="shared" ref="AI50" si="99">IF(AH50&gt;=96,"Fuerte",IF(AH50&gt;=86,"Moderado",IF(AH50&gt;=1,"Débil","")))</f>
        <v>Fuerte</v>
      </c>
      <c r="AJ50" s="139" t="s">
        <v>154</v>
      </c>
      <c r="AK50" s="128" t="str">
        <f t="shared" si="94"/>
        <v>Fuerte</v>
      </c>
      <c r="AL50" s="128" t="str">
        <f t="shared" si="95"/>
        <v>FuerteFuerte</v>
      </c>
      <c r="AM50" s="128" t="str">
        <f>IFERROR(VLOOKUP(AL50,[12]FORMULAS!$B$70:$D$78,3,FALSE),"")</f>
        <v>Fuerte</v>
      </c>
      <c r="AN50" s="128">
        <f t="shared" si="96"/>
        <v>100</v>
      </c>
      <c r="AO50" s="271"/>
      <c r="AQ50" s="271"/>
      <c r="AR50" s="453"/>
      <c r="AS50" s="453"/>
      <c r="AT50" s="128"/>
      <c r="AU50" s="322"/>
      <c r="AV50" s="322"/>
      <c r="AW50" s="321"/>
      <c r="AX50" s="321"/>
      <c r="AY50" s="135"/>
      <c r="AZ50" s="455"/>
      <c r="BA50" s="503"/>
      <c r="BB50" s="182" t="s">
        <v>1029</v>
      </c>
      <c r="BC50" s="141" t="s">
        <v>1000</v>
      </c>
      <c r="BD50" s="141" t="s">
        <v>1001</v>
      </c>
      <c r="BE50" s="183" t="s">
        <v>158</v>
      </c>
      <c r="BF50" s="183" t="s">
        <v>1030</v>
      </c>
      <c r="BG50" s="182" t="s">
        <v>1031</v>
      </c>
      <c r="BH50" s="141" t="s">
        <v>1032</v>
      </c>
      <c r="BI50" s="141" t="s">
        <v>947</v>
      </c>
      <c r="BJ50" s="183" t="s">
        <v>440</v>
      </c>
    </row>
    <row r="51" spans="1:62" s="59" customFormat="1" ht="192" x14ac:dyDescent="0.25">
      <c r="A51" s="295">
        <v>9</v>
      </c>
      <c r="B51" s="538" t="s">
        <v>53</v>
      </c>
      <c r="C51" s="297">
        <v>9</v>
      </c>
      <c r="D51" s="298" t="s">
        <v>1033</v>
      </c>
      <c r="E51" s="298" t="s">
        <v>1034</v>
      </c>
      <c r="F51" s="297" t="s">
        <v>31</v>
      </c>
      <c r="G51" s="297" t="s">
        <v>69</v>
      </c>
      <c r="H51" s="298" t="s">
        <v>1035</v>
      </c>
      <c r="I51" s="299" t="s">
        <v>51</v>
      </c>
      <c r="J51" s="299" t="s">
        <v>1036</v>
      </c>
      <c r="K51" s="126" t="s">
        <v>1037</v>
      </c>
      <c r="L51" s="331" t="s">
        <v>1038</v>
      </c>
      <c r="M51" s="254" t="str">
        <f t="shared" ref="M51" si="100">IF(F51="gestion","impacto",IF(F51="corrupcion","impactocorrupcion",IF(F51="seguridad_de_la_informacion","impacto","")))</f>
        <v>impacto</v>
      </c>
      <c r="N51" s="297" t="s">
        <v>35</v>
      </c>
      <c r="O51" s="297" t="s">
        <v>27</v>
      </c>
      <c r="P51" s="254" t="str">
        <f t="shared" ref="P51" si="101">N51&amp;O51</f>
        <v>PosibleMayor</v>
      </c>
      <c r="Q51" s="317" t="str">
        <f>IFERROR(VLOOKUP(P51,[12]FORMULAS!$B$38:$C$62,2,FALSE),"")</f>
        <v>Riesgo extremo</v>
      </c>
      <c r="R51" s="298" t="s">
        <v>1039</v>
      </c>
      <c r="S51" s="298"/>
      <c r="T51" s="126" t="s">
        <v>147</v>
      </c>
      <c r="U51" s="135">
        <f t="shared" ref="U51:U52" si="102">IF(T51="Asignado",15,0)</f>
        <v>15</v>
      </c>
      <c r="V51" s="126" t="s">
        <v>148</v>
      </c>
      <c r="W51" s="135">
        <f t="shared" ref="W51:W52" si="103">IF(V51="Adecuado",15,0)</f>
        <v>15</v>
      </c>
      <c r="X51" s="126" t="s">
        <v>149</v>
      </c>
      <c r="Y51" s="135">
        <f t="shared" ref="Y51:Y52" si="104">IF(X51="Oportuna",15,0)</f>
        <v>15</v>
      </c>
      <c r="Z51" s="126" t="s">
        <v>150</v>
      </c>
      <c r="AA51" s="135">
        <f t="shared" ref="AA51:AA52" si="105">IF(Z51="Prevenir",15,IF(Z51="Detectar",10,0))</f>
        <v>15</v>
      </c>
      <c r="AB51" s="126" t="s">
        <v>151</v>
      </c>
      <c r="AC51" s="135">
        <f t="shared" ref="AC51:AC52" si="106">IF(AB51="Confiable",15,0)</f>
        <v>15</v>
      </c>
      <c r="AD51" s="126" t="s">
        <v>152</v>
      </c>
      <c r="AE51" s="135">
        <f t="shared" ref="AE51:AE52" si="107">IF(AD51="Se investigan y resuelven oportunamente",15,0)</f>
        <v>15</v>
      </c>
      <c r="AF51" s="126" t="s">
        <v>153</v>
      </c>
      <c r="AG51" s="135">
        <f>IF(AF51="Completa",10,IF(AF51="incompleta",5,0))</f>
        <v>10</v>
      </c>
      <c r="AH51" s="128">
        <f t="shared" ref="AH51:AH52" si="108">U51+W51+Y51+AA51+AC51+AE51+AG51</f>
        <v>100</v>
      </c>
      <c r="AI51" s="128" t="str">
        <f t="shared" ref="AI51:AI52" si="109">IF(AH51&gt;=96,"Fuerte",IF(AH51&gt;=86,"Moderado",IF(AH51&gt;=1,"Débil","")))</f>
        <v>Fuerte</v>
      </c>
      <c r="AJ51" s="139" t="s">
        <v>154</v>
      </c>
      <c r="AK51" s="128" t="str">
        <f t="shared" ref="AK51:AK52" si="110">IF(AJ51="Siempre se ejecuta","Fuerte",IF(AJ51="Algunas veces","Moderado",IF(AJ51="no se ejecuta","Débil","")))</f>
        <v>Fuerte</v>
      </c>
      <c r="AL51" s="128" t="str">
        <f t="shared" ref="AL51:AL52" si="111">AI51&amp;AK51</f>
        <v>FuerteFuerte</v>
      </c>
      <c r="AM51" s="128" t="str">
        <f>IFERROR(VLOOKUP(AL51,[12]FORMULAS!$B$70:$D$78,3,FALSE),"")</f>
        <v>Fuerte</v>
      </c>
      <c r="AN51" s="128">
        <f t="shared" ref="AN51:AN52" si="112">IF(AM51="fuerte",100,IF(AM51="Moderado",50,IF(AM51="débil",0,"")))</f>
        <v>100</v>
      </c>
      <c r="AO51" s="271">
        <f>IFERROR(AVERAGE(AN51:AN52),0)</f>
        <v>100</v>
      </c>
      <c r="AP51" s="461"/>
      <c r="AQ51" s="271" t="str">
        <f>IF(AO51&gt;=100,"Fuerte",IF(AO51&gt;=50,"Moderado",IF(AO51&gt;=1,"Débil","")))</f>
        <v>Fuerte</v>
      </c>
      <c r="AR51" s="272" t="s">
        <v>92</v>
      </c>
      <c r="AS51" s="272" t="s">
        <v>94</v>
      </c>
      <c r="AT51" s="128" t="str">
        <f>+AQ51&amp;AR51&amp;AS51</f>
        <v>FuerteDirectamenteIndirectamente</v>
      </c>
      <c r="AU51" s="255">
        <f>IFERROR(VLOOKUP(AT51,[12]FORMULAS!$B$95:$D$102,2,FALSE),0)</f>
        <v>2</v>
      </c>
      <c r="AV51" s="255">
        <f>IFERROR(VLOOKUP(AT51,[12]FORMULAS!$B$95:$D$102,3,FALSE),0)</f>
        <v>1</v>
      </c>
      <c r="AW51" s="257" t="s">
        <v>15</v>
      </c>
      <c r="AX51" s="257" t="s">
        <v>17</v>
      </c>
      <c r="AY51" s="135" t="str">
        <f>AW51&amp;AX51</f>
        <v>Rara vezModerado</v>
      </c>
      <c r="AZ51" s="302" t="str">
        <f>IFERROR(VLOOKUP(AY51,[12]FORMULAS!$B$38:$C$62,2,FALSE),"")</f>
        <v>Riesgo moderado</v>
      </c>
      <c r="BA51" s="502" t="s">
        <v>19</v>
      </c>
      <c r="BB51" s="182" t="s">
        <v>1040</v>
      </c>
      <c r="BC51" s="141" t="s">
        <v>1041</v>
      </c>
      <c r="BD51" s="141" t="s">
        <v>1042</v>
      </c>
      <c r="BE51" s="183" t="s">
        <v>158</v>
      </c>
      <c r="BF51" s="183" t="s">
        <v>1043</v>
      </c>
      <c r="BG51" s="182" t="s">
        <v>1044</v>
      </c>
      <c r="BH51" s="141" t="s">
        <v>1045</v>
      </c>
      <c r="BI51" s="141" t="s">
        <v>947</v>
      </c>
      <c r="BJ51" s="183" t="s">
        <v>440</v>
      </c>
    </row>
    <row r="52" spans="1:62" s="59" customFormat="1" ht="76.5" customHeight="1" thickBot="1" x14ac:dyDescent="0.3">
      <c r="A52" s="295"/>
      <c r="B52" s="539"/>
      <c r="C52" s="297"/>
      <c r="D52" s="298"/>
      <c r="E52" s="298"/>
      <c r="F52" s="297"/>
      <c r="G52" s="297"/>
      <c r="H52" s="298"/>
      <c r="I52" s="299"/>
      <c r="J52" s="299"/>
      <c r="K52" s="126" t="s">
        <v>1046</v>
      </c>
      <c r="L52" s="258"/>
      <c r="M52" s="254"/>
      <c r="N52" s="297"/>
      <c r="O52" s="297"/>
      <c r="P52" s="254"/>
      <c r="Q52" s="317"/>
      <c r="R52" s="298" t="s">
        <v>1047</v>
      </c>
      <c r="S52" s="298"/>
      <c r="T52" s="126" t="s">
        <v>147</v>
      </c>
      <c r="U52" s="135">
        <f t="shared" si="102"/>
        <v>15</v>
      </c>
      <c r="V52" s="126" t="s">
        <v>148</v>
      </c>
      <c r="W52" s="135">
        <f t="shared" si="103"/>
        <v>15</v>
      </c>
      <c r="X52" s="126" t="s">
        <v>149</v>
      </c>
      <c r="Y52" s="135">
        <f t="shared" si="104"/>
        <v>15</v>
      </c>
      <c r="Z52" s="126" t="s">
        <v>150</v>
      </c>
      <c r="AA52" s="135">
        <f t="shared" si="105"/>
        <v>15</v>
      </c>
      <c r="AB52" s="126" t="s">
        <v>151</v>
      </c>
      <c r="AC52" s="135">
        <f t="shared" si="106"/>
        <v>15</v>
      </c>
      <c r="AD52" s="126" t="s">
        <v>152</v>
      </c>
      <c r="AE52" s="135">
        <f t="shared" si="107"/>
        <v>15</v>
      </c>
      <c r="AF52" s="126" t="s">
        <v>153</v>
      </c>
      <c r="AG52" s="135">
        <f t="shared" ref="AG52" si="113">IF(AF52="Completa",10,IF(AF52="incompleta",5,0))</f>
        <v>10</v>
      </c>
      <c r="AH52" s="128">
        <f t="shared" si="108"/>
        <v>100</v>
      </c>
      <c r="AI52" s="128" t="str">
        <f t="shared" si="109"/>
        <v>Fuerte</v>
      </c>
      <c r="AJ52" s="139" t="s">
        <v>154</v>
      </c>
      <c r="AK52" s="128" t="str">
        <f t="shared" si="110"/>
        <v>Fuerte</v>
      </c>
      <c r="AL52" s="128" t="str">
        <f t="shared" si="111"/>
        <v>FuerteFuerte</v>
      </c>
      <c r="AM52" s="128" t="str">
        <f>IFERROR(VLOOKUP(AL52,[12]FORMULAS!$B$70:$D$78,3,FALSE),"")</f>
        <v>Fuerte</v>
      </c>
      <c r="AN52" s="128">
        <f t="shared" si="112"/>
        <v>100</v>
      </c>
      <c r="AO52" s="271"/>
      <c r="AP52" s="461"/>
      <c r="AQ52" s="271"/>
      <c r="AR52" s="453"/>
      <c r="AS52" s="453"/>
      <c r="AT52" s="128"/>
      <c r="AU52" s="322"/>
      <c r="AV52" s="322"/>
      <c r="AW52" s="321"/>
      <c r="AX52" s="321"/>
      <c r="AY52" s="135"/>
      <c r="AZ52" s="455"/>
      <c r="BA52" s="503"/>
      <c r="BB52" s="182" t="s">
        <v>1048</v>
      </c>
      <c r="BC52" s="141" t="s">
        <v>1000</v>
      </c>
      <c r="BD52" s="141" t="s">
        <v>1001</v>
      </c>
      <c r="BE52" s="183" t="s">
        <v>224</v>
      </c>
      <c r="BF52" s="183" t="s">
        <v>1049</v>
      </c>
      <c r="BG52" s="182" t="s">
        <v>1050</v>
      </c>
      <c r="BH52" s="141" t="s">
        <v>1026</v>
      </c>
      <c r="BI52" s="141" t="s">
        <v>1021</v>
      </c>
      <c r="BJ52" s="183" t="s">
        <v>440</v>
      </c>
    </row>
    <row r="53" spans="1:62" s="59" customFormat="1" ht="108" x14ac:dyDescent="0.25">
      <c r="A53" s="295">
        <v>10</v>
      </c>
      <c r="B53" s="538" t="s">
        <v>53</v>
      </c>
      <c r="C53" s="331">
        <v>10</v>
      </c>
      <c r="D53" s="333" t="s">
        <v>1051</v>
      </c>
      <c r="E53" s="333" t="s">
        <v>1052</v>
      </c>
      <c r="F53" s="331" t="s">
        <v>31</v>
      </c>
      <c r="G53" s="331" t="s">
        <v>69</v>
      </c>
      <c r="H53" s="333" t="s">
        <v>1053</v>
      </c>
      <c r="I53" s="390" t="s">
        <v>51</v>
      </c>
      <c r="J53" s="390" t="s">
        <v>1054</v>
      </c>
      <c r="K53" s="126" t="s">
        <v>1055</v>
      </c>
      <c r="L53" s="331" t="s">
        <v>1056</v>
      </c>
      <c r="M53" s="135" t="str">
        <f t="shared" ref="M53" si="114">IF(F53="gestion","impacto",IF(F53="corrupcion","impactocorrupcion",IF(F53="seguridad_de_la_informacion","impacto","")))</f>
        <v>impacto</v>
      </c>
      <c r="N53" s="331" t="s">
        <v>35</v>
      </c>
      <c r="O53" s="331" t="s">
        <v>27</v>
      </c>
      <c r="P53" s="135" t="str">
        <f t="shared" ref="P53" si="115">N53&amp;O53</f>
        <v>PosibleMayor</v>
      </c>
      <c r="Q53" s="337" t="str">
        <f>IFERROR(VLOOKUP(P53,[12]FORMULAS!$B$38:$C$62,2,FALSE),"")</f>
        <v>Riesgo extremo</v>
      </c>
      <c r="R53" s="298" t="s">
        <v>1057</v>
      </c>
      <c r="S53" s="298"/>
      <c r="T53" s="126" t="s">
        <v>147</v>
      </c>
      <c r="U53" s="135">
        <f t="shared" ref="U53:U54" si="116">IF(T53="Asignado",15,0)</f>
        <v>15</v>
      </c>
      <c r="V53" s="126" t="s">
        <v>148</v>
      </c>
      <c r="W53" s="135">
        <f t="shared" ref="W53:W54" si="117">IF(V53="Adecuado",15,0)</f>
        <v>15</v>
      </c>
      <c r="X53" s="126" t="s">
        <v>149</v>
      </c>
      <c r="Y53" s="135">
        <f t="shared" ref="Y53:Y54" si="118">IF(X53="Oportuna",15,0)</f>
        <v>15</v>
      </c>
      <c r="Z53" s="126" t="s">
        <v>150</v>
      </c>
      <c r="AA53" s="135">
        <f t="shared" ref="AA53:AA54" si="119">IF(Z53="Prevenir",15,IF(Z53="Detectar",10,0))</f>
        <v>15</v>
      </c>
      <c r="AB53" s="126" t="s">
        <v>151</v>
      </c>
      <c r="AC53" s="135">
        <f t="shared" ref="AC53:AC54" si="120">IF(AB53="Confiable",15,0)</f>
        <v>15</v>
      </c>
      <c r="AD53" s="126" t="s">
        <v>152</v>
      </c>
      <c r="AE53" s="135">
        <f t="shared" ref="AE53:AE54" si="121">IF(AD53="Se investigan y resuelven oportunamente",15,0)</f>
        <v>15</v>
      </c>
      <c r="AF53" s="126" t="s">
        <v>153</v>
      </c>
      <c r="AG53" s="135">
        <f>IF(AF53="Completa",10,IF(AF53="incompleta",5,0))</f>
        <v>10</v>
      </c>
      <c r="AH53" s="128">
        <f t="shared" ref="AH53:AH54" si="122">U53+W53+Y53+AA53+AC53+AE53+AG53</f>
        <v>100</v>
      </c>
      <c r="AI53" s="128" t="str">
        <f t="shared" ref="AI53:AI54" si="123">IF(AH53&gt;=96,"Fuerte",IF(AH53&gt;=86,"Moderado",IF(AH53&gt;=1,"Débil","")))</f>
        <v>Fuerte</v>
      </c>
      <c r="AJ53" s="139" t="s">
        <v>154</v>
      </c>
      <c r="AK53" s="128" t="str">
        <f t="shared" ref="AK53:AK54" si="124">IF(AJ53="Siempre se ejecuta","Fuerte",IF(AJ53="Algunas veces","Moderado",IF(AJ53="no se ejecuta","Débil","")))</f>
        <v>Fuerte</v>
      </c>
      <c r="AL53" s="128" t="str">
        <f t="shared" ref="AL53:AL54" si="125">AI53&amp;AK53</f>
        <v>FuerteFuerte</v>
      </c>
      <c r="AM53" s="128" t="str">
        <f>IFERROR(VLOOKUP(AL53,[12]FORMULAS!$B$70:$D$78,3,FALSE),"")</f>
        <v>Fuerte</v>
      </c>
      <c r="AN53" s="128">
        <f>IF(AM53="fuerte",100,IF(AM53="Moderado",50,IF(AM53="débil",0,"")))</f>
        <v>100</v>
      </c>
      <c r="AO53" s="128">
        <f>IFERROR(AVERAGE(AN53:AN53),0)</f>
        <v>100</v>
      </c>
      <c r="AP53" s="461"/>
      <c r="AQ53" s="128" t="str">
        <f>IF(AO53&gt;=100,"Fuerte",IF(AO53&gt;=50,"Moderado",IF(AO53&gt;=1,"Débil","")))</f>
        <v>Fuerte</v>
      </c>
      <c r="AR53" s="139" t="s">
        <v>92</v>
      </c>
      <c r="AS53" s="139" t="s">
        <v>94</v>
      </c>
      <c r="AT53" s="128" t="str">
        <f>+AQ53&amp;AR53&amp;AS53</f>
        <v>FuerteDirectamenteIndirectamente</v>
      </c>
      <c r="AU53" s="128">
        <f>IFERROR(VLOOKUP(AT53,[12]FORMULAS!$B$95:$D$102,2,FALSE),0)</f>
        <v>2</v>
      </c>
      <c r="AV53" s="128">
        <f>IFERROR(VLOOKUP(AT53,[12]FORMULAS!$B$95:$D$102,3,FALSE),0)</f>
        <v>1</v>
      </c>
      <c r="AW53" s="126" t="s">
        <v>15</v>
      </c>
      <c r="AX53" s="126" t="s">
        <v>17</v>
      </c>
      <c r="AY53" s="135" t="str">
        <f>AW53&amp;AX53</f>
        <v>Rara vezModerado</v>
      </c>
      <c r="AZ53" s="302" t="str">
        <f>IFERROR(VLOOKUP(AY53,[12]FORMULAS!$B$38:$C$62,2,FALSE),"")</f>
        <v>Riesgo moderado</v>
      </c>
      <c r="BA53" s="502" t="s">
        <v>19</v>
      </c>
      <c r="BB53" s="182" t="s">
        <v>1058</v>
      </c>
      <c r="BC53" s="141" t="s">
        <v>1000</v>
      </c>
      <c r="BD53" s="141" t="s">
        <v>1001</v>
      </c>
      <c r="BE53" s="183" t="s">
        <v>329</v>
      </c>
      <c r="BF53" s="183" t="s">
        <v>1049</v>
      </c>
      <c r="BG53" s="182" t="s">
        <v>1059</v>
      </c>
      <c r="BH53" s="141" t="s">
        <v>1045</v>
      </c>
      <c r="BI53" s="141" t="s">
        <v>1021</v>
      </c>
      <c r="BJ53" s="183" t="s">
        <v>440</v>
      </c>
    </row>
    <row r="54" spans="1:62" s="59" customFormat="1" ht="86.25" customHeight="1" thickBot="1" x14ac:dyDescent="0.3">
      <c r="A54" s="295"/>
      <c r="B54" s="539"/>
      <c r="C54" s="258"/>
      <c r="D54" s="334"/>
      <c r="E54" s="334"/>
      <c r="F54" s="258"/>
      <c r="G54" s="258"/>
      <c r="H54" s="334"/>
      <c r="I54" s="490"/>
      <c r="J54" s="490"/>
      <c r="K54" s="126" t="s">
        <v>1060</v>
      </c>
      <c r="L54" s="258"/>
      <c r="M54" s="135"/>
      <c r="N54" s="258"/>
      <c r="O54" s="258"/>
      <c r="P54" s="135"/>
      <c r="Q54" s="338"/>
      <c r="R54" s="568" t="s">
        <v>1061</v>
      </c>
      <c r="S54" s="569"/>
      <c r="T54" s="126" t="s">
        <v>147</v>
      </c>
      <c r="U54" s="135">
        <f t="shared" si="116"/>
        <v>15</v>
      </c>
      <c r="V54" s="126" t="s">
        <v>148</v>
      </c>
      <c r="W54" s="135">
        <f t="shared" si="117"/>
        <v>15</v>
      </c>
      <c r="X54" s="126" t="s">
        <v>149</v>
      </c>
      <c r="Y54" s="135">
        <f t="shared" si="118"/>
        <v>15</v>
      </c>
      <c r="Z54" s="126" t="s">
        <v>150</v>
      </c>
      <c r="AA54" s="135">
        <f t="shared" si="119"/>
        <v>15</v>
      </c>
      <c r="AB54" s="126" t="s">
        <v>151</v>
      </c>
      <c r="AC54" s="135">
        <f t="shared" si="120"/>
        <v>15</v>
      </c>
      <c r="AD54" s="126" t="s">
        <v>152</v>
      </c>
      <c r="AE54" s="135">
        <f t="shared" si="121"/>
        <v>15</v>
      </c>
      <c r="AF54" s="126" t="s">
        <v>153</v>
      </c>
      <c r="AG54" s="135">
        <f>IF(AF54="Completa",10,IF(AF54="incompleta",5,0))</f>
        <v>10</v>
      </c>
      <c r="AH54" s="128">
        <f t="shared" si="122"/>
        <v>100</v>
      </c>
      <c r="AI54" s="128" t="str">
        <f t="shared" si="123"/>
        <v>Fuerte</v>
      </c>
      <c r="AJ54" s="139" t="s">
        <v>154</v>
      </c>
      <c r="AK54" s="128" t="str">
        <f t="shared" si="124"/>
        <v>Fuerte</v>
      </c>
      <c r="AL54" s="128" t="str">
        <f t="shared" si="125"/>
        <v>FuerteFuerte</v>
      </c>
      <c r="AM54" s="128" t="str">
        <f>IFERROR(VLOOKUP(AL54,[12]FORMULAS!$B$70:$D$78,3,FALSE),"")</f>
        <v>Fuerte</v>
      </c>
      <c r="AN54" s="128">
        <f>IF(AM54="fuerte",100,IF(AM54="Moderado",50,IF(AM54="débil",0,"")))</f>
        <v>100</v>
      </c>
      <c r="AO54" s="128">
        <f>IFERROR(AVERAGE(AN54:AN54),0)</f>
        <v>100</v>
      </c>
      <c r="AP54" s="461"/>
      <c r="AQ54" s="128" t="str">
        <f>IF(AO54&gt;=100,"Fuerte",IF(AO54&gt;=50,"Moderado",IF(AO54&gt;=1,"Débil","")))</f>
        <v>Fuerte</v>
      </c>
      <c r="AR54" s="139" t="s">
        <v>92</v>
      </c>
      <c r="AS54" s="139" t="s">
        <v>94</v>
      </c>
      <c r="AT54" s="128" t="str">
        <f>+AQ54&amp;AR54&amp;AS54</f>
        <v>FuerteDirectamenteIndirectamente</v>
      </c>
      <c r="AU54" s="128">
        <f>IFERROR(VLOOKUP(AT54,[12]FORMULAS!$B$95:$D$102,2,FALSE),0)</f>
        <v>2</v>
      </c>
      <c r="AV54" s="128">
        <f>IFERROR(VLOOKUP(AT54,[12]FORMULAS!$B$95:$D$102,3,FALSE),0)</f>
        <v>1</v>
      </c>
      <c r="AW54" s="126" t="s">
        <v>15</v>
      </c>
      <c r="AX54" s="126" t="s">
        <v>17</v>
      </c>
      <c r="AY54" s="135"/>
      <c r="AZ54" s="455"/>
      <c r="BA54" s="503"/>
      <c r="BB54" s="182" t="s">
        <v>1062</v>
      </c>
      <c r="BC54" s="141" t="s">
        <v>1000</v>
      </c>
      <c r="BD54" s="141" t="s">
        <v>1001</v>
      </c>
      <c r="BE54" s="183" t="s">
        <v>312</v>
      </c>
      <c r="BF54" s="183" t="s">
        <v>1007</v>
      </c>
      <c r="BG54" s="182" t="s">
        <v>1063</v>
      </c>
      <c r="BH54" s="141" t="s">
        <v>1009</v>
      </c>
      <c r="BI54" s="141" t="s">
        <v>947</v>
      </c>
      <c r="BJ54" s="183" t="s">
        <v>440</v>
      </c>
    </row>
    <row r="55" spans="1:62" s="59" customFormat="1" ht="84" x14ac:dyDescent="0.25">
      <c r="A55" s="295">
        <v>11</v>
      </c>
      <c r="B55" s="538" t="s">
        <v>53</v>
      </c>
      <c r="C55" s="297">
        <v>11</v>
      </c>
      <c r="D55" s="298" t="s">
        <v>1064</v>
      </c>
      <c r="E55" s="298" t="s">
        <v>1065</v>
      </c>
      <c r="F55" s="297" t="s">
        <v>31</v>
      </c>
      <c r="G55" s="297" t="s">
        <v>69</v>
      </c>
      <c r="H55" s="298" t="s">
        <v>1066</v>
      </c>
      <c r="I55" s="299" t="s">
        <v>51</v>
      </c>
      <c r="J55" s="299" t="s">
        <v>1054</v>
      </c>
      <c r="K55" s="126" t="s">
        <v>1067</v>
      </c>
      <c r="L55" s="331" t="s">
        <v>1068</v>
      </c>
      <c r="M55" s="254" t="str">
        <f t="shared" ref="M55" si="126">IF(F55="gestion","impacto",IF(F55="corrupcion","impactocorrupcion",IF(F55="seguridad_de_la_informacion","impacto","")))</f>
        <v>impacto</v>
      </c>
      <c r="N55" s="297" t="s">
        <v>35</v>
      </c>
      <c r="O55" s="297" t="s">
        <v>17</v>
      </c>
      <c r="P55" s="254" t="str">
        <f t="shared" ref="P55" si="127">N55&amp;O55</f>
        <v>PosibleModerado</v>
      </c>
      <c r="Q55" s="317" t="str">
        <f>IFERROR(VLOOKUP(P55,[12]FORMULAS!$B$38:$C$62,2,FALSE),"")</f>
        <v>Riesgo alto</v>
      </c>
      <c r="R55" s="298" t="s">
        <v>1069</v>
      </c>
      <c r="S55" s="298"/>
      <c r="T55" s="126" t="s">
        <v>147</v>
      </c>
      <c r="U55" s="135">
        <f t="shared" ref="U55:U56" si="128">IF(T55="Asignado",15,0)</f>
        <v>15</v>
      </c>
      <c r="V55" s="126" t="s">
        <v>148</v>
      </c>
      <c r="W55" s="135">
        <f t="shared" ref="W55:W56" si="129">IF(V55="Adecuado",15,0)</f>
        <v>15</v>
      </c>
      <c r="X55" s="126" t="s">
        <v>149</v>
      </c>
      <c r="Y55" s="135">
        <f t="shared" ref="Y55:Y56" si="130">IF(X55="Oportuna",15,0)</f>
        <v>15</v>
      </c>
      <c r="Z55" s="126" t="s">
        <v>150</v>
      </c>
      <c r="AA55" s="135">
        <f t="shared" ref="AA55:AA56" si="131">IF(Z55="Prevenir",15,IF(Z55="Detectar",10,0))</f>
        <v>15</v>
      </c>
      <c r="AB55" s="126" t="s">
        <v>151</v>
      </c>
      <c r="AC55" s="135">
        <f t="shared" ref="AC55:AC56" si="132">IF(AB55="Confiable",15,0)</f>
        <v>15</v>
      </c>
      <c r="AD55" s="126" t="s">
        <v>152</v>
      </c>
      <c r="AE55" s="135">
        <f t="shared" ref="AE55:AE56" si="133">IF(AD55="Se investigan y resuelven oportunamente",15,0)</f>
        <v>15</v>
      </c>
      <c r="AF55" s="126" t="s">
        <v>153</v>
      </c>
      <c r="AG55" s="135">
        <f>IF(AF55="Completa",10,IF(AF55="incompleta",5,0))</f>
        <v>10</v>
      </c>
      <c r="AH55" s="128">
        <f t="shared" ref="AH55:AH56" si="134">U55+W55+Y55+AA55+AC55+AE55+AG55</f>
        <v>100</v>
      </c>
      <c r="AI55" s="128" t="str">
        <f t="shared" ref="AI55:AI56" si="135">IF(AH55&gt;=96,"Fuerte",IF(AH55&gt;=86,"Moderado",IF(AH55&gt;=1,"Débil","")))</f>
        <v>Fuerte</v>
      </c>
      <c r="AJ55" s="139" t="s">
        <v>154</v>
      </c>
      <c r="AK55" s="128" t="str">
        <f t="shared" ref="AK55:AK56" si="136">IF(AJ55="Siempre se ejecuta","Fuerte",IF(AJ55="Algunas veces","Moderado",IF(AJ55="no se ejecuta","Débil","")))</f>
        <v>Fuerte</v>
      </c>
      <c r="AL55" s="128" t="str">
        <f t="shared" ref="AL55:AL56" si="137">AI55&amp;AK55</f>
        <v>FuerteFuerte</v>
      </c>
      <c r="AM55" s="128" t="str">
        <f>IFERROR(VLOOKUP(AL55,[12]FORMULAS!$B$70:$D$78,3,FALSE),"")</f>
        <v>Fuerte</v>
      </c>
      <c r="AN55" s="128">
        <f>IF(AM55="fuerte",100,IF(AM55="Moderado",50,IF(AM55="débil",0,"")))</f>
        <v>100</v>
      </c>
      <c r="AO55" s="271">
        <f>IFERROR(AVERAGE(AN55:AN56),0)</f>
        <v>100</v>
      </c>
      <c r="AP55" s="461"/>
      <c r="AQ55" s="271" t="str">
        <f>IF(AO55&gt;=100,"Fuerte",IF(AO55&gt;=50,"Moderado",IF(AO55&gt;=1,"Débil","")))</f>
        <v>Fuerte</v>
      </c>
      <c r="AR55" s="301" t="s">
        <v>92</v>
      </c>
      <c r="AS55" s="301" t="s">
        <v>94</v>
      </c>
      <c r="AT55" s="128" t="str">
        <f>+AQ55&amp;AR55&amp;AS55</f>
        <v>FuerteDirectamenteIndirectamente</v>
      </c>
      <c r="AU55" s="300">
        <f>IFERROR(VLOOKUP(AT55,[12]FORMULAS!$B$95:$D$102,2,FALSE),0)</f>
        <v>2</v>
      </c>
      <c r="AV55" s="300">
        <f>IFERROR(VLOOKUP(AT55,[12]FORMULAS!$B$95:$D$102,3,FALSE),0)</f>
        <v>1</v>
      </c>
      <c r="AW55" s="331" t="s">
        <v>15</v>
      </c>
      <c r="AX55" s="331" t="s">
        <v>28</v>
      </c>
      <c r="AY55" s="135" t="str">
        <f>AW55&amp;AX55</f>
        <v>Rara vezMenor</v>
      </c>
      <c r="AZ55" s="302" t="str">
        <f>IFERROR(VLOOKUP(AY55,[12]FORMULAS!$B$38:$C$62,2,FALSE),"")</f>
        <v>Riesgo bajo</v>
      </c>
      <c r="BA55" s="502" t="s">
        <v>19</v>
      </c>
      <c r="BB55" s="182" t="s">
        <v>1070</v>
      </c>
      <c r="BC55" s="141" t="s">
        <v>1000</v>
      </c>
      <c r="BD55" s="141" t="s">
        <v>1001</v>
      </c>
      <c r="BE55" s="183" t="s">
        <v>329</v>
      </c>
      <c r="BF55" s="183" t="s">
        <v>1049</v>
      </c>
      <c r="BG55" s="182" t="s">
        <v>1071</v>
      </c>
      <c r="BH55" s="141" t="s">
        <v>1045</v>
      </c>
      <c r="BI55" s="141" t="s">
        <v>1021</v>
      </c>
      <c r="BJ55" s="183" t="s">
        <v>440</v>
      </c>
    </row>
    <row r="56" spans="1:62" s="59" customFormat="1" ht="44.25" customHeight="1" thickBot="1" x14ac:dyDescent="0.3">
      <c r="A56" s="295"/>
      <c r="B56" s="539"/>
      <c r="C56" s="297"/>
      <c r="D56" s="298"/>
      <c r="E56" s="298"/>
      <c r="F56" s="297"/>
      <c r="G56" s="297"/>
      <c r="H56" s="298"/>
      <c r="I56" s="299"/>
      <c r="J56" s="299"/>
      <c r="K56" s="126" t="s">
        <v>1072</v>
      </c>
      <c r="L56" s="258"/>
      <c r="M56" s="254"/>
      <c r="N56" s="297"/>
      <c r="O56" s="297"/>
      <c r="P56" s="254"/>
      <c r="Q56" s="317"/>
      <c r="R56" s="298" t="s">
        <v>1073</v>
      </c>
      <c r="S56" s="298"/>
      <c r="T56" s="126" t="s">
        <v>147</v>
      </c>
      <c r="U56" s="135">
        <f t="shared" si="128"/>
        <v>15</v>
      </c>
      <c r="V56" s="126" t="s">
        <v>148</v>
      </c>
      <c r="W56" s="135">
        <f t="shared" si="129"/>
        <v>15</v>
      </c>
      <c r="X56" s="126" t="s">
        <v>149</v>
      </c>
      <c r="Y56" s="135">
        <f t="shared" si="130"/>
        <v>15</v>
      </c>
      <c r="Z56" s="126" t="s">
        <v>150</v>
      </c>
      <c r="AA56" s="135">
        <f t="shared" si="131"/>
        <v>15</v>
      </c>
      <c r="AB56" s="126" t="s">
        <v>151</v>
      </c>
      <c r="AC56" s="135">
        <f t="shared" si="132"/>
        <v>15</v>
      </c>
      <c r="AD56" s="126" t="s">
        <v>152</v>
      </c>
      <c r="AE56" s="135">
        <f t="shared" si="133"/>
        <v>15</v>
      </c>
      <c r="AF56" s="126" t="s">
        <v>153</v>
      </c>
      <c r="AG56" s="135">
        <f t="shared" ref="AG56" si="138">IF(AF56="Completa",10,IF(AF56="incompleta",5,0))</f>
        <v>10</v>
      </c>
      <c r="AH56" s="128">
        <f t="shared" si="134"/>
        <v>100</v>
      </c>
      <c r="AI56" s="128" t="str">
        <f t="shared" si="135"/>
        <v>Fuerte</v>
      </c>
      <c r="AJ56" s="139" t="s">
        <v>154</v>
      </c>
      <c r="AK56" s="128" t="str">
        <f t="shared" si="136"/>
        <v>Fuerte</v>
      </c>
      <c r="AL56" s="128" t="str">
        <f t="shared" si="137"/>
        <v>FuerteFuerte</v>
      </c>
      <c r="AM56" s="128" t="str">
        <f>IFERROR(VLOOKUP(AL56,[12]FORMULAS!$B$70:$D$78,3,FALSE),"")</f>
        <v>Fuerte</v>
      </c>
      <c r="AN56" s="128">
        <f t="shared" ref="AN56" si="139">IF(AM56="fuerte",100,IF(AM56="Moderado",50,IF(AM56="débil",0,"")))</f>
        <v>100</v>
      </c>
      <c r="AO56" s="271"/>
      <c r="AP56" s="461"/>
      <c r="AQ56" s="271"/>
      <c r="AR56" s="453"/>
      <c r="AS56" s="453"/>
      <c r="AT56" s="128"/>
      <c r="AU56" s="322"/>
      <c r="AV56" s="322"/>
      <c r="AW56" s="321"/>
      <c r="AX56" s="321"/>
      <c r="AY56" s="135"/>
      <c r="AZ56" s="455"/>
      <c r="BA56" s="503"/>
      <c r="BB56" s="182" t="s">
        <v>1074</v>
      </c>
      <c r="BC56" s="141" t="s">
        <v>1000</v>
      </c>
      <c r="BD56" s="141" t="s">
        <v>1001</v>
      </c>
      <c r="BE56" s="183" t="s">
        <v>329</v>
      </c>
      <c r="BF56" s="183" t="s">
        <v>1049</v>
      </c>
      <c r="BG56" s="182" t="s">
        <v>1075</v>
      </c>
      <c r="BH56" s="141" t="s">
        <v>1045</v>
      </c>
      <c r="BI56" s="141" t="s">
        <v>1076</v>
      </c>
      <c r="BJ56" s="183" t="s">
        <v>440</v>
      </c>
    </row>
    <row r="57" spans="1:62" s="6" customFormat="1" ht="48" x14ac:dyDescent="0.25">
      <c r="A57" s="578">
        <v>12</v>
      </c>
      <c r="B57" s="538" t="s">
        <v>53</v>
      </c>
      <c r="C57" s="297">
        <v>12</v>
      </c>
      <c r="D57" s="298" t="s">
        <v>1077</v>
      </c>
      <c r="E57" s="298" t="s">
        <v>1078</v>
      </c>
      <c r="F57" s="297" t="s">
        <v>31</v>
      </c>
      <c r="G57" s="297" t="s">
        <v>69</v>
      </c>
      <c r="H57" s="298" t="s">
        <v>1079</v>
      </c>
      <c r="I57" s="299" t="s">
        <v>51</v>
      </c>
      <c r="J57" s="299" t="s">
        <v>1054</v>
      </c>
      <c r="K57" s="126" t="s">
        <v>1080</v>
      </c>
      <c r="L57" s="331" t="s">
        <v>1081</v>
      </c>
      <c r="M57" s="254" t="str">
        <f t="shared" ref="M57" si="140">IF(F57="gestion","impacto",IF(F57="corrupcion","impactocorrupcion",IF(F57="seguridad_de_la_informacion","impacto","")))</f>
        <v>impacto</v>
      </c>
      <c r="N57" s="297" t="s">
        <v>35</v>
      </c>
      <c r="O57" s="297" t="s">
        <v>17</v>
      </c>
      <c r="P57" s="254" t="str">
        <f t="shared" ref="P57" si="141">N57&amp;O57</f>
        <v>PosibleModerado</v>
      </c>
      <c r="Q57" s="317" t="str">
        <f>IFERROR(VLOOKUP(P57,[12]FORMULAS!$B$38:$C$62,2,FALSE),"")</f>
        <v>Riesgo alto</v>
      </c>
      <c r="R57" s="298" t="s">
        <v>1082</v>
      </c>
      <c r="S57" s="298"/>
      <c r="T57" s="126" t="s">
        <v>147</v>
      </c>
      <c r="U57" s="135">
        <f t="shared" ref="U57:U58" si="142">IF(T57="Asignado",15,0)</f>
        <v>15</v>
      </c>
      <c r="V57" s="126" t="s">
        <v>148</v>
      </c>
      <c r="W57" s="135">
        <f t="shared" ref="W57:W58" si="143">IF(V57="Adecuado",15,0)</f>
        <v>15</v>
      </c>
      <c r="X57" s="126" t="s">
        <v>149</v>
      </c>
      <c r="Y57" s="135">
        <f t="shared" ref="Y57:Y58" si="144">IF(X57="Oportuna",15,0)</f>
        <v>15</v>
      </c>
      <c r="Z57" s="126" t="s">
        <v>150</v>
      </c>
      <c r="AA57" s="135">
        <f t="shared" ref="AA57:AA58" si="145">IF(Z57="Prevenir",15,IF(Z57="Detectar",10,0))</f>
        <v>15</v>
      </c>
      <c r="AB57" s="126" t="s">
        <v>151</v>
      </c>
      <c r="AC57" s="135">
        <f t="shared" ref="AC57:AC58" si="146">IF(AB57="Confiable",15,0)</f>
        <v>15</v>
      </c>
      <c r="AD57" s="126" t="s">
        <v>152</v>
      </c>
      <c r="AE57" s="135">
        <f t="shared" ref="AE57:AE58" si="147">IF(AD57="Se investigan y resuelven oportunamente",15,0)</f>
        <v>15</v>
      </c>
      <c r="AF57" s="126" t="s">
        <v>153</v>
      </c>
      <c r="AG57" s="135">
        <f t="shared" ref="AG57:AG58" si="148">IF(AF57="Completa",10,IF(AF57="incompleta",5,0))</f>
        <v>10</v>
      </c>
      <c r="AH57" s="128">
        <f t="shared" ref="AH57:AH58" si="149">U57+W57+Y57+AA57+AC57+AE57+AG57</f>
        <v>100</v>
      </c>
      <c r="AI57" s="128" t="str">
        <f t="shared" ref="AI57:AI58" si="150">IF(AH57&gt;=96,"Fuerte",IF(AH57&gt;=86,"Moderado",IF(AH57&gt;=1,"Débil","")))</f>
        <v>Fuerte</v>
      </c>
      <c r="AJ57" s="139" t="s">
        <v>154</v>
      </c>
      <c r="AK57" s="128" t="str">
        <f t="shared" ref="AK57:AK58" si="151">IF(AJ57="Siempre se ejecuta","Fuerte",IF(AJ57="Algunas veces","Moderado",IF(AJ57="no se ejecuta","Débil","")))</f>
        <v>Fuerte</v>
      </c>
      <c r="AL57" s="128" t="str">
        <f t="shared" ref="AL57:AL58" si="152">AI57&amp;AK57</f>
        <v>FuerteFuerte</v>
      </c>
      <c r="AM57" s="128" t="str">
        <f>IFERROR(VLOOKUP(AL57,[12]FORMULAS!$B$70:$D$78,3,FALSE),"")</f>
        <v>Fuerte</v>
      </c>
      <c r="AN57" s="128">
        <f t="shared" ref="AN57:AN58" si="153">IF(AM57="fuerte",100,IF(AM57="Moderado",50,IF(AM57="débil",0,"")))</f>
        <v>100</v>
      </c>
      <c r="AO57" s="271">
        <f>IFERROR(AVERAGE(AN57:AN58),0)</f>
        <v>100</v>
      </c>
      <c r="AP57" s="570"/>
      <c r="AQ57" s="271" t="str">
        <f>IF(AO57&gt;=100,"Fuerte",IF(AO57&gt;=50,"Moderado",IF(AO57&gt;=1,"Débil","")))</f>
        <v>Fuerte</v>
      </c>
      <c r="AR57" s="272" t="s">
        <v>92</v>
      </c>
      <c r="AS57" s="272" t="s">
        <v>94</v>
      </c>
      <c r="AT57" s="128" t="str">
        <f t="shared" ref="AT57" si="154">+AQ57&amp;AR57&amp;AS57</f>
        <v>FuerteDirectamenteIndirectamente</v>
      </c>
      <c r="AU57" s="255">
        <f>IFERROR(VLOOKUP(AT57,[12]FORMULAS!$B$95:$D$102,2,FALSE),0)</f>
        <v>2</v>
      </c>
      <c r="AV57" s="255">
        <f>IFERROR(VLOOKUP(AT57,[12]FORMULAS!$B$95:$D$102,3,FALSE),0)</f>
        <v>1</v>
      </c>
      <c r="AW57" s="257" t="s">
        <v>15</v>
      </c>
      <c r="AX57" s="257" t="s">
        <v>28</v>
      </c>
      <c r="AY57" s="135" t="str">
        <f t="shared" ref="AY57" si="155">AW57&amp;AX57</f>
        <v>Rara vezMenor</v>
      </c>
      <c r="AZ57" s="302" t="str">
        <f>IFERROR(VLOOKUP(AY57,[12]FORMULAS!$B$38:$C$62,2,FALSE),"")</f>
        <v>Riesgo bajo</v>
      </c>
      <c r="BA57" s="502" t="s">
        <v>19</v>
      </c>
      <c r="BB57" s="182" t="s">
        <v>1083</v>
      </c>
      <c r="BC57" s="141" t="s">
        <v>1000</v>
      </c>
      <c r="BD57" s="141" t="s">
        <v>1084</v>
      </c>
      <c r="BE57" s="183" t="s">
        <v>1085</v>
      </c>
      <c r="BF57" s="183" t="s">
        <v>1049</v>
      </c>
      <c r="BG57" s="182" t="s">
        <v>1086</v>
      </c>
      <c r="BH57" s="141" t="s">
        <v>1032</v>
      </c>
      <c r="BI57" s="141" t="s">
        <v>1087</v>
      </c>
      <c r="BJ57" s="183" t="s">
        <v>440</v>
      </c>
    </row>
    <row r="58" spans="1:62" s="6" customFormat="1" ht="60.75" thickBot="1" x14ac:dyDescent="0.3">
      <c r="A58" s="578"/>
      <c r="B58" s="539"/>
      <c r="C58" s="297"/>
      <c r="D58" s="298"/>
      <c r="E58" s="298"/>
      <c r="F58" s="297"/>
      <c r="G58" s="297"/>
      <c r="H58" s="298"/>
      <c r="I58" s="299"/>
      <c r="J58" s="299"/>
      <c r="K58" s="126" t="s">
        <v>1067</v>
      </c>
      <c r="L58" s="258"/>
      <c r="M58" s="254"/>
      <c r="N58" s="297"/>
      <c r="O58" s="297"/>
      <c r="P58" s="254"/>
      <c r="Q58" s="317"/>
      <c r="R58" s="298" t="s">
        <v>1088</v>
      </c>
      <c r="S58" s="298"/>
      <c r="T58" s="126" t="s">
        <v>147</v>
      </c>
      <c r="U58" s="135">
        <f t="shared" si="142"/>
        <v>15</v>
      </c>
      <c r="V58" s="126" t="s">
        <v>148</v>
      </c>
      <c r="W58" s="135">
        <f t="shared" si="143"/>
        <v>15</v>
      </c>
      <c r="X58" s="126" t="s">
        <v>149</v>
      </c>
      <c r="Y58" s="135">
        <f t="shared" si="144"/>
        <v>15</v>
      </c>
      <c r="Z58" s="126" t="s">
        <v>150</v>
      </c>
      <c r="AA58" s="135">
        <f t="shared" si="145"/>
        <v>15</v>
      </c>
      <c r="AB58" s="126" t="s">
        <v>151</v>
      </c>
      <c r="AC58" s="135">
        <f t="shared" si="146"/>
        <v>15</v>
      </c>
      <c r="AD58" s="126" t="s">
        <v>152</v>
      </c>
      <c r="AE58" s="135">
        <f t="shared" si="147"/>
        <v>15</v>
      </c>
      <c r="AF58" s="126" t="s">
        <v>153</v>
      </c>
      <c r="AG58" s="135">
        <f t="shared" si="148"/>
        <v>10</v>
      </c>
      <c r="AH58" s="128">
        <f t="shared" si="149"/>
        <v>100</v>
      </c>
      <c r="AI58" s="128" t="str">
        <f t="shared" si="150"/>
        <v>Fuerte</v>
      </c>
      <c r="AJ58" s="139" t="s">
        <v>154</v>
      </c>
      <c r="AK58" s="128" t="str">
        <f t="shared" si="151"/>
        <v>Fuerte</v>
      </c>
      <c r="AL58" s="128" t="str">
        <f t="shared" si="152"/>
        <v>FuerteFuerte</v>
      </c>
      <c r="AM58" s="128" t="str">
        <f>IFERROR(VLOOKUP(AL58,[12]FORMULAS!$B$70:$D$78,3,FALSE),"")</f>
        <v>Fuerte</v>
      </c>
      <c r="AN58" s="128">
        <f t="shared" si="153"/>
        <v>100</v>
      </c>
      <c r="AO58" s="271"/>
      <c r="AP58" s="571"/>
      <c r="AQ58" s="271"/>
      <c r="AR58" s="453"/>
      <c r="AS58" s="453"/>
      <c r="AT58" s="128"/>
      <c r="AU58" s="322"/>
      <c r="AV58" s="322"/>
      <c r="AW58" s="321"/>
      <c r="AX58" s="321"/>
      <c r="AY58" s="135"/>
      <c r="AZ58" s="455"/>
      <c r="BA58" s="503"/>
      <c r="BB58" s="182" t="s">
        <v>1089</v>
      </c>
      <c r="BC58" s="141" t="s">
        <v>1000</v>
      </c>
      <c r="BD58" s="141" t="s">
        <v>1001</v>
      </c>
      <c r="BE58" s="183" t="s">
        <v>312</v>
      </c>
      <c r="BF58" s="183" t="s">
        <v>1049</v>
      </c>
      <c r="BG58" s="182" t="s">
        <v>1086</v>
      </c>
      <c r="BH58" s="141" t="s">
        <v>1032</v>
      </c>
      <c r="BI58" s="141" t="s">
        <v>1021</v>
      </c>
      <c r="BJ58" s="183" t="s">
        <v>440</v>
      </c>
    </row>
    <row r="59" spans="1:62" ht="60" customHeight="1" x14ac:dyDescent="0.25">
      <c r="A59" s="518">
        <v>13</v>
      </c>
      <c r="B59" s="538" t="s">
        <v>53</v>
      </c>
      <c r="C59" s="297">
        <v>13</v>
      </c>
      <c r="D59" s="298" t="s">
        <v>1090</v>
      </c>
      <c r="E59" s="298" t="s">
        <v>1091</v>
      </c>
      <c r="F59" s="297" t="s">
        <v>31</v>
      </c>
      <c r="G59" s="297" t="s">
        <v>69</v>
      </c>
      <c r="H59" s="298" t="s">
        <v>1092</v>
      </c>
      <c r="I59" s="299" t="s">
        <v>51</v>
      </c>
      <c r="J59" s="299" t="s">
        <v>1054</v>
      </c>
      <c r="K59" s="126" t="s">
        <v>1093</v>
      </c>
      <c r="L59" s="331" t="s">
        <v>1094</v>
      </c>
      <c r="M59" s="254" t="str">
        <f t="shared" ref="M59" si="156">IF(F59="gestion","impacto",IF(F59="corrupcion","impactocorrupcion",IF(F59="seguridad_de_la_informacion","impacto","")))</f>
        <v>impacto</v>
      </c>
      <c r="N59" s="297" t="s">
        <v>35</v>
      </c>
      <c r="O59" s="297" t="s">
        <v>28</v>
      </c>
      <c r="P59" s="254" t="str">
        <f t="shared" ref="P59" si="157">N59&amp;O59</f>
        <v>PosibleMenor</v>
      </c>
      <c r="Q59" s="317" t="str">
        <f>IFERROR(VLOOKUP(P59,[12]FORMULAS!$B$38:$C$62,2,FALSE),"")</f>
        <v>Riesgo moderado</v>
      </c>
      <c r="R59" s="298" t="s">
        <v>1095</v>
      </c>
      <c r="S59" s="298"/>
      <c r="T59" s="126" t="s">
        <v>147</v>
      </c>
      <c r="U59" s="135">
        <f t="shared" ref="U59:U60" si="158">IF(T59="Asignado",15,0)</f>
        <v>15</v>
      </c>
      <c r="V59" s="126" t="s">
        <v>148</v>
      </c>
      <c r="W59" s="135">
        <f t="shared" ref="W59:W60" si="159">IF(V59="Adecuado",15,0)</f>
        <v>15</v>
      </c>
      <c r="X59" s="126" t="s">
        <v>149</v>
      </c>
      <c r="Y59" s="135">
        <f t="shared" ref="Y59:Y60" si="160">IF(X59="Oportuna",15,0)</f>
        <v>15</v>
      </c>
      <c r="Z59" s="126" t="s">
        <v>150</v>
      </c>
      <c r="AA59" s="135">
        <f t="shared" ref="AA59:AA60" si="161">IF(Z59="Prevenir",15,IF(Z59="Detectar",10,0))</f>
        <v>15</v>
      </c>
      <c r="AB59" s="126" t="s">
        <v>151</v>
      </c>
      <c r="AC59" s="135">
        <f t="shared" ref="AC59:AC60" si="162">IF(AB59="Confiable",15,0)</f>
        <v>15</v>
      </c>
      <c r="AD59" s="126" t="s">
        <v>152</v>
      </c>
      <c r="AE59" s="135">
        <f t="shared" ref="AE59:AE60" si="163">IF(AD59="Se investigan y resuelven oportunamente",15,0)</f>
        <v>15</v>
      </c>
      <c r="AF59" s="126" t="s">
        <v>153</v>
      </c>
      <c r="AG59" s="135">
        <f t="shared" ref="AG59:AG60" si="164">IF(AF59="Completa",10,IF(AF59="incompleta",5,0))</f>
        <v>10</v>
      </c>
      <c r="AH59" s="128">
        <f t="shared" ref="AH59:AH60" si="165">U59+W59+Y59+AA59+AC59+AE59+AG59</f>
        <v>100</v>
      </c>
      <c r="AI59" s="128" t="str">
        <f t="shared" ref="AI59:AI60" si="166">IF(AH59&gt;=96,"Fuerte",IF(AH59&gt;=86,"Moderado",IF(AH59&gt;=1,"Débil","")))</f>
        <v>Fuerte</v>
      </c>
      <c r="AJ59" s="139" t="s">
        <v>154</v>
      </c>
      <c r="AK59" s="128" t="str">
        <f t="shared" ref="AK59:AK60" si="167">IF(AJ59="Siempre se ejecuta","Fuerte",IF(AJ59="Algunas veces","Moderado",IF(AJ59="no se ejecuta","Débil","")))</f>
        <v>Fuerte</v>
      </c>
      <c r="AL59" s="128" t="str">
        <f t="shared" ref="AL59:AL60" si="168">AI59&amp;AK59</f>
        <v>FuerteFuerte</v>
      </c>
      <c r="AM59" s="128" t="str">
        <f>IFERROR(VLOOKUP(AL59,[12]FORMULAS!$B$70:$D$78,3,FALSE),"")</f>
        <v>Fuerte</v>
      </c>
      <c r="AN59" s="128">
        <f t="shared" ref="AN59:AN60" si="169">IF(AM59="fuerte",100,IF(AM59="Moderado",50,IF(AM59="débil",0,"")))</f>
        <v>100</v>
      </c>
      <c r="AO59" s="271">
        <f>IFERROR(AVERAGE(AN59:AN60),0)</f>
        <v>100</v>
      </c>
      <c r="AP59" s="572"/>
      <c r="AQ59" s="271" t="str">
        <f>IF(AO59&gt;=100,"Fuerte",IF(AO59&gt;=50,"Moderado",IF(AO59&gt;=1,"Débil","")))</f>
        <v>Fuerte</v>
      </c>
      <c r="AR59" s="272" t="s">
        <v>92</v>
      </c>
      <c r="AS59" s="272" t="s">
        <v>93</v>
      </c>
      <c r="AT59" s="128" t="str">
        <f t="shared" ref="AT59" si="170">+AQ59&amp;AR59&amp;AS59</f>
        <v>FuerteDirectamenteNo disminuye</v>
      </c>
      <c r="AU59" s="255">
        <f>IFERROR(VLOOKUP(AT59,[12]FORMULAS!$B$95:$D$102,2,FALSE),0)</f>
        <v>2</v>
      </c>
      <c r="AV59" s="255">
        <f>IFERROR(VLOOKUP(AT59,[12]FORMULAS!$B$95:$D$102,3,FALSE),0)</f>
        <v>0</v>
      </c>
      <c r="AW59" s="257" t="s">
        <v>15</v>
      </c>
      <c r="AX59" s="257" t="s">
        <v>28</v>
      </c>
      <c r="AY59" s="135" t="str">
        <f t="shared" ref="AY59" si="171">AW59&amp;AX59</f>
        <v>Rara vezMenor</v>
      </c>
      <c r="AZ59" s="302" t="str">
        <f>IFERROR(VLOOKUP(AY59,[12]FORMULAS!$B$38:$C$62,2,FALSE),"")</f>
        <v>Riesgo bajo</v>
      </c>
      <c r="BA59" s="502" t="s">
        <v>19</v>
      </c>
      <c r="BB59" s="182" t="s">
        <v>1096</v>
      </c>
      <c r="BC59" s="141" t="s">
        <v>1000</v>
      </c>
      <c r="BD59" s="141" t="s">
        <v>1097</v>
      </c>
      <c r="BE59" s="183" t="s">
        <v>312</v>
      </c>
      <c r="BF59" s="183" t="s">
        <v>1098</v>
      </c>
      <c r="BG59" s="182" t="s">
        <v>1099</v>
      </c>
      <c r="BH59" s="141" t="s">
        <v>1032</v>
      </c>
      <c r="BI59" s="141" t="s">
        <v>1097</v>
      </c>
      <c r="BJ59" s="183" t="s">
        <v>440</v>
      </c>
    </row>
    <row r="60" spans="1:62" ht="48.75" thickBot="1" x14ac:dyDescent="0.3">
      <c r="A60" s="518"/>
      <c r="B60" s="539"/>
      <c r="C60" s="297"/>
      <c r="D60" s="298"/>
      <c r="E60" s="298"/>
      <c r="F60" s="297"/>
      <c r="G60" s="297"/>
      <c r="H60" s="298"/>
      <c r="I60" s="299"/>
      <c r="J60" s="299"/>
      <c r="K60" s="126" t="s">
        <v>1067</v>
      </c>
      <c r="L60" s="258"/>
      <c r="M60" s="254"/>
      <c r="N60" s="297"/>
      <c r="O60" s="297"/>
      <c r="P60" s="254"/>
      <c r="Q60" s="317"/>
      <c r="R60" s="298" t="s">
        <v>1100</v>
      </c>
      <c r="S60" s="298"/>
      <c r="T60" s="126" t="s">
        <v>147</v>
      </c>
      <c r="U60" s="135">
        <f t="shared" si="158"/>
        <v>15</v>
      </c>
      <c r="V60" s="126" t="s">
        <v>148</v>
      </c>
      <c r="W60" s="135">
        <f t="shared" si="159"/>
        <v>15</v>
      </c>
      <c r="X60" s="126" t="s">
        <v>149</v>
      </c>
      <c r="Y60" s="135">
        <f t="shared" si="160"/>
        <v>15</v>
      </c>
      <c r="Z60" s="126" t="s">
        <v>150</v>
      </c>
      <c r="AA60" s="135">
        <f t="shared" si="161"/>
        <v>15</v>
      </c>
      <c r="AB60" s="126" t="s">
        <v>151</v>
      </c>
      <c r="AC60" s="135">
        <f t="shared" si="162"/>
        <v>15</v>
      </c>
      <c r="AD60" s="126" t="s">
        <v>152</v>
      </c>
      <c r="AE60" s="135">
        <f t="shared" si="163"/>
        <v>15</v>
      </c>
      <c r="AF60" s="126" t="s">
        <v>153</v>
      </c>
      <c r="AG60" s="135">
        <f t="shared" si="164"/>
        <v>10</v>
      </c>
      <c r="AH60" s="128">
        <f t="shared" si="165"/>
        <v>100</v>
      </c>
      <c r="AI60" s="128" t="str">
        <f t="shared" si="166"/>
        <v>Fuerte</v>
      </c>
      <c r="AJ60" s="139" t="s">
        <v>154</v>
      </c>
      <c r="AK60" s="128" t="str">
        <f t="shared" si="167"/>
        <v>Fuerte</v>
      </c>
      <c r="AL60" s="128" t="str">
        <f t="shared" si="168"/>
        <v>FuerteFuerte</v>
      </c>
      <c r="AM60" s="128" t="str">
        <f>IFERROR(VLOOKUP(AL60,[12]FORMULAS!$B$70:$D$78,3,FALSE),"")</f>
        <v>Fuerte</v>
      </c>
      <c r="AN60" s="128">
        <f t="shared" si="169"/>
        <v>100</v>
      </c>
      <c r="AO60" s="271"/>
      <c r="AP60" s="573"/>
      <c r="AQ60" s="271"/>
      <c r="AR60" s="453"/>
      <c r="AS60" s="453"/>
      <c r="AT60" s="128"/>
      <c r="AU60" s="322"/>
      <c r="AV60" s="322"/>
      <c r="AW60" s="321"/>
      <c r="AX60" s="321"/>
      <c r="AY60" s="135"/>
      <c r="AZ60" s="455"/>
      <c r="BA60" s="503"/>
      <c r="BB60" s="182" t="s">
        <v>1101</v>
      </c>
      <c r="BC60" s="141" t="s">
        <v>1000</v>
      </c>
      <c r="BD60" s="141" t="s">
        <v>1097</v>
      </c>
      <c r="BE60" s="183" t="s">
        <v>224</v>
      </c>
      <c r="BF60" s="183" t="s">
        <v>1049</v>
      </c>
      <c r="BG60" s="182" t="s">
        <v>1102</v>
      </c>
      <c r="BH60" s="141" t="s">
        <v>1032</v>
      </c>
      <c r="BI60" s="141" t="s">
        <v>1021</v>
      </c>
      <c r="BJ60" s="183" t="s">
        <v>440</v>
      </c>
    </row>
    <row r="61" spans="1:62" ht="108" x14ac:dyDescent="0.25">
      <c r="A61" s="518">
        <v>14</v>
      </c>
      <c r="B61" s="538" t="s">
        <v>53</v>
      </c>
      <c r="C61" s="297">
        <v>14</v>
      </c>
      <c r="D61" s="298" t="s">
        <v>1103</v>
      </c>
      <c r="E61" s="298" t="s">
        <v>1104</v>
      </c>
      <c r="F61" s="297" t="s">
        <v>31</v>
      </c>
      <c r="G61" s="297" t="s">
        <v>69</v>
      </c>
      <c r="H61" s="298" t="s">
        <v>1105</v>
      </c>
      <c r="I61" s="299" t="s">
        <v>13</v>
      </c>
      <c r="J61" s="299" t="s">
        <v>1106</v>
      </c>
      <c r="K61" s="126" t="s">
        <v>1107</v>
      </c>
      <c r="L61" s="331" t="s">
        <v>1108</v>
      </c>
      <c r="M61" s="254" t="str">
        <f t="shared" ref="M61" si="172">IF(F61="gestion","impacto",IF(F61="corrupcion","impactocorrupcion",IF(F61="seguridad_de_la_informacion","impacto","")))</f>
        <v>impacto</v>
      </c>
      <c r="N61" s="297" t="s">
        <v>35</v>
      </c>
      <c r="O61" s="297" t="s">
        <v>17</v>
      </c>
      <c r="P61" s="254" t="str">
        <f t="shared" ref="P61" si="173">N61&amp;O61</f>
        <v>PosibleModerado</v>
      </c>
      <c r="Q61" s="317" t="str">
        <f>IFERROR(VLOOKUP(P61,[12]FORMULAS!$B$38:$C$62,2,FALSE),"")</f>
        <v>Riesgo alto</v>
      </c>
      <c r="R61" s="298" t="s">
        <v>1109</v>
      </c>
      <c r="S61" s="298"/>
      <c r="T61" s="126" t="s">
        <v>147</v>
      </c>
      <c r="U61" s="135">
        <f t="shared" ref="U61:U66" si="174">IF(T61="Asignado",15,0)</f>
        <v>15</v>
      </c>
      <c r="V61" s="126" t="s">
        <v>148</v>
      </c>
      <c r="W61" s="135">
        <f t="shared" ref="W61:W66" si="175">IF(V61="Adecuado",15,0)</f>
        <v>15</v>
      </c>
      <c r="X61" s="126" t="s">
        <v>149</v>
      </c>
      <c r="Y61" s="135">
        <f t="shared" ref="Y61:Y66" si="176">IF(X61="Oportuna",15,0)</f>
        <v>15</v>
      </c>
      <c r="Z61" s="126" t="s">
        <v>150</v>
      </c>
      <c r="AA61" s="135">
        <f t="shared" ref="AA61:AA66" si="177">IF(Z61="Prevenir",15,IF(Z61="Detectar",10,0))</f>
        <v>15</v>
      </c>
      <c r="AB61" s="126" t="s">
        <v>151</v>
      </c>
      <c r="AC61" s="135">
        <f t="shared" ref="AC61:AC66" si="178">IF(AB61="Confiable",15,0)</f>
        <v>15</v>
      </c>
      <c r="AD61" s="126" t="s">
        <v>152</v>
      </c>
      <c r="AE61" s="135">
        <f t="shared" ref="AE61:AE66" si="179">IF(AD61="Se investigan y resuelven oportunamente",15,0)</f>
        <v>15</v>
      </c>
      <c r="AF61" s="126" t="s">
        <v>153</v>
      </c>
      <c r="AG61" s="135">
        <f t="shared" ref="AG61:AG66" si="180">IF(AF61="Completa",10,IF(AF61="incompleta",5,0))</f>
        <v>10</v>
      </c>
      <c r="AH61" s="128">
        <f t="shared" ref="AH61:AH66" si="181">U61+W61+Y61+AA61+AC61+AE61+AG61</f>
        <v>100</v>
      </c>
      <c r="AI61" s="128" t="str">
        <f t="shared" ref="AI61:AI66" si="182">IF(AH61&gt;=96,"Fuerte",IF(AH61&gt;=86,"Moderado",IF(AH61&gt;=1,"Débil","")))</f>
        <v>Fuerte</v>
      </c>
      <c r="AJ61" s="139" t="s">
        <v>154</v>
      </c>
      <c r="AK61" s="128" t="str">
        <f t="shared" ref="AK61:AK66" si="183">IF(AJ61="Siempre se ejecuta","Fuerte",IF(AJ61="Algunas veces","Moderado",IF(AJ61="no se ejecuta","Débil","")))</f>
        <v>Fuerte</v>
      </c>
      <c r="AL61" s="128" t="str">
        <f t="shared" ref="AL61:AL66" si="184">AI61&amp;AK61</f>
        <v>FuerteFuerte</v>
      </c>
      <c r="AM61" s="128" t="str">
        <f>IFERROR(VLOOKUP(AL61,[12]FORMULAS!$B$70:$D$78,3,FALSE),"")</f>
        <v>Fuerte</v>
      </c>
      <c r="AN61" s="128">
        <f t="shared" ref="AN61:AN66" si="185">IF(AM61="fuerte",100,IF(AM61="Moderado",50,IF(AM61="débil",0,"")))</f>
        <v>100</v>
      </c>
      <c r="AO61" s="271">
        <f>IFERROR(AVERAGE(AN61:AN63),0)</f>
        <v>100</v>
      </c>
      <c r="AP61" s="572"/>
      <c r="AQ61" s="271" t="str">
        <f>IF(AO61&gt;=100,"Fuerte",IF(AO61&gt;=50,"Moderado",IF(AO61&gt;=1,"Débil","")))</f>
        <v>Fuerte</v>
      </c>
      <c r="AR61" s="272" t="s">
        <v>92</v>
      </c>
      <c r="AS61" s="272" t="s">
        <v>94</v>
      </c>
      <c r="AT61" s="128" t="str">
        <f t="shared" ref="AT61" si="186">+AQ61&amp;AR61&amp;AS61</f>
        <v>FuerteDirectamenteIndirectamente</v>
      </c>
      <c r="AU61" s="255">
        <f>IFERROR(VLOOKUP(AT61,[12]FORMULAS!$B$95:$D$102,2,FALSE),0)</f>
        <v>2</v>
      </c>
      <c r="AV61" s="255">
        <f>IFERROR(VLOOKUP(AT61,[12]FORMULAS!$B$95:$D$102,3,FALSE),0)</f>
        <v>1</v>
      </c>
      <c r="AW61" s="257" t="s">
        <v>15</v>
      </c>
      <c r="AX61" s="257" t="s">
        <v>28</v>
      </c>
      <c r="AY61" s="135" t="str">
        <f t="shared" ref="AY61" si="187">AW61&amp;AX61</f>
        <v>Rara vezMenor</v>
      </c>
      <c r="AZ61" s="302" t="str">
        <f>IFERROR(VLOOKUP(AY61,[12]FORMULAS!$B$38:$C$62,2,FALSE),"")</f>
        <v>Riesgo bajo</v>
      </c>
      <c r="BA61" s="502" t="s">
        <v>19</v>
      </c>
      <c r="BB61" s="182" t="s">
        <v>1110</v>
      </c>
      <c r="BC61" s="141" t="s">
        <v>1000</v>
      </c>
      <c r="BD61" s="141" t="s">
        <v>435</v>
      </c>
      <c r="BE61" s="183" t="s">
        <v>312</v>
      </c>
      <c r="BF61" s="183" t="s">
        <v>1049</v>
      </c>
      <c r="BG61" s="182" t="s">
        <v>1111</v>
      </c>
      <c r="BH61" s="141" t="s">
        <v>1112</v>
      </c>
      <c r="BI61" s="141" t="s">
        <v>439</v>
      </c>
      <c r="BJ61" s="183" t="s">
        <v>440</v>
      </c>
    </row>
    <row r="62" spans="1:62" ht="84" x14ac:dyDescent="0.25">
      <c r="A62" s="518"/>
      <c r="B62" s="539"/>
      <c r="C62" s="297"/>
      <c r="D62" s="298"/>
      <c r="E62" s="298"/>
      <c r="F62" s="297"/>
      <c r="G62" s="297"/>
      <c r="H62" s="298"/>
      <c r="I62" s="299"/>
      <c r="J62" s="299"/>
      <c r="K62" s="126" t="s">
        <v>1113</v>
      </c>
      <c r="L62" s="332"/>
      <c r="M62" s="254"/>
      <c r="N62" s="297"/>
      <c r="O62" s="297"/>
      <c r="P62" s="254"/>
      <c r="Q62" s="317"/>
      <c r="R62" s="298" t="s">
        <v>1114</v>
      </c>
      <c r="S62" s="298"/>
      <c r="T62" s="126" t="s">
        <v>147</v>
      </c>
      <c r="U62" s="135">
        <f t="shared" si="174"/>
        <v>15</v>
      </c>
      <c r="V62" s="126" t="s">
        <v>148</v>
      </c>
      <c r="W62" s="135">
        <f t="shared" si="175"/>
        <v>15</v>
      </c>
      <c r="X62" s="126" t="s">
        <v>149</v>
      </c>
      <c r="Y62" s="135">
        <f t="shared" si="176"/>
        <v>15</v>
      </c>
      <c r="Z62" s="126" t="s">
        <v>150</v>
      </c>
      <c r="AA62" s="135">
        <f t="shared" si="177"/>
        <v>15</v>
      </c>
      <c r="AB62" s="126" t="s">
        <v>151</v>
      </c>
      <c r="AC62" s="135">
        <f t="shared" si="178"/>
        <v>15</v>
      </c>
      <c r="AD62" s="126" t="s">
        <v>152</v>
      </c>
      <c r="AE62" s="135">
        <f t="shared" si="179"/>
        <v>15</v>
      </c>
      <c r="AF62" s="126" t="s">
        <v>153</v>
      </c>
      <c r="AG62" s="135">
        <f t="shared" si="180"/>
        <v>10</v>
      </c>
      <c r="AH62" s="128">
        <f t="shared" si="181"/>
        <v>100</v>
      </c>
      <c r="AI62" s="128" t="str">
        <f t="shared" si="182"/>
        <v>Fuerte</v>
      </c>
      <c r="AJ62" s="139" t="s">
        <v>154</v>
      </c>
      <c r="AK62" s="128" t="str">
        <f t="shared" si="183"/>
        <v>Fuerte</v>
      </c>
      <c r="AL62" s="128" t="str">
        <f t="shared" si="184"/>
        <v>FuerteFuerte</v>
      </c>
      <c r="AM62" s="128" t="str">
        <f>IFERROR(VLOOKUP(AL62,[12]FORMULAS!$B$70:$D$78,3,FALSE),"")</f>
        <v>Fuerte</v>
      </c>
      <c r="AN62" s="128">
        <f t="shared" si="185"/>
        <v>100</v>
      </c>
      <c r="AO62" s="271"/>
      <c r="AP62" s="574"/>
      <c r="AQ62" s="271"/>
      <c r="AR62" s="488"/>
      <c r="AS62" s="488"/>
      <c r="AT62" s="128"/>
      <c r="AU62" s="487"/>
      <c r="AV62" s="487"/>
      <c r="AW62" s="332"/>
      <c r="AX62" s="332"/>
      <c r="AY62" s="135"/>
      <c r="AZ62" s="501"/>
      <c r="BA62" s="491"/>
      <c r="BB62" s="182" t="s">
        <v>1115</v>
      </c>
      <c r="BC62" s="141" t="s">
        <v>1000</v>
      </c>
      <c r="BD62" s="141" t="s">
        <v>435</v>
      </c>
      <c r="BE62" s="183" t="s">
        <v>312</v>
      </c>
      <c r="BF62" s="183" t="s">
        <v>1116</v>
      </c>
      <c r="BG62" s="182" t="s">
        <v>1111</v>
      </c>
      <c r="BH62" s="141" t="s">
        <v>1112</v>
      </c>
      <c r="BI62" s="141" t="s">
        <v>439</v>
      </c>
      <c r="BJ62" s="183" t="s">
        <v>440</v>
      </c>
    </row>
    <row r="63" spans="1:62" ht="84.75" thickBot="1" x14ac:dyDescent="0.3">
      <c r="A63" s="518"/>
      <c r="B63" s="544"/>
      <c r="C63" s="297"/>
      <c r="D63" s="298"/>
      <c r="E63" s="298"/>
      <c r="F63" s="297"/>
      <c r="G63" s="297"/>
      <c r="H63" s="298"/>
      <c r="I63" s="299"/>
      <c r="J63" s="299"/>
      <c r="K63" s="126" t="s">
        <v>1037</v>
      </c>
      <c r="L63" s="258"/>
      <c r="M63" s="254"/>
      <c r="N63" s="297"/>
      <c r="O63" s="297"/>
      <c r="P63" s="254"/>
      <c r="Q63" s="317"/>
      <c r="R63" s="298" t="s">
        <v>1117</v>
      </c>
      <c r="S63" s="298"/>
      <c r="T63" s="126" t="s">
        <v>147</v>
      </c>
      <c r="U63" s="135">
        <f t="shared" si="174"/>
        <v>15</v>
      </c>
      <c r="V63" s="126" t="s">
        <v>148</v>
      </c>
      <c r="W63" s="135">
        <f t="shared" si="175"/>
        <v>15</v>
      </c>
      <c r="X63" s="126" t="s">
        <v>149</v>
      </c>
      <c r="Y63" s="135">
        <f t="shared" si="176"/>
        <v>15</v>
      </c>
      <c r="Z63" s="126" t="s">
        <v>150</v>
      </c>
      <c r="AA63" s="135">
        <f t="shared" si="177"/>
        <v>15</v>
      </c>
      <c r="AB63" s="126" t="s">
        <v>151</v>
      </c>
      <c r="AC63" s="135">
        <f t="shared" si="178"/>
        <v>15</v>
      </c>
      <c r="AD63" s="126" t="s">
        <v>152</v>
      </c>
      <c r="AE63" s="135">
        <f t="shared" si="179"/>
        <v>15</v>
      </c>
      <c r="AF63" s="126" t="s">
        <v>153</v>
      </c>
      <c r="AG63" s="135">
        <f t="shared" si="180"/>
        <v>10</v>
      </c>
      <c r="AH63" s="128">
        <f t="shared" si="181"/>
        <v>100</v>
      </c>
      <c r="AI63" s="128" t="str">
        <f t="shared" si="182"/>
        <v>Fuerte</v>
      </c>
      <c r="AJ63" s="139" t="s">
        <v>154</v>
      </c>
      <c r="AK63" s="128" t="str">
        <f t="shared" si="183"/>
        <v>Fuerte</v>
      </c>
      <c r="AL63" s="128" t="str">
        <f t="shared" si="184"/>
        <v>FuerteFuerte</v>
      </c>
      <c r="AM63" s="128" t="str">
        <f>IFERROR(VLOOKUP(AL63,[12]FORMULAS!$B$70:$D$78,3,FALSE),"")</f>
        <v>Fuerte</v>
      </c>
      <c r="AN63" s="128">
        <f t="shared" si="185"/>
        <v>100</v>
      </c>
      <c r="AO63" s="271"/>
      <c r="AP63" s="573"/>
      <c r="AQ63" s="271"/>
      <c r="AR63" s="453"/>
      <c r="AS63" s="453"/>
      <c r="AT63" s="128"/>
      <c r="AU63" s="322"/>
      <c r="AV63" s="322"/>
      <c r="AW63" s="321"/>
      <c r="AX63" s="321"/>
      <c r="AY63" s="135"/>
      <c r="AZ63" s="455"/>
      <c r="BA63" s="503"/>
      <c r="BB63" s="182" t="s">
        <v>1118</v>
      </c>
      <c r="BC63" s="141" t="s">
        <v>1000</v>
      </c>
      <c r="BD63" s="141" t="s">
        <v>435</v>
      </c>
      <c r="BE63" s="183" t="s">
        <v>158</v>
      </c>
      <c r="BF63" s="183" t="s">
        <v>1119</v>
      </c>
      <c r="BG63" s="182" t="s">
        <v>1111</v>
      </c>
      <c r="BH63" s="141" t="s">
        <v>1112</v>
      </c>
      <c r="BI63" s="141" t="s">
        <v>439</v>
      </c>
      <c r="BJ63" s="183" t="s">
        <v>440</v>
      </c>
    </row>
    <row r="64" spans="1:62" s="59" customFormat="1" ht="129" customHeight="1" x14ac:dyDescent="0.25">
      <c r="A64" s="295">
        <v>15</v>
      </c>
      <c r="B64" s="538" t="s">
        <v>56</v>
      </c>
      <c r="C64" s="297">
        <v>15</v>
      </c>
      <c r="D64" s="298" t="s">
        <v>1120</v>
      </c>
      <c r="E64" s="298" t="s">
        <v>1121</v>
      </c>
      <c r="F64" s="297" t="s">
        <v>31</v>
      </c>
      <c r="G64" s="297" t="s">
        <v>66</v>
      </c>
      <c r="H64" s="298" t="s">
        <v>1122</v>
      </c>
      <c r="I64" s="299" t="s">
        <v>58</v>
      </c>
      <c r="J64" s="299" t="s">
        <v>81</v>
      </c>
      <c r="K64" s="62" t="s">
        <v>1123</v>
      </c>
      <c r="L64" s="297" t="s">
        <v>1124</v>
      </c>
      <c r="M64" s="254" t="str">
        <f>IF(F64="gestion","impacto",IF(F64="corrupcion","impactocorrupcion",IF(F64="seguridad_de_la_informacion","impacto","")))</f>
        <v>impacto</v>
      </c>
      <c r="N64" s="297" t="s">
        <v>35</v>
      </c>
      <c r="O64" s="297" t="s">
        <v>17</v>
      </c>
      <c r="P64" s="254" t="str">
        <f>N64&amp;O64</f>
        <v>PosibleModerado</v>
      </c>
      <c r="Q64" s="317" t="str">
        <f>IFERROR(VLOOKUP(P64,[8]FORMULAS!$B$37:$C$61,2,FALSE),"")</f>
        <v>Riesgo alto</v>
      </c>
      <c r="R64" s="291" t="s">
        <v>1125</v>
      </c>
      <c r="S64" s="291"/>
      <c r="T64" s="126" t="s">
        <v>147</v>
      </c>
      <c r="U64" s="135">
        <f t="shared" si="174"/>
        <v>15</v>
      </c>
      <c r="V64" s="126" t="s">
        <v>148</v>
      </c>
      <c r="W64" s="135">
        <f t="shared" si="175"/>
        <v>15</v>
      </c>
      <c r="X64" s="126" t="s">
        <v>149</v>
      </c>
      <c r="Y64" s="135">
        <f t="shared" si="176"/>
        <v>15</v>
      </c>
      <c r="Z64" s="126" t="s">
        <v>150</v>
      </c>
      <c r="AA64" s="135">
        <f t="shared" si="177"/>
        <v>15</v>
      </c>
      <c r="AB64" s="126" t="s">
        <v>151</v>
      </c>
      <c r="AC64" s="135">
        <f t="shared" si="178"/>
        <v>15</v>
      </c>
      <c r="AD64" s="126" t="s">
        <v>152</v>
      </c>
      <c r="AE64" s="135">
        <f t="shared" si="179"/>
        <v>15</v>
      </c>
      <c r="AF64" s="126" t="s">
        <v>1126</v>
      </c>
      <c r="AG64" s="135">
        <f t="shared" si="180"/>
        <v>5</v>
      </c>
      <c r="AH64" s="128">
        <f t="shared" si="181"/>
        <v>95</v>
      </c>
      <c r="AI64" s="128" t="str">
        <f t="shared" si="182"/>
        <v>Moderado</v>
      </c>
      <c r="AJ64" s="139" t="s">
        <v>154</v>
      </c>
      <c r="AK64" s="128" t="str">
        <f t="shared" si="183"/>
        <v>Fuerte</v>
      </c>
      <c r="AL64" s="128" t="str">
        <f t="shared" si="184"/>
        <v>ModeradoFuerte</v>
      </c>
      <c r="AM64" s="128" t="str">
        <f>IFERROR(VLOOKUP(AL64,[8]FORMULAS!$B$69:$D$77,3,FALSE),"")</f>
        <v>Moderado</v>
      </c>
      <c r="AN64" s="128">
        <f t="shared" si="185"/>
        <v>50</v>
      </c>
      <c r="AO64" s="128" t="str">
        <f>IFERROR(VLOOKUP(AL64,[8]FORMULAS!$B$69:$D$77,2,FALSE),"")</f>
        <v>Sí</v>
      </c>
      <c r="AP64" s="271">
        <f>IFERROR(AVERAGE(AN64:AN66),0)</f>
        <v>83.333333333333329</v>
      </c>
      <c r="AQ64" s="271" t="str">
        <f>IF(AP64&gt;=100,"Fuerte",IF(AP64&gt;=50,"Moderado",IF(AP64&gt;=1,"Débil","")))</f>
        <v>Moderado</v>
      </c>
      <c r="AR64" s="304" t="s">
        <v>92</v>
      </c>
      <c r="AS64" s="304" t="s">
        <v>92</v>
      </c>
      <c r="AT64" s="271" t="str">
        <f>+AQ64&amp;AR64&amp;AS64</f>
        <v>ModeradoDirectamenteDirectamente</v>
      </c>
      <c r="AU64" s="271">
        <f>IFERROR(VLOOKUP(AT64,[8]FORMULAS!$B$94:$D$101,2,FALSE),0)</f>
        <v>1</v>
      </c>
      <c r="AV64" s="271">
        <f>IFERROR(VLOOKUP(AT64,[8]FORMULAS!$B$94:$D$101,3,FALSE),0)</f>
        <v>1</v>
      </c>
      <c r="AW64" s="297" t="s">
        <v>25</v>
      </c>
      <c r="AX64" s="297" t="s">
        <v>28</v>
      </c>
      <c r="AY64" s="254" t="str">
        <f>AW64&amp;AX64</f>
        <v>ImprobableMenor</v>
      </c>
      <c r="AZ64" s="316" t="str">
        <f>IFERROR(VLOOKUP(AY64,[8]FORMULAS!$B$37:$C$61,2,FALSE),"")</f>
        <v>Riesgo bajo</v>
      </c>
      <c r="BA64" s="317" t="s">
        <v>19</v>
      </c>
      <c r="BB64" s="182" t="s">
        <v>1127</v>
      </c>
      <c r="BC64" s="205" t="s">
        <v>1128</v>
      </c>
      <c r="BD64" s="202" t="s">
        <v>1129</v>
      </c>
      <c r="BE64" s="204" t="s">
        <v>448</v>
      </c>
      <c r="BF64" s="203" t="s">
        <v>1130</v>
      </c>
      <c r="BG64" s="470" t="s">
        <v>1131</v>
      </c>
      <c r="BH64" s="470" t="s">
        <v>1132</v>
      </c>
      <c r="BI64" s="470" t="s">
        <v>447</v>
      </c>
      <c r="BJ64" s="470" t="s">
        <v>274</v>
      </c>
    </row>
    <row r="65" spans="1:62" s="59" customFormat="1" ht="171.75" customHeight="1" x14ac:dyDescent="0.25">
      <c r="A65" s="295"/>
      <c r="B65" s="539"/>
      <c r="C65" s="297"/>
      <c r="D65" s="298"/>
      <c r="E65" s="298"/>
      <c r="F65" s="297"/>
      <c r="G65" s="297"/>
      <c r="H65" s="298"/>
      <c r="I65" s="299"/>
      <c r="J65" s="299"/>
      <c r="K65" s="62" t="s">
        <v>1133</v>
      </c>
      <c r="L65" s="297"/>
      <c r="M65" s="254"/>
      <c r="N65" s="297"/>
      <c r="O65" s="297"/>
      <c r="P65" s="254"/>
      <c r="Q65" s="317"/>
      <c r="R65" s="291" t="s">
        <v>1134</v>
      </c>
      <c r="S65" s="291"/>
      <c r="T65" s="126" t="s">
        <v>147</v>
      </c>
      <c r="U65" s="135">
        <f t="shared" si="174"/>
        <v>15</v>
      </c>
      <c r="V65" s="126" t="s">
        <v>148</v>
      </c>
      <c r="W65" s="135">
        <f t="shared" si="175"/>
        <v>15</v>
      </c>
      <c r="X65" s="126" t="s">
        <v>149</v>
      </c>
      <c r="Y65" s="135">
        <f t="shared" si="176"/>
        <v>15</v>
      </c>
      <c r="Z65" s="126" t="s">
        <v>150</v>
      </c>
      <c r="AA65" s="135">
        <f t="shared" si="177"/>
        <v>15</v>
      </c>
      <c r="AB65" s="126" t="s">
        <v>151</v>
      </c>
      <c r="AC65" s="135">
        <f t="shared" si="178"/>
        <v>15</v>
      </c>
      <c r="AD65" s="126" t="s">
        <v>152</v>
      </c>
      <c r="AE65" s="135">
        <f t="shared" si="179"/>
        <v>15</v>
      </c>
      <c r="AF65" s="126" t="s">
        <v>153</v>
      </c>
      <c r="AG65" s="135">
        <f t="shared" si="180"/>
        <v>10</v>
      </c>
      <c r="AH65" s="128">
        <f t="shared" si="181"/>
        <v>100</v>
      </c>
      <c r="AI65" s="128" t="str">
        <f t="shared" si="182"/>
        <v>Fuerte</v>
      </c>
      <c r="AJ65" s="139" t="s">
        <v>154</v>
      </c>
      <c r="AK65" s="128" t="str">
        <f t="shared" si="183"/>
        <v>Fuerte</v>
      </c>
      <c r="AL65" s="128" t="str">
        <f t="shared" si="184"/>
        <v>FuerteFuerte</v>
      </c>
      <c r="AM65" s="128" t="str">
        <f>IFERROR(VLOOKUP(AL65,[8]FORMULAS!$B$69:$D$77,3,FALSE),"")</f>
        <v>Fuerte</v>
      </c>
      <c r="AN65" s="128">
        <f t="shared" si="185"/>
        <v>100</v>
      </c>
      <c r="AO65" s="128" t="str">
        <f>IFERROR(VLOOKUP(AL65,[8]FORMULAS!$B$69:$C$77,2,FALSE),"")</f>
        <v>No</v>
      </c>
      <c r="AP65" s="271"/>
      <c r="AQ65" s="271"/>
      <c r="AR65" s="304"/>
      <c r="AS65" s="304"/>
      <c r="AT65" s="271"/>
      <c r="AU65" s="271"/>
      <c r="AV65" s="271"/>
      <c r="AW65" s="297"/>
      <c r="AX65" s="297"/>
      <c r="AY65" s="254"/>
      <c r="AZ65" s="316"/>
      <c r="BA65" s="317"/>
      <c r="BB65" s="202" t="s">
        <v>1135</v>
      </c>
      <c r="BC65" s="206" t="s">
        <v>1136</v>
      </c>
      <c r="BD65" s="202" t="s">
        <v>1137</v>
      </c>
      <c r="BE65" s="204" t="s">
        <v>448</v>
      </c>
      <c r="BF65" s="203" t="s">
        <v>786</v>
      </c>
      <c r="BG65" s="533"/>
      <c r="BH65" s="533"/>
      <c r="BI65" s="533"/>
      <c r="BJ65" s="533"/>
    </row>
    <row r="66" spans="1:62" s="59" customFormat="1" ht="175.5" customHeight="1" thickBot="1" x14ac:dyDescent="0.3">
      <c r="A66" s="295"/>
      <c r="B66" s="544"/>
      <c r="C66" s="297"/>
      <c r="D66" s="298"/>
      <c r="E66" s="298"/>
      <c r="F66" s="297"/>
      <c r="G66" s="297"/>
      <c r="H66" s="298"/>
      <c r="I66" s="299"/>
      <c r="J66" s="299"/>
      <c r="K66" s="62" t="s">
        <v>1138</v>
      </c>
      <c r="L66" s="297"/>
      <c r="M66" s="254"/>
      <c r="N66" s="297"/>
      <c r="O66" s="297"/>
      <c r="P66" s="254"/>
      <c r="Q66" s="317"/>
      <c r="R66" s="291" t="s">
        <v>1139</v>
      </c>
      <c r="S66" s="291"/>
      <c r="T66" s="126" t="s">
        <v>147</v>
      </c>
      <c r="U66" s="135">
        <f t="shared" si="174"/>
        <v>15</v>
      </c>
      <c r="V66" s="126" t="s">
        <v>148</v>
      </c>
      <c r="W66" s="135">
        <f t="shared" si="175"/>
        <v>15</v>
      </c>
      <c r="X66" s="126" t="s">
        <v>149</v>
      </c>
      <c r="Y66" s="135">
        <f t="shared" si="176"/>
        <v>15</v>
      </c>
      <c r="Z66" s="126" t="s">
        <v>150</v>
      </c>
      <c r="AA66" s="135">
        <f t="shared" si="177"/>
        <v>15</v>
      </c>
      <c r="AB66" s="126" t="s">
        <v>151</v>
      </c>
      <c r="AC66" s="135">
        <f t="shared" si="178"/>
        <v>15</v>
      </c>
      <c r="AD66" s="126" t="s">
        <v>152</v>
      </c>
      <c r="AE66" s="135">
        <f t="shared" si="179"/>
        <v>15</v>
      </c>
      <c r="AF66" s="126" t="s">
        <v>153</v>
      </c>
      <c r="AG66" s="135">
        <f t="shared" si="180"/>
        <v>10</v>
      </c>
      <c r="AH66" s="128">
        <f t="shared" si="181"/>
        <v>100</v>
      </c>
      <c r="AI66" s="128" t="str">
        <f t="shared" si="182"/>
        <v>Fuerte</v>
      </c>
      <c r="AJ66" s="139" t="s">
        <v>154</v>
      </c>
      <c r="AK66" s="128" t="str">
        <f t="shared" si="183"/>
        <v>Fuerte</v>
      </c>
      <c r="AL66" s="128" t="str">
        <f t="shared" si="184"/>
        <v>FuerteFuerte</v>
      </c>
      <c r="AM66" s="128" t="str">
        <f>IFERROR(VLOOKUP(AL66,[8]FORMULAS!$B$69:$D$77,3,FALSE),"")</f>
        <v>Fuerte</v>
      </c>
      <c r="AN66" s="128">
        <f t="shared" si="185"/>
        <v>100</v>
      </c>
      <c r="AO66" s="128" t="str">
        <f>IFERROR(VLOOKUP(AL66,[8]FORMULAS!$B$69:$C$77,2,FALSE),"")</f>
        <v>No</v>
      </c>
      <c r="AP66" s="271"/>
      <c r="AQ66" s="271"/>
      <c r="AR66" s="304"/>
      <c r="AS66" s="304"/>
      <c r="AT66" s="271"/>
      <c r="AU66" s="271"/>
      <c r="AV66" s="271"/>
      <c r="AW66" s="297"/>
      <c r="AX66" s="297"/>
      <c r="AY66" s="254"/>
      <c r="AZ66" s="316"/>
      <c r="BA66" s="317"/>
      <c r="BB66" s="202" t="s">
        <v>1140</v>
      </c>
      <c r="BC66" s="206" t="s">
        <v>1141</v>
      </c>
      <c r="BD66" s="202" t="s">
        <v>1142</v>
      </c>
      <c r="BE66" s="204" t="s">
        <v>448</v>
      </c>
      <c r="BF66" s="203" t="s">
        <v>1143</v>
      </c>
      <c r="BG66" s="471"/>
      <c r="BH66" s="471"/>
      <c r="BI66" s="471"/>
      <c r="BJ66" s="471"/>
    </row>
    <row r="67" spans="1:62" s="59" customFormat="1" ht="73.5" customHeight="1" x14ac:dyDescent="0.25">
      <c r="A67" s="295">
        <v>16</v>
      </c>
      <c r="B67" s="561" t="s">
        <v>65</v>
      </c>
      <c r="C67" s="257">
        <v>16</v>
      </c>
      <c r="D67" s="288" t="s">
        <v>1144</v>
      </c>
      <c r="E67" s="288" t="s">
        <v>1145</v>
      </c>
      <c r="F67" s="257" t="s">
        <v>31</v>
      </c>
      <c r="G67" s="257" t="s">
        <v>66</v>
      </c>
      <c r="H67" s="288" t="s">
        <v>1146</v>
      </c>
      <c r="I67" s="563" t="s">
        <v>13</v>
      </c>
      <c r="J67" s="563"/>
      <c r="K67" s="138" t="s">
        <v>1147</v>
      </c>
      <c r="L67" s="138" t="s">
        <v>1148</v>
      </c>
      <c r="M67" s="560" t="str">
        <f>IF(F67="gestion","impacto",IF(F67="corrupcion","impactocorrupcion",IF(F67="seguridad_de_la_informacion","impacto","")))</f>
        <v>impacto</v>
      </c>
      <c r="N67" s="257" t="s">
        <v>15</v>
      </c>
      <c r="O67" s="257" t="s">
        <v>17</v>
      </c>
      <c r="P67" s="560" t="str">
        <f>N67&amp;O67</f>
        <v>Rara vezModerado</v>
      </c>
      <c r="Q67" s="502" t="str">
        <f>IFERROR(VLOOKUP(P67,FORMULAS!$B$37:$C$61,2,FALSE),"")</f>
        <v>Riesgo moderado</v>
      </c>
      <c r="R67" s="523" t="s">
        <v>1149</v>
      </c>
      <c r="S67" s="523"/>
      <c r="T67" s="121" t="s">
        <v>147</v>
      </c>
      <c r="U67" s="67">
        <f t="shared" ref="U67:U68" si="188">IF(T67="Asignado",15,0)</f>
        <v>15</v>
      </c>
      <c r="V67" s="121" t="s">
        <v>148</v>
      </c>
      <c r="W67" s="67">
        <f t="shared" ref="W67:W68" si="189">IF(V67="Adecuado",15,0)</f>
        <v>15</v>
      </c>
      <c r="X67" s="121" t="s">
        <v>149</v>
      </c>
      <c r="Y67" s="67">
        <f t="shared" ref="Y67:Y68" si="190">IF(X67="Oportuna",15,0)</f>
        <v>15</v>
      </c>
      <c r="Z67" s="121" t="s">
        <v>150</v>
      </c>
      <c r="AA67" s="67">
        <f t="shared" ref="AA67:AA68" si="191">IF(Z67="Prevenir",15,IF(Z67="Detectar",10,0))</f>
        <v>15</v>
      </c>
      <c r="AB67" s="121" t="s">
        <v>151</v>
      </c>
      <c r="AC67" s="67">
        <f t="shared" ref="AC67:AC68" si="192">IF(AB67="Confiable",15,0)</f>
        <v>15</v>
      </c>
      <c r="AD67" s="121" t="s">
        <v>152</v>
      </c>
      <c r="AE67" s="67">
        <f t="shared" ref="AE67:AE68" si="193">IF(AD67="Se investigan y resuelven oportunamente",15,0)</f>
        <v>15</v>
      </c>
      <c r="AF67" s="121" t="s">
        <v>153</v>
      </c>
      <c r="AG67" s="123">
        <f t="shared" ref="AG67:AG73" si="194">IF(AF67="Completa",10,IF(AF67="incompleta",5,0))</f>
        <v>10</v>
      </c>
      <c r="AH67" s="127">
        <f t="shared" ref="AH67:AH73" si="195">U67+W67+Y67+AA67+AC67+AE67+AG67</f>
        <v>100</v>
      </c>
      <c r="AI67" s="127" t="str">
        <f t="shared" ref="AI67:AI73" si="196">IF(AH67&gt;=96,"Fuerte",IF(AH67&gt;=86,"Moderado",IF(AH67&gt;=1,"Débil","")))</f>
        <v>Fuerte</v>
      </c>
      <c r="AJ67" s="119" t="s">
        <v>154</v>
      </c>
      <c r="AK67" s="127" t="str">
        <f t="shared" ref="AK67:AK73" si="197">IF(AJ67="Siempre se ejecuta","Fuerte",IF(AJ67="Algunas veces","Moderado",IF(AJ67="no se ejecuta","Débil","")))</f>
        <v>Fuerte</v>
      </c>
      <c r="AL67" s="127" t="str">
        <f t="shared" ref="AL67:AL73" si="198">AI67&amp;AK67</f>
        <v>FuerteFuerte</v>
      </c>
      <c r="AM67" s="127" t="str">
        <f>IFERROR(VLOOKUP(AL67,FORMULAS!$B$69:$D$77,3,FALSE),"")</f>
        <v>Fuerte</v>
      </c>
      <c r="AN67" s="127">
        <f t="shared" ref="AN67:AN73" si="199">IF(AM67="fuerte",100,IF(AM67="Moderado",50,IF(AM67="débil",0,"")))</f>
        <v>100</v>
      </c>
      <c r="AO67" s="127" t="str">
        <f>IFERROR(VLOOKUP(AL67,FORMULAS!$B$69:$D$77,2,FALSE),"")</f>
        <v>No</v>
      </c>
      <c r="AP67" s="255">
        <f>IFERROR(AVERAGE(AN67:AN68),0)</f>
        <v>100</v>
      </c>
      <c r="AQ67" s="255" t="str">
        <f>IF(AP67&gt;=100,"Fuerte",IF(AP67&gt;=50,"Moderado",IF(AP67&gt;=1,"Débil","")))</f>
        <v>Fuerte</v>
      </c>
      <c r="AR67" s="272" t="s">
        <v>92</v>
      </c>
      <c r="AS67" s="272" t="s">
        <v>94</v>
      </c>
      <c r="AT67" s="255" t="str">
        <f>+AQ67&amp;AR67&amp;AS67</f>
        <v>FuerteDirectamenteIndirectamente</v>
      </c>
      <c r="AU67" s="255">
        <f>IFERROR(VLOOKUP(AT67,FORMULAS!$B$94:$D$101,2,FALSE),0)</f>
        <v>2</v>
      </c>
      <c r="AV67" s="255">
        <f>IFERROR(VLOOKUP(AT67,FORMULAS!$B$94:$D$101,3,FALSE),0)</f>
        <v>1</v>
      </c>
      <c r="AW67" s="257" t="s">
        <v>15</v>
      </c>
      <c r="AX67" s="257" t="s">
        <v>18</v>
      </c>
      <c r="AY67" s="560" t="str">
        <f>AW67&amp;AX67</f>
        <v>Rara vezInsignificante</v>
      </c>
      <c r="AZ67" s="302" t="str">
        <f>IFERROR(VLOOKUP(AY67,FORMULAS!$B$37:$C$61,2,FALSE),"")</f>
        <v>Riesgo bajo</v>
      </c>
      <c r="BA67" s="502" t="s">
        <v>19</v>
      </c>
      <c r="BB67" s="149"/>
      <c r="BC67" s="149"/>
      <c r="BD67" s="149"/>
      <c r="BE67" s="85"/>
      <c r="BF67" s="85"/>
      <c r="BG67" s="149"/>
      <c r="BH67" s="149"/>
      <c r="BI67" s="149"/>
      <c r="BJ67" s="180"/>
    </row>
    <row r="68" spans="1:62" s="59" customFormat="1" ht="73.5" customHeight="1" thickBot="1" x14ac:dyDescent="0.3">
      <c r="A68" s="295"/>
      <c r="B68" s="562"/>
      <c r="C68" s="321"/>
      <c r="D68" s="315"/>
      <c r="E68" s="315"/>
      <c r="F68" s="321"/>
      <c r="G68" s="321"/>
      <c r="H68" s="315"/>
      <c r="I68" s="564"/>
      <c r="J68" s="564"/>
      <c r="K68" s="137" t="s">
        <v>1150</v>
      </c>
      <c r="L68" s="137" t="s">
        <v>1151</v>
      </c>
      <c r="M68" s="504"/>
      <c r="N68" s="321"/>
      <c r="O68" s="321"/>
      <c r="P68" s="504"/>
      <c r="Q68" s="503"/>
      <c r="R68" s="526" t="s">
        <v>1152</v>
      </c>
      <c r="S68" s="526"/>
      <c r="T68" s="122" t="s">
        <v>147</v>
      </c>
      <c r="U68" s="69">
        <f t="shared" si="188"/>
        <v>15</v>
      </c>
      <c r="V68" s="122" t="s">
        <v>148</v>
      </c>
      <c r="W68" s="69">
        <f t="shared" si="189"/>
        <v>15</v>
      </c>
      <c r="X68" s="122" t="s">
        <v>149</v>
      </c>
      <c r="Y68" s="69">
        <f t="shared" si="190"/>
        <v>15</v>
      </c>
      <c r="Z68" s="122" t="s">
        <v>150</v>
      </c>
      <c r="AA68" s="69">
        <f t="shared" si="191"/>
        <v>15</v>
      </c>
      <c r="AB68" s="122" t="s">
        <v>151</v>
      </c>
      <c r="AC68" s="69">
        <f t="shared" si="192"/>
        <v>15</v>
      </c>
      <c r="AD68" s="122" t="s">
        <v>152</v>
      </c>
      <c r="AE68" s="69">
        <f t="shared" si="193"/>
        <v>15</v>
      </c>
      <c r="AF68" s="122" t="s">
        <v>153</v>
      </c>
      <c r="AG68" s="124">
        <f t="shared" si="194"/>
        <v>10</v>
      </c>
      <c r="AH68" s="129">
        <f t="shared" si="195"/>
        <v>100</v>
      </c>
      <c r="AI68" s="129" t="str">
        <f t="shared" si="196"/>
        <v>Fuerte</v>
      </c>
      <c r="AJ68" s="120" t="s">
        <v>154</v>
      </c>
      <c r="AK68" s="129" t="str">
        <f t="shared" si="197"/>
        <v>Fuerte</v>
      </c>
      <c r="AL68" s="129" t="str">
        <f t="shared" si="198"/>
        <v>FuerteFuerte</v>
      </c>
      <c r="AM68" s="129" t="str">
        <f>IFERROR(VLOOKUP(AL68,FORMULAS!$B$69:$D$77,3,FALSE),"")</f>
        <v>Fuerte</v>
      </c>
      <c r="AN68" s="129">
        <f t="shared" si="199"/>
        <v>100</v>
      </c>
      <c r="AO68" s="129" t="str">
        <f>IFERROR(VLOOKUP(AL68,FORMULAS!$B$69:$C$77,2,FALSE),"")</f>
        <v>No</v>
      </c>
      <c r="AP68" s="322"/>
      <c r="AQ68" s="322"/>
      <c r="AR68" s="453"/>
      <c r="AS68" s="453"/>
      <c r="AT68" s="322"/>
      <c r="AU68" s="322"/>
      <c r="AV68" s="322"/>
      <c r="AW68" s="321"/>
      <c r="AX68" s="321"/>
      <c r="AY68" s="504"/>
      <c r="AZ68" s="455"/>
      <c r="BA68" s="503"/>
      <c r="BB68" s="151"/>
      <c r="BC68" s="151"/>
      <c r="BD68" s="151"/>
      <c r="BE68" s="86"/>
      <c r="BF68" s="86"/>
      <c r="BG68" s="151"/>
      <c r="BH68" s="151"/>
      <c r="BI68" s="151"/>
      <c r="BJ68" s="169"/>
    </row>
    <row r="69" spans="1:62" s="59" customFormat="1" ht="141" customHeight="1" x14ac:dyDescent="0.25">
      <c r="A69" s="295">
        <v>17</v>
      </c>
      <c r="B69" s="538" t="s">
        <v>62</v>
      </c>
      <c r="C69" s="331">
        <v>17</v>
      </c>
      <c r="D69" s="251" t="s">
        <v>1153</v>
      </c>
      <c r="E69" s="333" t="s">
        <v>1154</v>
      </c>
      <c r="F69" s="331" t="s">
        <v>31</v>
      </c>
      <c r="G69" s="331" t="s">
        <v>66</v>
      </c>
      <c r="H69" s="333" t="s">
        <v>1155</v>
      </c>
      <c r="I69" s="548" t="s">
        <v>51</v>
      </c>
      <c r="J69" s="550" t="s">
        <v>74</v>
      </c>
      <c r="K69" s="331" t="s">
        <v>1156</v>
      </c>
      <c r="L69" s="333" t="s">
        <v>1157</v>
      </c>
      <c r="M69" s="135" t="str">
        <f>IF(F69="gestion","impacto",IF(F69="corrupcion","impactocorrupcion",IF(F69="seguridad_de_la_informacion","impacto","")))</f>
        <v>impacto</v>
      </c>
      <c r="N69" s="331" t="s">
        <v>35</v>
      </c>
      <c r="O69" s="249" t="s">
        <v>28</v>
      </c>
      <c r="P69" s="135" t="str">
        <f>N69&amp;O69</f>
        <v>PosibleMenor</v>
      </c>
      <c r="Q69" s="337" t="str">
        <f>IFERROR(VLOOKUP(P69,[9]FORMULAS!$B$38:$C$62,2,FALSE),"")</f>
        <v>Riesgo moderado</v>
      </c>
      <c r="R69" s="445" t="s">
        <v>1158</v>
      </c>
      <c r="S69" s="445"/>
      <c r="T69" s="331" t="s">
        <v>147</v>
      </c>
      <c r="U69" s="135">
        <f t="shared" ref="U69" si="200">IF(T69="Asignado",15,0)</f>
        <v>15</v>
      </c>
      <c r="V69" s="331" t="s">
        <v>148</v>
      </c>
      <c r="W69" s="135">
        <f t="shared" ref="W69" si="201">IF(V69="Adecuado",15,0)</f>
        <v>15</v>
      </c>
      <c r="X69" s="331" t="s">
        <v>149</v>
      </c>
      <c r="Y69" s="135">
        <f t="shared" ref="Y69" si="202">IF(X69="Oportuna",15,0)</f>
        <v>15</v>
      </c>
      <c r="Z69" s="331" t="s">
        <v>150</v>
      </c>
      <c r="AA69" s="135">
        <f t="shared" ref="AA69" si="203">IF(Z69="Prevenir",15,IF(Z69="Detectar",10,0))</f>
        <v>15</v>
      </c>
      <c r="AB69" s="331" t="s">
        <v>151</v>
      </c>
      <c r="AC69" s="135">
        <f t="shared" ref="AC69" si="204">IF(AB69="Confiable",15,0)</f>
        <v>15</v>
      </c>
      <c r="AD69" s="331" t="s">
        <v>152</v>
      </c>
      <c r="AE69" s="135">
        <f t="shared" ref="AE69" si="205">IF(AD69="Se investigan y resuelven oportunamente",15,0)</f>
        <v>15</v>
      </c>
      <c r="AF69" s="331" t="s">
        <v>153</v>
      </c>
      <c r="AG69" s="135">
        <f t="shared" ref="AG69" si="206">IF(AF69="Completa",10,IF(AF69="incompleta",5,0))</f>
        <v>10</v>
      </c>
      <c r="AH69" s="300">
        <f t="shared" ref="AH69" si="207">U69+W69+Y69+AA69+AC69+AE69+AG69</f>
        <v>100</v>
      </c>
      <c r="AI69" s="300" t="str">
        <f t="shared" ref="AI69" si="208">IF(AH69&gt;=96,"Fuerte",IF(AH69&gt;=86,"Moderado",IF(AH69&gt;=1,"Débil","")))</f>
        <v>Fuerte</v>
      </c>
      <c r="AJ69" s="301" t="s">
        <v>154</v>
      </c>
      <c r="AK69" s="300" t="str">
        <f t="shared" ref="AK69" si="209">IF(AJ69="Siempre se ejecuta","Fuerte",IF(AJ69="Algunas veces","Moderado",IF(AJ69="no se ejecuta","Débil","")))</f>
        <v>Fuerte</v>
      </c>
      <c r="AL69" s="128" t="str">
        <f t="shared" ref="AL69" si="210">AI69&amp;AK69</f>
        <v>FuerteFuerte</v>
      </c>
      <c r="AM69" s="300" t="str">
        <f>IFERROR(VLOOKUP(AL69,[9]FORMULAS!$B$70:$D$78,3,FALSE),"")</f>
        <v>Fuerte</v>
      </c>
      <c r="AN69" s="300">
        <f t="shared" ref="AN69" si="211">IF(AM69="fuerte",100,IF(AM69="Moderado",50,IF(AM69="débil",0,"")))</f>
        <v>100</v>
      </c>
      <c r="AO69" s="300">
        <f>IFERROR(AVERAGE(AN69:AN69),0)</f>
        <v>100</v>
      </c>
      <c r="AQ69" s="300" t="str">
        <f>IF(AO69&gt;=100,"Fuerte",IF(AO69&gt;=50,"Moderado",IF(AO69&gt;=1,"Débil","")))</f>
        <v>Fuerte</v>
      </c>
      <c r="AR69" s="272" t="s">
        <v>92</v>
      </c>
      <c r="AS69" s="272" t="s">
        <v>92</v>
      </c>
      <c r="AT69" s="128" t="str">
        <f t="shared" ref="AT69" si="212">+AQ69&amp;AR69&amp;AS69</f>
        <v>FuerteDirectamenteDirectamente</v>
      </c>
      <c r="AU69" s="255">
        <f>IFERROR(VLOOKUP(AT69,[9]FORMULAS!$B$95:$D$102,2,FALSE),0)</f>
        <v>2</v>
      </c>
      <c r="AV69" s="255">
        <f>IFERROR(VLOOKUP(AT69,[9]FORMULAS!$B$95:$D$102,3,FALSE),0)</f>
        <v>2</v>
      </c>
      <c r="AW69" s="257" t="s">
        <v>15</v>
      </c>
      <c r="AX69" s="576" t="s">
        <v>18</v>
      </c>
      <c r="AY69" s="135" t="str">
        <f t="shared" ref="AY69" si="213">AW69&amp;AX69</f>
        <v>Rara vezInsignificante</v>
      </c>
      <c r="AZ69" s="302" t="str">
        <f>IFERROR(VLOOKUP(AY69,[9]FORMULAS!$B$38:$C$62,2,FALSE),"")</f>
        <v>Riesgo bajo</v>
      </c>
      <c r="BA69" s="502" t="s">
        <v>19</v>
      </c>
      <c r="BB69" s="217" t="s">
        <v>1159</v>
      </c>
      <c r="BC69" s="194" t="s">
        <v>1160</v>
      </c>
      <c r="BD69" s="194" t="s">
        <v>1161</v>
      </c>
      <c r="BE69" s="218" t="s">
        <v>1162</v>
      </c>
      <c r="BF69" s="193" t="s">
        <v>1163</v>
      </c>
      <c r="BG69" s="217" t="s">
        <v>1164</v>
      </c>
      <c r="BH69" s="217" t="s">
        <v>1165</v>
      </c>
      <c r="BI69" s="194" t="s">
        <v>1161</v>
      </c>
      <c r="BJ69" s="218" t="s">
        <v>505</v>
      </c>
    </row>
    <row r="70" spans="1:62" s="59" customFormat="1" ht="144" customHeight="1" thickBot="1" x14ac:dyDescent="0.3">
      <c r="A70" s="295"/>
      <c r="B70" s="539"/>
      <c r="C70" s="258"/>
      <c r="D70" s="448"/>
      <c r="E70" s="334"/>
      <c r="F70" s="258"/>
      <c r="G70" s="258"/>
      <c r="H70" s="334"/>
      <c r="I70" s="549"/>
      <c r="J70" s="551"/>
      <c r="K70" s="258"/>
      <c r="L70" s="334"/>
      <c r="M70" s="135"/>
      <c r="N70" s="258"/>
      <c r="O70" s="335"/>
      <c r="P70" s="135"/>
      <c r="Q70" s="338"/>
      <c r="R70" s="508" t="s">
        <v>1166</v>
      </c>
      <c r="S70" s="508"/>
      <c r="T70" s="258"/>
      <c r="U70" s="135"/>
      <c r="V70" s="258"/>
      <c r="W70" s="135"/>
      <c r="X70" s="258"/>
      <c r="Y70" s="135"/>
      <c r="Z70" s="258"/>
      <c r="AA70" s="135"/>
      <c r="AB70" s="258"/>
      <c r="AC70" s="135"/>
      <c r="AD70" s="258"/>
      <c r="AE70" s="135"/>
      <c r="AF70" s="258"/>
      <c r="AG70" s="135"/>
      <c r="AH70" s="256"/>
      <c r="AI70" s="256"/>
      <c r="AJ70" s="273"/>
      <c r="AK70" s="256"/>
      <c r="AL70" s="128"/>
      <c r="AM70" s="256"/>
      <c r="AN70" s="256"/>
      <c r="AO70" s="256"/>
      <c r="AQ70" s="256"/>
      <c r="AR70" s="453"/>
      <c r="AS70" s="453"/>
      <c r="AT70" s="128"/>
      <c r="AU70" s="322"/>
      <c r="AV70" s="322"/>
      <c r="AW70" s="321"/>
      <c r="AX70" s="577"/>
      <c r="AY70" s="135"/>
      <c r="AZ70" s="455"/>
      <c r="BA70" s="503"/>
      <c r="BB70" s="229"/>
      <c r="BC70" s="197"/>
      <c r="BD70" s="197"/>
      <c r="BE70" s="230"/>
      <c r="BF70" s="198"/>
      <c r="BG70" s="229"/>
      <c r="BH70" s="229"/>
      <c r="BI70" s="197"/>
      <c r="BJ70" s="230"/>
    </row>
    <row r="71" spans="1:62" s="64" customFormat="1" ht="139.5" customHeight="1" x14ac:dyDescent="0.25">
      <c r="A71" s="575">
        <v>18</v>
      </c>
      <c r="B71" s="459" t="s">
        <v>79</v>
      </c>
      <c r="C71" s="341">
        <v>18</v>
      </c>
      <c r="D71" s="344" t="s">
        <v>1167</v>
      </c>
      <c r="E71" s="344" t="s">
        <v>1168</v>
      </c>
      <c r="F71" s="341" t="s">
        <v>31</v>
      </c>
      <c r="G71" s="341" t="s">
        <v>69</v>
      </c>
      <c r="H71" s="344" t="s">
        <v>712</v>
      </c>
      <c r="I71" s="345" t="s">
        <v>54</v>
      </c>
      <c r="J71" s="345" t="s">
        <v>78</v>
      </c>
      <c r="K71" s="65" t="s">
        <v>1169</v>
      </c>
      <c r="L71" s="65" t="s">
        <v>1170</v>
      </c>
      <c r="M71" s="342" t="str">
        <f>IF(F71="gestion","impacto",IF(F71="corrupcion","impactocorrupcion",IF(F71="seguridad_de_la_informacion","impacto","")))</f>
        <v>impacto</v>
      </c>
      <c r="N71" s="341" t="s">
        <v>48</v>
      </c>
      <c r="O71" s="341" t="s">
        <v>17</v>
      </c>
      <c r="P71" s="342" t="str">
        <f>N71&amp;O71</f>
        <v>Casi seguroModerado</v>
      </c>
      <c r="Q71" s="545" t="str">
        <f>IFERROR(VLOOKUP(P71,FORMULAS!$B$37:$C$61,2,FALSE),"")</f>
        <v>Riesgo extremo</v>
      </c>
      <c r="R71" s="523" t="s">
        <v>1171</v>
      </c>
      <c r="S71" s="523"/>
      <c r="T71" s="121" t="s">
        <v>147</v>
      </c>
      <c r="U71" s="67">
        <f t="shared" ref="U71:U73" si="214">IF(T71="Asignado",15,0)</f>
        <v>15</v>
      </c>
      <c r="V71" s="121" t="s">
        <v>148</v>
      </c>
      <c r="W71" s="67">
        <f t="shared" ref="W71:W73" si="215">IF(V71="Adecuado",15,0)</f>
        <v>15</v>
      </c>
      <c r="X71" s="121" t="s">
        <v>149</v>
      </c>
      <c r="Y71" s="67">
        <f t="shared" ref="Y71:Y73" si="216">IF(X71="Oportuna",15,0)</f>
        <v>15</v>
      </c>
      <c r="Z71" s="121" t="s">
        <v>150</v>
      </c>
      <c r="AA71" s="67">
        <f t="shared" ref="AA71:AA73" si="217">IF(Z71="Prevenir",15,IF(Z71="Detectar",10,0))</f>
        <v>15</v>
      </c>
      <c r="AB71" s="121" t="s">
        <v>151</v>
      </c>
      <c r="AC71" s="67">
        <f t="shared" ref="AC71:AC73" si="218">IF(AB71="Confiable",15,0)</f>
        <v>15</v>
      </c>
      <c r="AD71" s="121" t="s">
        <v>152</v>
      </c>
      <c r="AE71" s="67">
        <f t="shared" ref="AE71:AE73" si="219">IF(AD71="Se investigan y resuelven oportunamente",15,0)</f>
        <v>15</v>
      </c>
      <c r="AF71" s="121" t="s">
        <v>153</v>
      </c>
      <c r="AG71" s="123">
        <f t="shared" si="194"/>
        <v>10</v>
      </c>
      <c r="AH71" s="127">
        <f t="shared" si="195"/>
        <v>100</v>
      </c>
      <c r="AI71" s="127" t="str">
        <f t="shared" si="196"/>
        <v>Fuerte</v>
      </c>
      <c r="AJ71" s="119" t="s">
        <v>154</v>
      </c>
      <c r="AK71" s="127" t="str">
        <f t="shared" si="197"/>
        <v>Fuerte</v>
      </c>
      <c r="AL71" s="127" t="str">
        <f t="shared" si="198"/>
        <v>FuerteFuerte</v>
      </c>
      <c r="AM71" s="127" t="str">
        <f>IFERROR(VLOOKUP(AL71,FORMULAS!$B$69:$D$77,3,FALSE),"")</f>
        <v>Fuerte</v>
      </c>
      <c r="AN71" s="127">
        <f t="shared" si="199"/>
        <v>100</v>
      </c>
      <c r="AO71" s="127" t="str">
        <f>IFERROR(VLOOKUP(AL71,FORMULAS!$B$69:$D$77,2,FALSE),"")</f>
        <v>No</v>
      </c>
      <c r="AP71" s="306">
        <f>IFERROR(AVERAGE(AN71:AN72),0)</f>
        <v>100</v>
      </c>
      <c r="AQ71" s="306" t="str">
        <f>IF(AP71&gt;=100,"Fuerte",IF(AP71&gt;=50,"Moderado",IF(AP71&gt;=1,"Débil","")))</f>
        <v>Fuerte</v>
      </c>
      <c r="AR71" s="308" t="s">
        <v>92</v>
      </c>
      <c r="AS71" s="308" t="s">
        <v>94</v>
      </c>
      <c r="AT71" s="306" t="str">
        <f>+AQ71&amp;AR71&amp;AS71</f>
        <v>FuerteDirectamenteIndirectamente</v>
      </c>
      <c r="AU71" s="306">
        <f>IFERROR(VLOOKUP(AT71,FORMULAS!$B$94:$D$101,2,FALSE),0)</f>
        <v>2</v>
      </c>
      <c r="AV71" s="306">
        <f>IFERROR(VLOOKUP(AT71,FORMULAS!$B$94:$D$101,3,FALSE),0)</f>
        <v>1</v>
      </c>
      <c r="AW71" s="341" t="s">
        <v>35</v>
      </c>
      <c r="AX71" s="341" t="s">
        <v>28</v>
      </c>
      <c r="AY71" s="342" t="str">
        <f>AW71&amp;AX71</f>
        <v>PosibleMenor</v>
      </c>
      <c r="AZ71" s="356" t="str">
        <f>IFERROR(VLOOKUP(AY71,FORMULAS!$B$37:$C$61,2,FALSE),"")</f>
        <v>Riesgo moderado</v>
      </c>
      <c r="BA71" s="343" t="s">
        <v>29</v>
      </c>
      <c r="BB71" s="149" t="s">
        <v>1172</v>
      </c>
      <c r="BC71" s="149" t="s">
        <v>1173</v>
      </c>
      <c r="BD71" s="149" t="s">
        <v>1174</v>
      </c>
      <c r="BE71" s="85" t="s">
        <v>312</v>
      </c>
      <c r="BF71" s="85" t="s">
        <v>1175</v>
      </c>
      <c r="BG71" s="328" t="s">
        <v>1176</v>
      </c>
      <c r="BH71" s="328" t="s">
        <v>1177</v>
      </c>
      <c r="BI71" s="328" t="s">
        <v>718</v>
      </c>
      <c r="BJ71" s="413" t="s">
        <v>722</v>
      </c>
    </row>
    <row r="72" spans="1:62" s="64" customFormat="1" ht="165" customHeight="1" thickBot="1" x14ac:dyDescent="0.3">
      <c r="A72" s="575"/>
      <c r="B72" s="460"/>
      <c r="C72" s="297"/>
      <c r="D72" s="298"/>
      <c r="E72" s="298"/>
      <c r="F72" s="297"/>
      <c r="G72" s="297"/>
      <c r="H72" s="298"/>
      <c r="I72" s="299"/>
      <c r="J72" s="299"/>
      <c r="K72" s="62" t="s">
        <v>1178</v>
      </c>
      <c r="L72" s="62" t="s">
        <v>1170</v>
      </c>
      <c r="M72" s="254"/>
      <c r="N72" s="297"/>
      <c r="O72" s="297"/>
      <c r="P72" s="254"/>
      <c r="Q72" s="546"/>
      <c r="R72" s="552" t="s">
        <v>1179</v>
      </c>
      <c r="S72" s="552"/>
      <c r="T72" s="133" t="s">
        <v>147</v>
      </c>
      <c r="U72" s="66">
        <f t="shared" si="214"/>
        <v>15</v>
      </c>
      <c r="V72" s="133" t="s">
        <v>148</v>
      </c>
      <c r="W72" s="66">
        <f t="shared" si="215"/>
        <v>15</v>
      </c>
      <c r="X72" s="133" t="s">
        <v>149</v>
      </c>
      <c r="Y72" s="66">
        <f t="shared" si="216"/>
        <v>15</v>
      </c>
      <c r="Z72" s="133" t="s">
        <v>150</v>
      </c>
      <c r="AA72" s="66">
        <f t="shared" si="217"/>
        <v>15</v>
      </c>
      <c r="AB72" s="133" t="s">
        <v>151</v>
      </c>
      <c r="AC72" s="66">
        <f t="shared" si="218"/>
        <v>15</v>
      </c>
      <c r="AD72" s="133" t="s">
        <v>152</v>
      </c>
      <c r="AE72" s="66">
        <f t="shared" si="219"/>
        <v>15</v>
      </c>
      <c r="AF72" s="133" t="s">
        <v>153</v>
      </c>
      <c r="AG72" s="135">
        <f t="shared" si="194"/>
        <v>10</v>
      </c>
      <c r="AH72" s="128">
        <f t="shared" si="195"/>
        <v>100</v>
      </c>
      <c r="AI72" s="128" t="str">
        <f t="shared" si="196"/>
        <v>Fuerte</v>
      </c>
      <c r="AJ72" s="139" t="s">
        <v>154</v>
      </c>
      <c r="AK72" s="128" t="str">
        <f t="shared" si="197"/>
        <v>Fuerte</v>
      </c>
      <c r="AL72" s="128" t="str">
        <f t="shared" si="198"/>
        <v>FuerteFuerte</v>
      </c>
      <c r="AM72" s="128" t="str">
        <f>IFERROR(VLOOKUP(AL72,FORMULAS!$B$69:$D$77,3,FALSE),"")</f>
        <v>Fuerte</v>
      </c>
      <c r="AN72" s="128">
        <f t="shared" si="199"/>
        <v>100</v>
      </c>
      <c r="AO72" s="128" t="str">
        <f>IFERROR(VLOOKUP(AL72,FORMULAS!$B$69:$C$77,2,FALSE),"")</f>
        <v>No</v>
      </c>
      <c r="AP72" s="271"/>
      <c r="AQ72" s="271"/>
      <c r="AR72" s="304"/>
      <c r="AS72" s="304"/>
      <c r="AT72" s="271"/>
      <c r="AU72" s="271"/>
      <c r="AV72" s="271"/>
      <c r="AW72" s="297"/>
      <c r="AX72" s="297"/>
      <c r="AY72" s="254"/>
      <c r="AZ72" s="316"/>
      <c r="BA72" s="317"/>
      <c r="BB72" s="150" t="s">
        <v>1180</v>
      </c>
      <c r="BC72" s="150" t="s">
        <v>1181</v>
      </c>
      <c r="BD72" s="150" t="s">
        <v>1182</v>
      </c>
      <c r="BE72" s="83" t="s">
        <v>515</v>
      </c>
      <c r="BF72" s="83" t="s">
        <v>1183</v>
      </c>
      <c r="BG72" s="329"/>
      <c r="BH72" s="329"/>
      <c r="BI72" s="329"/>
      <c r="BJ72" s="414"/>
    </row>
    <row r="73" spans="1:62" s="59" customFormat="1" ht="128.25" customHeight="1" x14ac:dyDescent="0.25">
      <c r="A73" s="59">
        <v>19</v>
      </c>
      <c r="B73" s="75" t="s">
        <v>77</v>
      </c>
      <c r="C73" s="70">
        <v>19</v>
      </c>
      <c r="D73" s="133" t="s">
        <v>1184</v>
      </c>
      <c r="E73" s="133" t="s">
        <v>1185</v>
      </c>
      <c r="F73" s="70" t="s">
        <v>31</v>
      </c>
      <c r="G73" s="70" t="s">
        <v>66</v>
      </c>
      <c r="H73" s="76" t="s">
        <v>1186</v>
      </c>
      <c r="I73" s="82" t="s">
        <v>46</v>
      </c>
      <c r="J73" s="82" t="s">
        <v>61</v>
      </c>
      <c r="K73" s="82" t="s">
        <v>1187</v>
      </c>
      <c r="L73" s="76" t="s">
        <v>1188</v>
      </c>
      <c r="M73" s="71" t="str">
        <f>IF(F73="gestion","impacto",IF(F73="corrupcion","impactocorrupcion",IF(F73="seguridad_de_la_informacion","impacto","")))</f>
        <v>impacto</v>
      </c>
      <c r="N73" s="70" t="s">
        <v>35</v>
      </c>
      <c r="O73" s="70" t="s">
        <v>17</v>
      </c>
      <c r="P73" s="71" t="str">
        <f>N73&amp;O73</f>
        <v>PosibleModerado</v>
      </c>
      <c r="Q73" s="77" t="str">
        <f>IFERROR(VLOOKUP(P73,FORMULAS!$B$37:$C$61,2,FALSE),"")</f>
        <v>Riesgo alto</v>
      </c>
      <c r="R73" s="535" t="s">
        <v>1189</v>
      </c>
      <c r="S73" s="535"/>
      <c r="T73" s="76" t="s">
        <v>147</v>
      </c>
      <c r="U73" s="78">
        <f t="shared" si="214"/>
        <v>15</v>
      </c>
      <c r="V73" s="76" t="s">
        <v>148</v>
      </c>
      <c r="W73" s="78">
        <f t="shared" si="215"/>
        <v>15</v>
      </c>
      <c r="X73" s="76" t="s">
        <v>149</v>
      </c>
      <c r="Y73" s="78">
        <f t="shared" si="216"/>
        <v>15</v>
      </c>
      <c r="Z73" s="76" t="s">
        <v>150</v>
      </c>
      <c r="AA73" s="78">
        <f t="shared" si="217"/>
        <v>15</v>
      </c>
      <c r="AB73" s="76" t="s">
        <v>151</v>
      </c>
      <c r="AC73" s="78">
        <f t="shared" si="218"/>
        <v>15</v>
      </c>
      <c r="AD73" s="76" t="s">
        <v>152</v>
      </c>
      <c r="AE73" s="78">
        <f t="shared" si="219"/>
        <v>15</v>
      </c>
      <c r="AF73" s="76" t="s">
        <v>153</v>
      </c>
      <c r="AG73" s="71">
        <f t="shared" si="194"/>
        <v>10</v>
      </c>
      <c r="AH73" s="79">
        <f t="shared" si="195"/>
        <v>100</v>
      </c>
      <c r="AI73" s="79" t="str">
        <f t="shared" si="196"/>
        <v>Fuerte</v>
      </c>
      <c r="AJ73" s="80" t="s">
        <v>154</v>
      </c>
      <c r="AK73" s="79" t="str">
        <f t="shared" si="197"/>
        <v>Fuerte</v>
      </c>
      <c r="AL73" s="79" t="str">
        <f t="shared" si="198"/>
        <v>FuerteFuerte</v>
      </c>
      <c r="AM73" s="79" t="str">
        <f>IFERROR(VLOOKUP(AL73,FORMULAS!$B$69:$D$77,3,FALSE),"")</f>
        <v>Fuerte</v>
      </c>
      <c r="AN73" s="79">
        <f t="shared" si="199"/>
        <v>100</v>
      </c>
      <c r="AO73" s="79" t="str">
        <f>IFERROR(VLOOKUP(AL73,FORMULAS!$B$69:$D$77,2,FALSE),"")</f>
        <v>No</v>
      </c>
      <c r="AP73" s="79">
        <f>IFERROR(AVERAGE(AN73:AN73),0)</f>
        <v>100</v>
      </c>
      <c r="AQ73" s="79" t="str">
        <f>IF(AP73&gt;=100,"Fuerte",IF(AP73&gt;=50,"Moderado",IF(AP73&gt;=1,"Débil","")))</f>
        <v>Fuerte</v>
      </c>
      <c r="AR73" s="80" t="s">
        <v>92</v>
      </c>
      <c r="AS73" s="80" t="s">
        <v>93</v>
      </c>
      <c r="AT73" s="79" t="str">
        <f>+AQ73&amp;AR73&amp;AS73</f>
        <v>FuerteDirectamenteNo disminuye</v>
      </c>
      <c r="AU73" s="79">
        <f>IFERROR(VLOOKUP(AT73,FORMULAS!$B$94:$D$101,2,FALSE),0)</f>
        <v>2</v>
      </c>
      <c r="AV73" s="79">
        <f>IFERROR(VLOOKUP(AT73,FORMULAS!$B$94:$D$101,3,FALSE),0)</f>
        <v>0</v>
      </c>
      <c r="AW73" s="70" t="s">
        <v>15</v>
      </c>
      <c r="AX73" s="70" t="s">
        <v>17</v>
      </c>
      <c r="AY73" s="71" t="str">
        <f>AW73&amp;AX73</f>
        <v>Rara vezModerado</v>
      </c>
      <c r="AZ73" s="81" t="str">
        <f>IFERROR(VLOOKUP(AY73,FORMULAS!$B$37:$C$61,2,FALSE),"")</f>
        <v>Riesgo moderado</v>
      </c>
      <c r="BA73" s="77" t="s">
        <v>29</v>
      </c>
      <c r="BB73" s="118" t="s">
        <v>1190</v>
      </c>
      <c r="BC73" s="118" t="s">
        <v>1191</v>
      </c>
      <c r="BD73" s="118" t="s">
        <v>1192</v>
      </c>
      <c r="BE73" s="118" t="s">
        <v>1193</v>
      </c>
      <c r="BF73" s="183" t="s">
        <v>1194</v>
      </c>
      <c r="BG73" s="182" t="s">
        <v>1195</v>
      </c>
      <c r="BH73" s="182" t="s">
        <v>1196</v>
      </c>
      <c r="BI73" s="182" t="s">
        <v>1192</v>
      </c>
      <c r="BJ73" s="183" t="s">
        <v>274</v>
      </c>
    </row>
    <row r="74" spans="1:62" s="6" customFormat="1" x14ac:dyDescent="0.25">
      <c r="B74" s="7"/>
      <c r="C74" s="7"/>
      <c r="D74" s="15"/>
      <c r="E74" s="15"/>
      <c r="F74" s="7"/>
      <c r="G74" s="7"/>
      <c r="H74" s="15"/>
      <c r="I74" s="15"/>
      <c r="J74" s="15"/>
      <c r="K74" s="7"/>
      <c r="L74" s="7"/>
      <c r="M74" s="7"/>
      <c r="N74" s="7"/>
      <c r="O74" s="7"/>
      <c r="P74" s="7"/>
      <c r="Q74" s="9"/>
      <c r="R74" s="15"/>
      <c r="S74" s="15"/>
      <c r="T74" s="7"/>
      <c r="U74" s="7"/>
      <c r="V74" s="7"/>
      <c r="W74" s="7"/>
      <c r="X74" s="7"/>
      <c r="Y74" s="7"/>
      <c r="Z74" s="7"/>
      <c r="AA74" s="7"/>
      <c r="AB74" s="7"/>
      <c r="AC74" s="7"/>
      <c r="AD74" s="7"/>
      <c r="AE74" s="7"/>
      <c r="AF74" s="7"/>
      <c r="AG74" s="7"/>
      <c r="AH74" s="8"/>
      <c r="AI74" s="8"/>
      <c r="AJ74" s="8"/>
      <c r="AK74" s="8"/>
      <c r="AL74" s="8"/>
      <c r="AM74" s="8"/>
      <c r="AN74" s="8"/>
      <c r="AO74" s="8"/>
      <c r="AP74" s="8"/>
      <c r="AQ74" s="8"/>
      <c r="AR74" s="8"/>
      <c r="AS74" s="8"/>
      <c r="AT74" s="8"/>
      <c r="AU74" s="8"/>
      <c r="AV74" s="8"/>
      <c r="AW74" s="7"/>
      <c r="AX74" s="7"/>
      <c r="AY74" s="9"/>
      <c r="AZ74" s="9"/>
      <c r="BA74" s="9"/>
      <c r="BB74" s="9"/>
      <c r="BC74" s="9"/>
      <c r="BD74" s="9"/>
    </row>
    <row r="75" spans="1:62" s="6" customFormat="1" x14ac:dyDescent="0.25">
      <c r="D75" s="15"/>
      <c r="E75" s="15"/>
      <c r="F75" s="7"/>
      <c r="G75" s="7"/>
      <c r="H75" s="15"/>
      <c r="I75" s="15"/>
      <c r="J75" s="15"/>
      <c r="K75" s="7"/>
      <c r="L75" s="7"/>
      <c r="M75" s="7"/>
      <c r="N75" s="7"/>
      <c r="O75" s="7"/>
      <c r="P75" s="7"/>
      <c r="Q75" s="9"/>
      <c r="R75" s="15"/>
      <c r="S75" s="15"/>
      <c r="T75" s="7"/>
      <c r="U75" s="7"/>
      <c r="V75" s="7"/>
      <c r="W75" s="7"/>
      <c r="X75" s="7"/>
      <c r="Y75" s="7"/>
      <c r="Z75" s="7"/>
      <c r="AA75" s="7"/>
      <c r="AB75" s="7"/>
      <c r="AC75" s="7"/>
      <c r="AD75" s="7"/>
      <c r="AE75" s="7"/>
      <c r="AF75" s="7"/>
      <c r="AG75" s="7"/>
      <c r="AH75" s="8"/>
      <c r="AI75" s="8"/>
      <c r="AJ75" s="8"/>
      <c r="AK75" s="8"/>
      <c r="AL75" s="8"/>
      <c r="AM75" s="8"/>
      <c r="AN75" s="8"/>
      <c r="AO75" s="8"/>
      <c r="AP75" s="8"/>
      <c r="AQ75" s="8"/>
      <c r="AR75" s="8"/>
      <c r="AS75" s="8"/>
      <c r="AT75" s="8"/>
      <c r="AU75" s="8"/>
      <c r="AV75" s="8"/>
      <c r="AW75" s="7"/>
      <c r="AX75" s="7"/>
      <c r="AY75" s="9"/>
      <c r="AZ75" s="9"/>
      <c r="BA75" s="9"/>
      <c r="BB75" s="9"/>
      <c r="BC75" s="9"/>
      <c r="BD75" s="9"/>
    </row>
    <row r="76" spans="1:62" s="6" customFormat="1" x14ac:dyDescent="0.25">
      <c r="D76" s="15"/>
      <c r="E76" s="15"/>
      <c r="F76" s="7"/>
      <c r="G76" s="7"/>
      <c r="H76" s="15"/>
      <c r="I76" s="15"/>
      <c r="J76" s="15"/>
      <c r="K76" s="7"/>
      <c r="L76" s="7"/>
      <c r="M76" s="7"/>
      <c r="N76" s="7"/>
      <c r="O76" s="7"/>
      <c r="P76" s="7"/>
      <c r="Q76" s="9"/>
      <c r="R76" s="15"/>
      <c r="S76" s="15"/>
      <c r="T76" s="7"/>
      <c r="U76" s="7"/>
      <c r="V76" s="7"/>
      <c r="W76" s="7"/>
      <c r="X76" s="7"/>
      <c r="Y76" s="7"/>
      <c r="Z76" s="7"/>
      <c r="AA76" s="7"/>
      <c r="AB76" s="7"/>
      <c r="AC76" s="7"/>
      <c r="AD76" s="7"/>
      <c r="AE76" s="7"/>
      <c r="AF76" s="7"/>
      <c r="AG76" s="7"/>
      <c r="AH76" s="8"/>
      <c r="AI76" s="8"/>
      <c r="AJ76" s="8"/>
      <c r="AL76" s="8"/>
      <c r="AO76" s="8"/>
      <c r="AP76" s="8"/>
      <c r="AQ76" s="8"/>
      <c r="AR76" s="8"/>
      <c r="AS76" s="8"/>
      <c r="AT76" s="8"/>
      <c r="AU76" s="8"/>
      <c r="AV76" s="8"/>
      <c r="AW76" s="7"/>
      <c r="AX76" s="7"/>
      <c r="AY76" s="9"/>
      <c r="AZ76" s="9"/>
      <c r="BA76" s="9"/>
      <c r="BB76" s="9"/>
      <c r="BC76" s="9"/>
      <c r="BD76" s="9"/>
    </row>
    <row r="77" spans="1:62" x14ac:dyDescent="0.25">
      <c r="AR77" s="8"/>
    </row>
    <row r="78" spans="1:62" x14ac:dyDescent="0.25">
      <c r="E78" s="12"/>
      <c r="H78" s="12"/>
      <c r="I78" s="12"/>
      <c r="J78" s="12"/>
      <c r="AR78" s="8"/>
    </row>
    <row r="79" spans="1:62" x14ac:dyDescent="0.25">
      <c r="E79" s="12"/>
      <c r="H79" s="12"/>
      <c r="I79" s="12"/>
      <c r="J79" s="12"/>
    </row>
    <row r="80" spans="1:62" x14ac:dyDescent="0.25">
      <c r="E80" s="12"/>
      <c r="H80" s="12"/>
      <c r="I80" s="12"/>
      <c r="J80" s="12"/>
    </row>
    <row r="81" spans="5:10" x14ac:dyDescent="0.25">
      <c r="E81" s="12"/>
      <c r="H81" s="12"/>
      <c r="I81" s="12"/>
      <c r="J81" s="12"/>
    </row>
    <row r="82" spans="5:10" x14ac:dyDescent="0.25">
      <c r="E82" s="12"/>
      <c r="H82" s="12"/>
      <c r="I82" s="12"/>
      <c r="J82" s="12"/>
    </row>
    <row r="83" spans="5:10" x14ac:dyDescent="0.25">
      <c r="E83" s="12"/>
      <c r="H83" s="12"/>
      <c r="I83" s="12"/>
      <c r="J83" s="12"/>
    </row>
    <row r="84" spans="5:10" x14ac:dyDescent="0.25">
      <c r="E84" s="12"/>
      <c r="H84" s="12"/>
      <c r="I84" s="12"/>
      <c r="J84" s="12"/>
    </row>
    <row r="85" spans="5:10" x14ac:dyDescent="0.25">
      <c r="E85" s="12"/>
      <c r="H85" s="12"/>
      <c r="I85" s="12"/>
      <c r="J85" s="12"/>
    </row>
    <row r="86" spans="5:10" x14ac:dyDescent="0.25">
      <c r="E86" s="12"/>
      <c r="H86" s="12"/>
      <c r="I86" s="12"/>
      <c r="J86" s="12"/>
    </row>
    <row r="87" spans="5:10" x14ac:dyDescent="0.25">
      <c r="E87" s="12"/>
      <c r="H87" s="12"/>
      <c r="I87" s="12"/>
      <c r="J87" s="12"/>
    </row>
    <row r="88" spans="5:10" x14ac:dyDescent="0.25">
      <c r="E88" s="12"/>
      <c r="H88" s="12"/>
      <c r="I88" s="12"/>
      <c r="J88" s="12"/>
    </row>
    <row r="89" spans="5:10" x14ac:dyDescent="0.25">
      <c r="E89" s="12"/>
      <c r="H89" s="12"/>
      <c r="I89" s="12"/>
      <c r="J89" s="12"/>
    </row>
    <row r="90" spans="5:10" x14ac:dyDescent="0.25">
      <c r="E90" s="12"/>
      <c r="H90" s="12"/>
      <c r="I90" s="12"/>
      <c r="J90" s="12"/>
    </row>
    <row r="91" spans="5:10" x14ac:dyDescent="0.25">
      <c r="E91" s="12"/>
      <c r="H91" s="12"/>
      <c r="I91" s="12"/>
      <c r="J91" s="12"/>
    </row>
    <row r="92" spans="5:10" x14ac:dyDescent="0.25">
      <c r="E92" s="12"/>
      <c r="H92" s="12"/>
      <c r="I92" s="12"/>
      <c r="J92" s="12"/>
    </row>
    <row r="93" spans="5:10" x14ac:dyDescent="0.25">
      <c r="E93" s="12"/>
      <c r="H93" s="12"/>
      <c r="I93" s="12"/>
      <c r="J93" s="12"/>
    </row>
    <row r="94" spans="5:10" x14ac:dyDescent="0.25">
      <c r="E94" s="12"/>
      <c r="H94" s="12"/>
      <c r="I94" s="12"/>
      <c r="J94" s="12"/>
    </row>
    <row r="95" spans="5:10" x14ac:dyDescent="0.25">
      <c r="E95" s="12"/>
      <c r="H95" s="12"/>
      <c r="I95" s="12"/>
      <c r="J95" s="12"/>
    </row>
    <row r="96" spans="5:10" x14ac:dyDescent="0.25">
      <c r="E96" s="12"/>
      <c r="H96" s="12"/>
      <c r="I96" s="12"/>
      <c r="J96" s="12"/>
    </row>
    <row r="97" spans="5:10" x14ac:dyDescent="0.25">
      <c r="E97" s="12"/>
      <c r="H97" s="12"/>
      <c r="I97" s="12"/>
      <c r="J97" s="12"/>
    </row>
  </sheetData>
  <sheetProtection selectLockedCells="1"/>
  <mergeCells count="671">
    <mergeCell ref="A71:A72"/>
    <mergeCell ref="AM69:AM70"/>
    <mergeCell ref="AN69:AN70"/>
    <mergeCell ref="R70:S70"/>
    <mergeCell ref="AX69:AX70"/>
    <mergeCell ref="AS69:AS70"/>
    <mergeCell ref="A11:A12"/>
    <mergeCell ref="A13:A14"/>
    <mergeCell ref="A15:A26"/>
    <mergeCell ref="A27:A38"/>
    <mergeCell ref="A39:A40"/>
    <mergeCell ref="A41:A45"/>
    <mergeCell ref="A46:A47"/>
    <mergeCell ref="A48:A50"/>
    <mergeCell ref="A51:A52"/>
    <mergeCell ref="A53:A54"/>
    <mergeCell ref="A55:A56"/>
    <mergeCell ref="A57:A58"/>
    <mergeCell ref="A59:A60"/>
    <mergeCell ref="A61:A63"/>
    <mergeCell ref="A64:A66"/>
    <mergeCell ref="A67:A68"/>
    <mergeCell ref="A69:A70"/>
    <mergeCell ref="X69:X70"/>
    <mergeCell ref="Z69:Z70"/>
    <mergeCell ref="AB69:AB70"/>
    <mergeCell ref="AD69:AD70"/>
    <mergeCell ref="AF69:AF70"/>
    <mergeCell ref="AH69:AH70"/>
    <mergeCell ref="AI69:AI70"/>
    <mergeCell ref="AJ69:AJ70"/>
    <mergeCell ref="AK69:AK70"/>
    <mergeCell ref="AV61:AV63"/>
    <mergeCell ref="AV67:AV68"/>
    <mergeCell ref="R63:S63"/>
    <mergeCell ref="BA61:BA63"/>
    <mergeCell ref="AP61:AP63"/>
    <mergeCell ref="L61:L63"/>
    <mergeCell ref="M61:M63"/>
    <mergeCell ref="N61:N63"/>
    <mergeCell ref="O61:O63"/>
    <mergeCell ref="P61:P63"/>
    <mergeCell ref="Q61:Q63"/>
    <mergeCell ref="R61:S61"/>
    <mergeCell ref="AO61:AO63"/>
    <mergeCell ref="B61:B63"/>
    <mergeCell ref="C61:C63"/>
    <mergeCell ref="D61:D63"/>
    <mergeCell ref="E61:E63"/>
    <mergeCell ref="F61:F63"/>
    <mergeCell ref="G61:G63"/>
    <mergeCell ref="H61:H63"/>
    <mergeCell ref="I61:I63"/>
    <mergeCell ref="J61:J63"/>
    <mergeCell ref="L57:L58"/>
    <mergeCell ref="R57:S57"/>
    <mergeCell ref="R58:S58"/>
    <mergeCell ref="BA57:BA58"/>
    <mergeCell ref="AP57:AP58"/>
    <mergeCell ref="L59:L60"/>
    <mergeCell ref="R59:S59"/>
    <mergeCell ref="R60:S60"/>
    <mergeCell ref="BA59:BA60"/>
    <mergeCell ref="AX59:AX60"/>
    <mergeCell ref="AP59:AP60"/>
    <mergeCell ref="M59:M60"/>
    <mergeCell ref="N59:N60"/>
    <mergeCell ref="M57:M58"/>
    <mergeCell ref="N57:N58"/>
    <mergeCell ref="O57:O58"/>
    <mergeCell ref="P57:P58"/>
    <mergeCell ref="Q57:Q58"/>
    <mergeCell ref="B55:B56"/>
    <mergeCell ref="C55:C56"/>
    <mergeCell ref="D55:D56"/>
    <mergeCell ref="E55:E56"/>
    <mergeCell ref="F55:F56"/>
    <mergeCell ref="G55:G56"/>
    <mergeCell ref="H55:H56"/>
    <mergeCell ref="I55:I56"/>
    <mergeCell ref="J55:J56"/>
    <mergeCell ref="R52:S52"/>
    <mergeCell ref="AP51:AP52"/>
    <mergeCell ref="L48:L50"/>
    <mergeCell ref="L55:L56"/>
    <mergeCell ref="M55:M56"/>
    <mergeCell ref="N55:N56"/>
    <mergeCell ref="O55:O56"/>
    <mergeCell ref="P55:P56"/>
    <mergeCell ref="Q55:Q56"/>
    <mergeCell ref="R55:S55"/>
    <mergeCell ref="AO55:AO56"/>
    <mergeCell ref="R56:S56"/>
    <mergeCell ref="R51:S51"/>
    <mergeCell ref="AO51:AO52"/>
    <mergeCell ref="M48:M50"/>
    <mergeCell ref="N48:N50"/>
    <mergeCell ref="O48:O50"/>
    <mergeCell ref="P48:P50"/>
    <mergeCell ref="Q48:Q50"/>
    <mergeCell ref="R48:S48"/>
    <mergeCell ref="AO48:AO50"/>
    <mergeCell ref="R53:S53"/>
    <mergeCell ref="R54:S54"/>
    <mergeCell ref="AP55:AP56"/>
    <mergeCell ref="AH35:AH38"/>
    <mergeCell ref="AI35:AI38"/>
    <mergeCell ref="AQ48:AQ50"/>
    <mergeCell ref="AR48:AR50"/>
    <mergeCell ref="R49:S49"/>
    <mergeCell ref="R50:S50"/>
    <mergeCell ref="B46:B47"/>
    <mergeCell ref="C46:C47"/>
    <mergeCell ref="D46:D47"/>
    <mergeCell ref="E46:E47"/>
    <mergeCell ref="F46:F47"/>
    <mergeCell ref="G46:G47"/>
    <mergeCell ref="H46:H47"/>
    <mergeCell ref="I46:I47"/>
    <mergeCell ref="J46:J47"/>
    <mergeCell ref="C48:C50"/>
    <mergeCell ref="D48:D50"/>
    <mergeCell ref="E48:E50"/>
    <mergeCell ref="F48:F50"/>
    <mergeCell ref="G48:G50"/>
    <mergeCell ref="H48:H50"/>
    <mergeCell ref="I48:I50"/>
    <mergeCell ref="J48:J50"/>
    <mergeCell ref="L46:L47"/>
    <mergeCell ref="N46:N47"/>
    <mergeCell ref="O46:O47"/>
    <mergeCell ref="Q46:Q47"/>
    <mergeCell ref="BA39:BA40"/>
    <mergeCell ref="AX39:AX40"/>
    <mergeCell ref="R41:S41"/>
    <mergeCell ref="R42:S42"/>
    <mergeCell ref="R43:S43"/>
    <mergeCell ref="R44:S44"/>
    <mergeCell ref="R45:S45"/>
    <mergeCell ref="BA41:BA45"/>
    <mergeCell ref="AZ46:AZ47"/>
    <mergeCell ref="BA46:BA47"/>
    <mergeCell ref="AP41:AP45"/>
    <mergeCell ref="AP46:AP47"/>
    <mergeCell ref="R46:S46"/>
    <mergeCell ref="R47:S47"/>
    <mergeCell ref="AJ35:AJ38"/>
    <mergeCell ref="AK35:AK38"/>
    <mergeCell ref="AZ15:AZ26"/>
    <mergeCell ref="B39:B40"/>
    <mergeCell ref="C39:C40"/>
    <mergeCell ref="D39:D40"/>
    <mergeCell ref="E39:E40"/>
    <mergeCell ref="F39:F40"/>
    <mergeCell ref="G39:G40"/>
    <mergeCell ref="H39:H40"/>
    <mergeCell ref="I39:I40"/>
    <mergeCell ref="J39:J40"/>
    <mergeCell ref="L39:L40"/>
    <mergeCell ref="N39:N40"/>
    <mergeCell ref="O39:O40"/>
    <mergeCell ref="Q39:Q40"/>
    <mergeCell ref="R39:S39"/>
    <mergeCell ref="AW39:AW40"/>
    <mergeCell ref="AZ39:AZ40"/>
    <mergeCell ref="R40:S40"/>
    <mergeCell ref="K35:K38"/>
    <mergeCell ref="M35:M38"/>
    <mergeCell ref="AO35:AO38"/>
    <mergeCell ref="AQ35:AQ38"/>
    <mergeCell ref="AO31:AO34"/>
    <mergeCell ref="K31:K34"/>
    <mergeCell ref="M31:M34"/>
    <mergeCell ref="P31:P34"/>
    <mergeCell ref="R31:S34"/>
    <mergeCell ref="T31:T34"/>
    <mergeCell ref="V31:V34"/>
    <mergeCell ref="X31:X34"/>
    <mergeCell ref="Z31:Z34"/>
    <mergeCell ref="AB31:AB34"/>
    <mergeCell ref="AO27:AO30"/>
    <mergeCell ref="AQ27:AQ30"/>
    <mergeCell ref="AB27:AB30"/>
    <mergeCell ref="AD27:AD30"/>
    <mergeCell ref="AF27:AF30"/>
    <mergeCell ref="AH27:AH30"/>
    <mergeCell ref="AI27:AI30"/>
    <mergeCell ref="AJ27:AJ30"/>
    <mergeCell ref="AK27:AK30"/>
    <mergeCell ref="AM27:AM30"/>
    <mergeCell ref="AN27:AN30"/>
    <mergeCell ref="AM35:AM38"/>
    <mergeCell ref="AN35:AN38"/>
    <mergeCell ref="AD35:AD38"/>
    <mergeCell ref="AF35:AF38"/>
    <mergeCell ref="B27:B38"/>
    <mergeCell ref="C27:C38"/>
    <mergeCell ref="D27:D38"/>
    <mergeCell ref="E27:E38"/>
    <mergeCell ref="F27:F38"/>
    <mergeCell ref="G27:G38"/>
    <mergeCell ref="H27:H38"/>
    <mergeCell ref="I27:I38"/>
    <mergeCell ref="J27:J38"/>
    <mergeCell ref="X35:X38"/>
    <mergeCell ref="Z35:Z38"/>
    <mergeCell ref="AB35:AB38"/>
    <mergeCell ref="AD31:AD34"/>
    <mergeCell ref="AF31:AF34"/>
    <mergeCell ref="AH31:AH34"/>
    <mergeCell ref="AI31:AI34"/>
    <mergeCell ref="AJ31:AJ34"/>
    <mergeCell ref="AK31:AK34"/>
    <mergeCell ref="AM31:AM34"/>
    <mergeCell ref="AN31:AN34"/>
    <mergeCell ref="V27:V30"/>
    <mergeCell ref="X27:X30"/>
    <mergeCell ref="Z27:Z30"/>
    <mergeCell ref="K23:K26"/>
    <mergeCell ref="R23:S26"/>
    <mergeCell ref="T23:T26"/>
    <mergeCell ref="V23:V26"/>
    <mergeCell ref="X23:X26"/>
    <mergeCell ref="Z23:Z26"/>
    <mergeCell ref="K27:K30"/>
    <mergeCell ref="L27:L38"/>
    <mergeCell ref="M27:M30"/>
    <mergeCell ref="N27:N38"/>
    <mergeCell ref="O27:O38"/>
    <mergeCell ref="P27:P30"/>
    <mergeCell ref="Q27:Q38"/>
    <mergeCell ref="R27:S30"/>
    <mergeCell ref="T27:T30"/>
    <mergeCell ref="P35:P38"/>
    <mergeCell ref="R35:S38"/>
    <mergeCell ref="T35:T38"/>
    <mergeCell ref="V35:V38"/>
    <mergeCell ref="K19:K22"/>
    <mergeCell ref="R19:S22"/>
    <mergeCell ref="T19:T22"/>
    <mergeCell ref="V19:V22"/>
    <mergeCell ref="X19:X22"/>
    <mergeCell ref="Z19:Z22"/>
    <mergeCell ref="AB19:AB22"/>
    <mergeCell ref="AD19:AD22"/>
    <mergeCell ref="AF19:AF22"/>
    <mergeCell ref="BG64:BG66"/>
    <mergeCell ref="AW15:AW26"/>
    <mergeCell ref="AX15:AX26"/>
    <mergeCell ref="AY15:AY26"/>
    <mergeCell ref="BA15:BA26"/>
    <mergeCell ref="AS57:AS58"/>
    <mergeCell ref="AU57:AU58"/>
    <mergeCell ref="AV57:AV58"/>
    <mergeCell ref="AW57:AW58"/>
    <mergeCell ref="AX57:AX58"/>
    <mergeCell ref="AZ27:AZ38"/>
    <mergeCell ref="AS48:AS50"/>
    <mergeCell ref="AU48:AU50"/>
    <mergeCell ref="AV48:AV50"/>
    <mergeCell ref="AW48:AW50"/>
    <mergeCell ref="AX48:AX50"/>
    <mergeCell ref="AZ48:AZ50"/>
    <mergeCell ref="BA48:BA50"/>
    <mergeCell ref="AZ51:AZ52"/>
    <mergeCell ref="BA51:BA52"/>
    <mergeCell ref="AZ55:AZ56"/>
    <mergeCell ref="BA55:BA56"/>
    <mergeCell ref="AX55:AX56"/>
    <mergeCell ref="AW55:AW56"/>
    <mergeCell ref="BH64:BH66"/>
    <mergeCell ref="BI64:BI66"/>
    <mergeCell ref="BJ64:BJ66"/>
    <mergeCell ref="D69:D70"/>
    <mergeCell ref="E69:E70"/>
    <mergeCell ref="K69:K70"/>
    <mergeCell ref="L69:L70"/>
    <mergeCell ref="BA69:BA70"/>
    <mergeCell ref="AY64:AY66"/>
    <mergeCell ref="AZ64:AZ66"/>
    <mergeCell ref="BA64:BA66"/>
    <mergeCell ref="R65:S65"/>
    <mergeCell ref="R66:S66"/>
    <mergeCell ref="AU64:AU66"/>
    <mergeCell ref="AV64:AV66"/>
    <mergeCell ref="AS64:AS66"/>
    <mergeCell ref="AT64:AT66"/>
    <mergeCell ref="AP64:AP66"/>
    <mergeCell ref="AQ64:AQ66"/>
    <mergeCell ref="AW64:AW66"/>
    <mergeCell ref="AX64:AX66"/>
    <mergeCell ref="L64:L66"/>
    <mergeCell ref="M64:M66"/>
    <mergeCell ref="N64:N66"/>
    <mergeCell ref="B64:B66"/>
    <mergeCell ref="C64:C66"/>
    <mergeCell ref="D64:D66"/>
    <mergeCell ref="E64:E66"/>
    <mergeCell ref="F64:F66"/>
    <mergeCell ref="G64:G66"/>
    <mergeCell ref="H64:H66"/>
    <mergeCell ref="I64:I66"/>
    <mergeCell ref="J64:J66"/>
    <mergeCell ref="O64:O66"/>
    <mergeCell ref="P64:P66"/>
    <mergeCell ref="AR64:AR66"/>
    <mergeCell ref="AZ59:AZ60"/>
    <mergeCell ref="R64:S64"/>
    <mergeCell ref="AO59:AO60"/>
    <mergeCell ref="AQ59:AQ60"/>
    <mergeCell ref="AR59:AR60"/>
    <mergeCell ref="AS59:AS60"/>
    <mergeCell ref="AU59:AU60"/>
    <mergeCell ref="AV59:AV60"/>
    <mergeCell ref="AW59:AW60"/>
    <mergeCell ref="AQ61:AQ63"/>
    <mergeCell ref="AR61:AR63"/>
    <mergeCell ref="AS61:AS63"/>
    <mergeCell ref="AU61:AU63"/>
    <mergeCell ref="Q64:Q66"/>
    <mergeCell ref="O59:O60"/>
    <mergeCell ref="P59:P60"/>
    <mergeCell ref="Q59:Q60"/>
    <mergeCell ref="AW61:AW63"/>
    <mergeCell ref="AX61:AX63"/>
    <mergeCell ref="AZ61:AZ63"/>
    <mergeCell ref="R62:S62"/>
    <mergeCell ref="B59:B60"/>
    <mergeCell ref="C59:C60"/>
    <mergeCell ref="D59:D60"/>
    <mergeCell ref="E59:E60"/>
    <mergeCell ref="F59:F60"/>
    <mergeCell ref="G59:G60"/>
    <mergeCell ref="H59:H60"/>
    <mergeCell ref="I59:I60"/>
    <mergeCell ref="J59:J60"/>
    <mergeCell ref="B51:B52"/>
    <mergeCell ref="C51:C52"/>
    <mergeCell ref="D51:D52"/>
    <mergeCell ref="AU15:AU26"/>
    <mergeCell ref="M15:M26"/>
    <mergeCell ref="N15:N26"/>
    <mergeCell ref="O15:O26"/>
    <mergeCell ref="P15:P26"/>
    <mergeCell ref="Q15:Q26"/>
    <mergeCell ref="L15:L26"/>
    <mergeCell ref="C15:C26"/>
    <mergeCell ref="D15:D26"/>
    <mergeCell ref="E15:E26"/>
    <mergeCell ref="F15:F26"/>
    <mergeCell ref="G15:G26"/>
    <mergeCell ref="H15:H26"/>
    <mergeCell ref="I15:I26"/>
    <mergeCell ref="J15:J26"/>
    <mergeCell ref="M41:M45"/>
    <mergeCell ref="N41:N45"/>
    <mergeCell ref="O41:O45"/>
    <mergeCell ref="P41:P45"/>
    <mergeCell ref="Q41:Q45"/>
    <mergeCell ref="B48:B50"/>
    <mergeCell ref="AX41:AX45"/>
    <mergeCell ref="AZ41:AZ45"/>
    <mergeCell ref="AR41:AR45"/>
    <mergeCell ref="AQ57:AQ58"/>
    <mergeCell ref="AR57:AR58"/>
    <mergeCell ref="AV55:AV56"/>
    <mergeCell ref="AU55:AU56"/>
    <mergeCell ref="AS55:AS56"/>
    <mergeCell ref="AR55:AR56"/>
    <mergeCell ref="AZ53:AZ54"/>
    <mergeCell ref="AQ51:AQ52"/>
    <mergeCell ref="AR51:AR52"/>
    <mergeCell ref="AS51:AS52"/>
    <mergeCell ref="AU51:AU52"/>
    <mergeCell ref="AV51:AV52"/>
    <mergeCell ref="AW51:AW52"/>
    <mergeCell ref="AX51:AX52"/>
    <mergeCell ref="AQ55:AQ56"/>
    <mergeCell ref="BI71:BI72"/>
    <mergeCell ref="BJ71:BJ72"/>
    <mergeCell ref="AZ69:AZ70"/>
    <mergeCell ref="AR69:AR70"/>
    <mergeCell ref="AX67:AX68"/>
    <mergeCell ref="N67:N68"/>
    <mergeCell ref="B8:B10"/>
    <mergeCell ref="C8:C10"/>
    <mergeCell ref="D8:D10"/>
    <mergeCell ref="E8:E10"/>
    <mergeCell ref="F8:F10"/>
    <mergeCell ref="G8:G10"/>
    <mergeCell ref="AO9:AO10"/>
    <mergeCell ref="BG71:BG72"/>
    <mergeCell ref="B15:B26"/>
    <mergeCell ref="BG8:BJ8"/>
    <mergeCell ref="N9:N10"/>
    <mergeCell ref="O9:O10"/>
    <mergeCell ref="Q9:Q10"/>
    <mergeCell ref="R9:S10"/>
    <mergeCell ref="T9:T10"/>
    <mergeCell ref="V9:V10"/>
    <mergeCell ref="X9:X10"/>
    <mergeCell ref="Z9:Z10"/>
    <mergeCell ref="AW8:AZ8"/>
    <mergeCell ref="AV15:AV26"/>
    <mergeCell ref="BH71:BH72"/>
    <mergeCell ref="Q67:Q68"/>
    <mergeCell ref="R67:S67"/>
    <mergeCell ref="R68:S68"/>
    <mergeCell ref="BA8:BA10"/>
    <mergeCell ref="BB8:BF8"/>
    <mergeCell ref="AD9:AD10"/>
    <mergeCell ref="AF9:AF10"/>
    <mergeCell ref="AH9:AH10"/>
    <mergeCell ref="AI9:AI10"/>
    <mergeCell ref="AT11:AT12"/>
    <mergeCell ref="AU11:AU12"/>
    <mergeCell ref="AV11:AV12"/>
    <mergeCell ref="AW11:AW12"/>
    <mergeCell ref="AX11:AX12"/>
    <mergeCell ref="AY11:AY12"/>
    <mergeCell ref="AQ11:AQ12"/>
    <mergeCell ref="AY67:AY68"/>
    <mergeCell ref="AZ67:AZ68"/>
    <mergeCell ref="BA67:BA68"/>
    <mergeCell ref="AO15:AO26"/>
    <mergeCell ref="AP15:AP26"/>
    <mergeCell ref="M67:M68"/>
    <mergeCell ref="P67:P68"/>
    <mergeCell ref="B67:B68"/>
    <mergeCell ref="C67:C68"/>
    <mergeCell ref="D67:D68"/>
    <mergeCell ref="E67:E68"/>
    <mergeCell ref="F67:F68"/>
    <mergeCell ref="G67:G68"/>
    <mergeCell ref="H67:H68"/>
    <mergeCell ref="I67:I68"/>
    <mergeCell ref="J67:J68"/>
    <mergeCell ref="H71:H72"/>
    <mergeCell ref="B71:B72"/>
    <mergeCell ref="C71:C72"/>
    <mergeCell ref="D71:D72"/>
    <mergeCell ref="E71:E72"/>
    <mergeCell ref="F71:F72"/>
    <mergeCell ref="G71:G72"/>
    <mergeCell ref="B69:B70"/>
    <mergeCell ref="C69:C70"/>
    <mergeCell ref="B11:B12"/>
    <mergeCell ref="C11:C12"/>
    <mergeCell ref="D11:D12"/>
    <mergeCell ref="E11:E12"/>
    <mergeCell ref="F11:F12"/>
    <mergeCell ref="G11:G12"/>
    <mergeCell ref="H11:H12"/>
    <mergeCell ref="I11:I12"/>
    <mergeCell ref="BC9:BC10"/>
    <mergeCell ref="AU9:AV9"/>
    <mergeCell ref="AW9:AW10"/>
    <mergeCell ref="AX9:AX10"/>
    <mergeCell ref="AY9:AY10"/>
    <mergeCell ref="AZ9:AZ10"/>
    <mergeCell ref="BB9:BB10"/>
    <mergeCell ref="AJ9:AK10"/>
    <mergeCell ref="AM9:AN10"/>
    <mergeCell ref="AP9:AQ10"/>
    <mergeCell ref="AR9:AR10"/>
    <mergeCell ref="AS9:AS10"/>
    <mergeCell ref="H8:H10"/>
    <mergeCell ref="I8:I10"/>
    <mergeCell ref="J8:J10"/>
    <mergeCell ref="AB9:AB10"/>
    <mergeCell ref="K8:K10"/>
    <mergeCell ref="J11:J12"/>
    <mergeCell ref="L11:L12"/>
    <mergeCell ref="M11:M12"/>
    <mergeCell ref="N11:N12"/>
    <mergeCell ref="O11:O12"/>
    <mergeCell ref="P11:P12"/>
    <mergeCell ref="AP11:AP12"/>
    <mergeCell ref="L8:L10"/>
    <mergeCell ref="M8:M10"/>
    <mergeCell ref="Q11:Q12"/>
    <mergeCell ref="R11:S11"/>
    <mergeCell ref="N8:O8"/>
    <mergeCell ref="P8:P10"/>
    <mergeCell ref="R8:AV8"/>
    <mergeCell ref="AR11:AR12"/>
    <mergeCell ref="AS11:AS12"/>
    <mergeCell ref="BJ9:BJ10"/>
    <mergeCell ref="BD9:BD10"/>
    <mergeCell ref="BE9:BE10"/>
    <mergeCell ref="BF9:BF10"/>
    <mergeCell ref="BG9:BG10"/>
    <mergeCell ref="BH9:BH10"/>
    <mergeCell ref="BE13:BE14"/>
    <mergeCell ref="BG13:BG14"/>
    <mergeCell ref="BH13:BH14"/>
    <mergeCell ref="BI13:BI14"/>
    <mergeCell ref="BJ13:BJ14"/>
    <mergeCell ref="AX13:AX14"/>
    <mergeCell ref="AY13:AY14"/>
    <mergeCell ref="AZ13:AZ14"/>
    <mergeCell ref="BA13:BA14"/>
    <mergeCell ref="BI9:BI10"/>
    <mergeCell ref="R69:S69"/>
    <mergeCell ref="T69:T70"/>
    <mergeCell ref="V69:V70"/>
    <mergeCell ref="AF15:AF18"/>
    <mergeCell ref="AH15:AH18"/>
    <mergeCell ref="AI15:AI18"/>
    <mergeCell ref="AJ15:AJ18"/>
    <mergeCell ref="AK15:AK18"/>
    <mergeCell ref="AO41:AO45"/>
    <mergeCell ref="AH19:AH22"/>
    <mergeCell ref="AI19:AI22"/>
    <mergeCell ref="AJ19:AJ22"/>
    <mergeCell ref="AK19:AK22"/>
    <mergeCell ref="AM19:AM22"/>
    <mergeCell ref="AN19:AN22"/>
    <mergeCell ref="AM15:AM18"/>
    <mergeCell ref="AN15:AN18"/>
    <mergeCell ref="AB23:AB26"/>
    <mergeCell ref="AD23:AD26"/>
    <mergeCell ref="AF23:AF26"/>
    <mergeCell ref="AH23:AH26"/>
    <mergeCell ref="AI23:AI26"/>
    <mergeCell ref="AJ23:AJ26"/>
    <mergeCell ref="AK23:AK26"/>
    <mergeCell ref="AR13:AR14"/>
    <mergeCell ref="AS13:AS14"/>
    <mergeCell ref="AT13:AT14"/>
    <mergeCell ref="AU13:AU14"/>
    <mergeCell ref="AM23:AM26"/>
    <mergeCell ref="AN23:AN26"/>
    <mergeCell ref="AV13:AV14"/>
    <mergeCell ref="AW13:AW14"/>
    <mergeCell ref="AU69:AU70"/>
    <mergeCell ref="AV69:AV70"/>
    <mergeCell ref="AO69:AO70"/>
    <mergeCell ref="AQ69:AQ70"/>
    <mergeCell ref="AW69:AW70"/>
    <mergeCell ref="AQ41:AQ45"/>
    <mergeCell ref="AS41:AS45"/>
    <mergeCell ref="AU41:AU45"/>
    <mergeCell ref="AQ15:AQ26"/>
    <mergeCell ref="AR15:AR26"/>
    <mergeCell ref="AS15:AS26"/>
    <mergeCell ref="AT15:AT26"/>
    <mergeCell ref="AP67:AP68"/>
    <mergeCell ref="AQ67:AQ68"/>
    <mergeCell ref="AR67:AR68"/>
    <mergeCell ref="AS67:AS68"/>
    <mergeCell ref="AT67:AT68"/>
    <mergeCell ref="AU67:AU68"/>
    <mergeCell ref="AW67:AW68"/>
    <mergeCell ref="AV41:AV45"/>
    <mergeCell ref="AW41:AW45"/>
    <mergeCell ref="AQ31:AQ34"/>
    <mergeCell ref="BA71:BA72"/>
    <mergeCell ref="R72:S72"/>
    <mergeCell ref="AS71:AS72"/>
    <mergeCell ref="AT71:AT72"/>
    <mergeCell ref="AU71:AU72"/>
    <mergeCell ref="AV71:AV72"/>
    <mergeCell ref="AW71:AW72"/>
    <mergeCell ref="AX71:AX72"/>
    <mergeCell ref="AY71:AY72"/>
    <mergeCell ref="AZ71:AZ72"/>
    <mergeCell ref="I71:I72"/>
    <mergeCell ref="J71:J72"/>
    <mergeCell ref="M71:M72"/>
    <mergeCell ref="N71:N72"/>
    <mergeCell ref="O71:O72"/>
    <mergeCell ref="O69:O70"/>
    <mergeCell ref="Q69:Q70"/>
    <mergeCell ref="I69:I70"/>
    <mergeCell ref="J69:J70"/>
    <mergeCell ref="N69:N70"/>
    <mergeCell ref="R73:S73"/>
    <mergeCell ref="B41:B45"/>
    <mergeCell ref="C41:C45"/>
    <mergeCell ref="P71:P72"/>
    <mergeCell ref="Q71:Q72"/>
    <mergeCell ref="R71:S71"/>
    <mergeCell ref="AP71:AP72"/>
    <mergeCell ref="AQ71:AQ72"/>
    <mergeCell ref="AR71:AR72"/>
    <mergeCell ref="F69:F70"/>
    <mergeCell ref="G69:G70"/>
    <mergeCell ref="H69:H70"/>
    <mergeCell ref="O67:O68"/>
    <mergeCell ref="E51:E52"/>
    <mergeCell ref="F51:F52"/>
    <mergeCell ref="G51:G52"/>
    <mergeCell ref="D41:D45"/>
    <mergeCell ref="E41:E45"/>
    <mergeCell ref="F41:F45"/>
    <mergeCell ref="G41:G45"/>
    <mergeCell ref="H41:H45"/>
    <mergeCell ref="I41:I45"/>
    <mergeCell ref="J41:J45"/>
    <mergeCell ref="L41:L45"/>
    <mergeCell ref="B2:BJ5"/>
    <mergeCell ref="BJ11:BJ12"/>
    <mergeCell ref="R12:S12"/>
    <mergeCell ref="B13:B14"/>
    <mergeCell ref="C13:C14"/>
    <mergeCell ref="D13:D14"/>
    <mergeCell ref="E13:E14"/>
    <mergeCell ref="F13:F14"/>
    <mergeCell ref="G13:G14"/>
    <mergeCell ref="AZ11:AZ12"/>
    <mergeCell ref="BA11:BA12"/>
    <mergeCell ref="BG11:BG12"/>
    <mergeCell ref="BH11:BH12"/>
    <mergeCell ref="BI11:BI12"/>
    <mergeCell ref="P13:P14"/>
    <mergeCell ref="Q13:Q14"/>
    <mergeCell ref="R13:S13"/>
    <mergeCell ref="AP13:AP14"/>
    <mergeCell ref="AQ13:AQ14"/>
    <mergeCell ref="H13:H14"/>
    <mergeCell ref="I13:I14"/>
    <mergeCell ref="J13:J14"/>
    <mergeCell ref="L13:L14"/>
    <mergeCell ref="M13:M14"/>
    <mergeCell ref="N13:N14"/>
    <mergeCell ref="K15:K18"/>
    <mergeCell ref="R15:S18"/>
    <mergeCell ref="T15:T18"/>
    <mergeCell ref="V15:V18"/>
    <mergeCell ref="X15:X18"/>
    <mergeCell ref="Z15:Z18"/>
    <mergeCell ref="AB15:AB18"/>
    <mergeCell ref="AD15:AD18"/>
    <mergeCell ref="R14:S14"/>
    <mergeCell ref="O13:O14"/>
    <mergeCell ref="Q53:Q54"/>
    <mergeCell ref="H51:H52"/>
    <mergeCell ref="I51:I52"/>
    <mergeCell ref="J51:J52"/>
    <mergeCell ref="M51:M52"/>
    <mergeCell ref="N51:N52"/>
    <mergeCell ref="O51:O52"/>
    <mergeCell ref="P51:P52"/>
    <mergeCell ref="Q51:Q52"/>
    <mergeCell ref="L53:L54"/>
    <mergeCell ref="L51:L52"/>
    <mergeCell ref="BA53:BA54"/>
    <mergeCell ref="AP53:AP54"/>
    <mergeCell ref="B57:B58"/>
    <mergeCell ref="C57:C58"/>
    <mergeCell ref="D57:D58"/>
    <mergeCell ref="E57:E58"/>
    <mergeCell ref="F57:F58"/>
    <mergeCell ref="G57:G58"/>
    <mergeCell ref="H57:H58"/>
    <mergeCell ref="I57:I58"/>
    <mergeCell ref="J57:J58"/>
    <mergeCell ref="B53:B54"/>
    <mergeCell ref="C53:C54"/>
    <mergeCell ref="D53:D54"/>
    <mergeCell ref="E53:E54"/>
    <mergeCell ref="F53:F54"/>
    <mergeCell ref="G53:G54"/>
    <mergeCell ref="H53:H54"/>
    <mergeCell ref="I53:I54"/>
    <mergeCell ref="AZ57:AZ58"/>
    <mergeCell ref="AO57:AO58"/>
    <mergeCell ref="J53:J54"/>
    <mergeCell ref="N53:N54"/>
    <mergeCell ref="O53:O54"/>
  </mergeCells>
  <conditionalFormatting sqref="Q11:Q12 BF11 BE74:BF76 BB74:BB76 AY15 BA15">
    <cfRule type="containsText" dxfId="724" priority="1315" operator="containsText" text="RIESGO EXTREMO">
      <formula>NOT(ISERROR(SEARCH("RIESGO EXTREMO",Q11)))</formula>
    </cfRule>
    <cfRule type="containsText" dxfId="723" priority="1316" operator="containsText" text="RIESGO ALTO">
      <formula>NOT(ISERROR(SEARCH("RIESGO ALTO",Q11)))</formula>
    </cfRule>
    <cfRule type="containsText" dxfId="722" priority="1317" operator="containsText" text="RIESGO MODERADO">
      <formula>NOT(ISERROR(SEARCH("RIESGO MODERADO",Q11)))</formula>
    </cfRule>
    <cfRule type="containsText" dxfId="721" priority="1318" operator="containsText" text="RIESGO BAJO">
      <formula>NOT(ISERROR(SEARCH("RIESGO BAJO",Q11)))</formula>
    </cfRule>
  </conditionalFormatting>
  <conditionalFormatting sqref="AZ11:BA11 AZ12">
    <cfRule type="containsText" dxfId="720" priority="1309" operator="containsText" text="RIESGO EXTREMO">
      <formula>NOT(ISERROR(SEARCH("RIESGO EXTREMO",AZ11)))</formula>
    </cfRule>
    <cfRule type="containsText" dxfId="719" priority="1310" operator="containsText" text="RIESGO ALTO">
      <formula>NOT(ISERROR(SEARCH("RIESGO ALTO",AZ11)))</formula>
    </cfRule>
    <cfRule type="containsText" dxfId="718" priority="1311" operator="containsText" text="RIESGO MODERADO">
      <formula>NOT(ISERROR(SEARCH("RIESGO MODERADO",AZ11)))</formula>
    </cfRule>
    <cfRule type="containsText" dxfId="717" priority="1312" operator="containsText" text="RIESGO BAJO">
      <formula>NOT(ISERROR(SEARCH("RIESGO BAJO",AZ11)))</formula>
    </cfRule>
  </conditionalFormatting>
  <conditionalFormatting sqref="Q13:Q14">
    <cfRule type="containsText" dxfId="716" priority="1305" operator="containsText" text="RIESGO EXTREMO">
      <formula>NOT(ISERROR(SEARCH("RIESGO EXTREMO",Q13)))</formula>
    </cfRule>
    <cfRule type="containsText" dxfId="715" priority="1306" operator="containsText" text="RIESGO ALTO">
      <formula>NOT(ISERROR(SEARCH("RIESGO ALTO",Q13)))</formula>
    </cfRule>
    <cfRule type="containsText" dxfId="714" priority="1307" operator="containsText" text="RIESGO MODERADO">
      <formula>NOT(ISERROR(SEARCH("RIESGO MODERADO",Q13)))</formula>
    </cfRule>
    <cfRule type="containsText" dxfId="713" priority="1308" operator="containsText" text="RIESGO BAJO">
      <formula>NOT(ISERROR(SEARCH("RIESGO BAJO",Q13)))</formula>
    </cfRule>
  </conditionalFormatting>
  <conditionalFormatting sqref="AZ13:BA13 AZ14">
    <cfRule type="containsText" dxfId="712" priority="1299" operator="containsText" text="RIESGO EXTREMO">
      <formula>NOT(ISERROR(SEARCH("RIESGO EXTREMO",AZ13)))</formula>
    </cfRule>
    <cfRule type="containsText" dxfId="711" priority="1300" operator="containsText" text="RIESGO ALTO">
      <formula>NOT(ISERROR(SEARCH("RIESGO ALTO",AZ13)))</formula>
    </cfRule>
    <cfRule type="containsText" dxfId="710" priority="1301" operator="containsText" text="RIESGO MODERADO">
      <formula>NOT(ISERROR(SEARCH("RIESGO MODERADO",AZ13)))</formula>
    </cfRule>
    <cfRule type="containsText" dxfId="709" priority="1302" operator="containsText" text="RIESGO BAJO">
      <formula>NOT(ISERROR(SEARCH("RIESGO BAJO",AZ13)))</formula>
    </cfRule>
  </conditionalFormatting>
  <conditionalFormatting sqref="BD11:BD12">
    <cfRule type="containsText" dxfId="708" priority="1143" operator="containsText" text="RIESGO EXTREMO">
      <formula>NOT(ISERROR(SEARCH("RIESGO EXTREMO",BD11)))</formula>
    </cfRule>
    <cfRule type="containsText" dxfId="707" priority="1144" operator="containsText" text="RIESGO ALTO">
      <formula>NOT(ISERROR(SEARCH("RIESGO ALTO",BD11)))</formula>
    </cfRule>
    <cfRule type="containsText" dxfId="706" priority="1145" operator="containsText" text="RIESGO MODERADO">
      <formula>NOT(ISERROR(SEARCH("RIESGO MODERADO",BD11)))</formula>
    </cfRule>
    <cfRule type="containsText" dxfId="705" priority="1146" operator="containsText" text="RIESGO BAJO">
      <formula>NOT(ISERROR(SEARCH("RIESGO BAJO",BD11)))</formula>
    </cfRule>
  </conditionalFormatting>
  <conditionalFormatting sqref="Q73">
    <cfRule type="containsText" dxfId="704" priority="1263" operator="containsText" text="RIESGO EXTREMO">
      <formula>NOT(ISERROR(SEARCH("RIESGO EXTREMO",Q73)))</formula>
    </cfRule>
    <cfRule type="containsText" dxfId="703" priority="1264" operator="containsText" text="RIESGO ALTO">
      <formula>NOT(ISERROR(SEARCH("RIESGO ALTO",Q73)))</formula>
    </cfRule>
    <cfRule type="containsText" dxfId="702" priority="1265" operator="containsText" text="RIESGO MODERADO">
      <formula>NOT(ISERROR(SEARCH("RIESGO MODERADO",Q73)))</formula>
    </cfRule>
    <cfRule type="containsText" dxfId="701" priority="1266" operator="containsText" text="RIESGO BAJO">
      <formula>NOT(ISERROR(SEARCH("RIESGO BAJO",Q73)))</formula>
    </cfRule>
  </conditionalFormatting>
  <conditionalFormatting sqref="AZ73:BA73">
    <cfRule type="containsText" dxfId="700" priority="1257" operator="containsText" text="RIESGO EXTREMO">
      <formula>NOT(ISERROR(SEARCH("RIESGO EXTREMO",AZ73)))</formula>
    </cfRule>
    <cfRule type="containsText" dxfId="699" priority="1258" operator="containsText" text="RIESGO ALTO">
      <formula>NOT(ISERROR(SEARCH("RIESGO ALTO",AZ73)))</formula>
    </cfRule>
    <cfRule type="containsText" dxfId="698" priority="1259" operator="containsText" text="RIESGO MODERADO">
      <formula>NOT(ISERROR(SEARCH("RIESGO MODERADO",AZ73)))</formula>
    </cfRule>
    <cfRule type="containsText" dxfId="697" priority="1260" operator="containsText" text="RIESGO BAJO">
      <formula>NOT(ISERROR(SEARCH("RIESGO BAJO",AZ73)))</formula>
    </cfRule>
  </conditionalFormatting>
  <conditionalFormatting sqref="Q71:Q72">
    <cfRule type="containsText" dxfId="696" priority="1277" operator="containsText" text="RIESGO EXTREMO">
      <formula>NOT(ISERROR(SEARCH("RIESGO EXTREMO",Q71)))</formula>
    </cfRule>
    <cfRule type="containsText" dxfId="695" priority="1278" operator="containsText" text="RIESGO ALTO">
      <formula>NOT(ISERROR(SEARCH("RIESGO ALTO",Q71)))</formula>
    </cfRule>
    <cfRule type="containsText" dxfId="694" priority="1279" operator="containsText" text="RIESGO MODERADO">
      <formula>NOT(ISERROR(SEARCH("RIESGO MODERADO",Q71)))</formula>
    </cfRule>
    <cfRule type="containsText" dxfId="693" priority="1280" operator="containsText" text="RIESGO BAJO">
      <formula>NOT(ISERROR(SEARCH("RIESGO BAJO",Q71)))</formula>
    </cfRule>
  </conditionalFormatting>
  <conditionalFormatting sqref="I71:I72">
    <cfRule type="expression" dxfId="692" priority="1276">
      <formula>EXACT(F71,"Seguridad_de_la_informacion")</formula>
    </cfRule>
  </conditionalFormatting>
  <conditionalFormatting sqref="AZ71:BA71 AZ72">
    <cfRule type="containsText" dxfId="691" priority="1271" operator="containsText" text="RIESGO EXTREMO">
      <formula>NOT(ISERROR(SEARCH("RIESGO EXTREMO",AZ71)))</formula>
    </cfRule>
    <cfRule type="containsText" dxfId="690" priority="1272" operator="containsText" text="RIESGO ALTO">
      <formula>NOT(ISERROR(SEARCH("RIESGO ALTO",AZ71)))</formula>
    </cfRule>
    <cfRule type="containsText" dxfId="689" priority="1273" operator="containsText" text="RIESGO MODERADO">
      <formula>NOT(ISERROR(SEARCH("RIESGO MODERADO",AZ71)))</formula>
    </cfRule>
    <cfRule type="containsText" dxfId="688" priority="1274" operator="containsText" text="RIESGO BAJO">
      <formula>NOT(ISERROR(SEARCH("RIESGO BAJO",AZ71)))</formula>
    </cfRule>
  </conditionalFormatting>
  <conditionalFormatting sqref="J67:J68 J11:J12">
    <cfRule type="expression" dxfId="687" priority="1247">
      <formula>EXACT(F11,"Seguridad_de_la_informacion")</formula>
    </cfRule>
  </conditionalFormatting>
  <conditionalFormatting sqref="BH71:BJ71">
    <cfRule type="containsText" dxfId="686" priority="1081" operator="containsText" text="RIESGO EXTREMO">
      <formula>NOT(ISERROR(SEARCH("RIESGO EXTREMO",BH71)))</formula>
    </cfRule>
    <cfRule type="containsText" dxfId="685" priority="1082" operator="containsText" text="RIESGO ALTO">
      <formula>NOT(ISERROR(SEARCH("RIESGO ALTO",BH71)))</formula>
    </cfRule>
    <cfRule type="containsText" dxfId="684" priority="1083" operator="containsText" text="RIESGO MODERADO">
      <formula>NOT(ISERROR(SEARCH("RIESGO MODERADO",BH71)))</formula>
    </cfRule>
    <cfRule type="containsText" dxfId="683" priority="1084" operator="containsText" text="RIESGO BAJO">
      <formula>NOT(ISERROR(SEARCH("RIESGO BAJO",BH71)))</formula>
    </cfRule>
  </conditionalFormatting>
  <conditionalFormatting sqref="BE13">
    <cfRule type="containsText" dxfId="682" priority="1171" operator="containsText" text="RIESGO EXTREMO">
      <formula>NOT(ISERROR(SEARCH("RIESGO EXTREMO",BE13)))</formula>
    </cfRule>
    <cfRule type="containsText" dxfId="681" priority="1172" operator="containsText" text="RIESGO ALTO">
      <formula>NOT(ISERROR(SEARCH("RIESGO ALTO",BE13)))</formula>
    </cfRule>
    <cfRule type="containsText" dxfId="680" priority="1173" operator="containsText" text="RIESGO MODERADO">
      <formula>NOT(ISERROR(SEARCH("RIESGO MODERADO",BE13)))</formula>
    </cfRule>
    <cfRule type="containsText" dxfId="679" priority="1174" operator="containsText" text="RIESGO BAJO">
      <formula>NOT(ISERROR(SEARCH("RIESGO BAJO",BE13)))</formula>
    </cfRule>
  </conditionalFormatting>
  <conditionalFormatting sqref="BG71">
    <cfRule type="containsText" dxfId="678" priority="1085" operator="containsText" text="RIESGO EXTREMO">
      <formula>NOT(ISERROR(SEARCH("RIESGO EXTREMO",BG71)))</formula>
    </cfRule>
    <cfRule type="containsText" dxfId="677" priority="1086" operator="containsText" text="RIESGO ALTO">
      <formula>NOT(ISERROR(SEARCH("RIESGO ALTO",BG71)))</formula>
    </cfRule>
    <cfRule type="containsText" dxfId="676" priority="1087" operator="containsText" text="RIESGO MODERADO">
      <formula>NOT(ISERROR(SEARCH("RIESGO MODERADO",BG71)))</formula>
    </cfRule>
    <cfRule type="containsText" dxfId="675" priority="1088" operator="containsText" text="RIESGO BAJO">
      <formula>NOT(ISERROR(SEARCH("RIESGO BAJO",BG71)))</formula>
    </cfRule>
  </conditionalFormatting>
  <conditionalFormatting sqref="BE11:BE12 BB11:BC12">
    <cfRule type="containsText" dxfId="674" priority="1147" operator="containsText" text="RIESGO EXTREMO">
      <formula>NOT(ISERROR(SEARCH("RIESGO EXTREMO",BB11)))</formula>
    </cfRule>
    <cfRule type="containsText" dxfId="673" priority="1148" operator="containsText" text="RIESGO ALTO">
      <formula>NOT(ISERROR(SEARCH("RIESGO ALTO",BB11)))</formula>
    </cfRule>
    <cfRule type="containsText" dxfId="672" priority="1149" operator="containsText" text="RIESGO MODERADO">
      <formula>NOT(ISERROR(SEARCH("RIESGO MODERADO",BB11)))</formula>
    </cfRule>
    <cfRule type="containsText" dxfId="671" priority="1150" operator="containsText" text="RIESGO BAJO">
      <formula>NOT(ISERROR(SEARCH("RIESGO BAJO",BB11)))</formula>
    </cfRule>
  </conditionalFormatting>
  <conditionalFormatting sqref="I11:I12">
    <cfRule type="expression" dxfId="670" priority="1142">
      <formula>EXACT(F11,"Seguridad_de_la_informacion")</formula>
    </cfRule>
  </conditionalFormatting>
  <conditionalFormatting sqref="BH11:BJ11">
    <cfRule type="containsText" dxfId="669" priority="1133" operator="containsText" text="RIESGO EXTREMO">
      <formula>NOT(ISERROR(SEARCH("RIESGO EXTREMO",BH11)))</formula>
    </cfRule>
    <cfRule type="containsText" dxfId="668" priority="1134" operator="containsText" text="RIESGO ALTO">
      <formula>NOT(ISERROR(SEARCH("RIESGO ALTO",BH11)))</formula>
    </cfRule>
    <cfRule type="containsText" dxfId="667" priority="1135" operator="containsText" text="RIESGO MODERADO">
      <formula>NOT(ISERROR(SEARCH("RIESGO MODERADO",BH11)))</formula>
    </cfRule>
    <cfRule type="containsText" dxfId="666" priority="1136" operator="containsText" text="RIESGO BAJO">
      <formula>NOT(ISERROR(SEARCH("RIESGO BAJO",BH11)))</formula>
    </cfRule>
  </conditionalFormatting>
  <conditionalFormatting sqref="BG11">
    <cfRule type="containsText" dxfId="665" priority="1137" operator="containsText" text="RIESGO EXTREMO">
      <formula>NOT(ISERROR(SEARCH("RIESGO EXTREMO",BG11)))</formula>
    </cfRule>
    <cfRule type="containsText" dxfId="664" priority="1138" operator="containsText" text="RIESGO ALTO">
      <formula>NOT(ISERROR(SEARCH("RIESGO ALTO",BG11)))</formula>
    </cfRule>
    <cfRule type="containsText" dxfId="663" priority="1139" operator="containsText" text="RIESGO MODERADO">
      <formula>NOT(ISERROR(SEARCH("RIESGO MODERADO",BG11)))</formula>
    </cfRule>
    <cfRule type="containsText" dxfId="662" priority="1140" operator="containsText" text="RIESGO BAJO">
      <formula>NOT(ISERROR(SEARCH("RIESGO BAJO",BG11)))</formula>
    </cfRule>
  </conditionalFormatting>
  <conditionalFormatting sqref="J13">
    <cfRule type="expression" dxfId="661" priority="1132">
      <formula>EXACT(F13,"Seguridad_de_la_informacion")</formula>
    </cfRule>
  </conditionalFormatting>
  <conditionalFormatting sqref="I13">
    <cfRule type="expression" dxfId="660" priority="1131">
      <formula>EXACT(F13,"Seguridad_de_la_informacion")</formula>
    </cfRule>
  </conditionalFormatting>
  <conditionalFormatting sqref="BB13">
    <cfRule type="containsText" dxfId="659" priority="1127" operator="containsText" text="RIESGO EXTREMO">
      <formula>NOT(ISERROR(SEARCH("RIESGO EXTREMO",BB13)))</formula>
    </cfRule>
    <cfRule type="containsText" dxfId="658" priority="1128" operator="containsText" text="RIESGO ALTO">
      <formula>NOT(ISERROR(SEARCH("RIESGO ALTO",BB13)))</formula>
    </cfRule>
    <cfRule type="containsText" dxfId="657" priority="1129" operator="containsText" text="RIESGO MODERADO">
      <formula>NOT(ISERROR(SEARCH("RIESGO MODERADO",BB13)))</formula>
    </cfRule>
    <cfRule type="containsText" dxfId="656" priority="1130" operator="containsText" text="RIESGO BAJO">
      <formula>NOT(ISERROR(SEARCH("RIESGO BAJO",BB13)))</formula>
    </cfRule>
  </conditionalFormatting>
  <conditionalFormatting sqref="BC13">
    <cfRule type="containsText" dxfId="655" priority="1123" operator="containsText" text="RIESGO EXTREMO">
      <formula>NOT(ISERROR(SEARCH("RIESGO EXTREMO",BC13)))</formula>
    </cfRule>
    <cfRule type="containsText" dxfId="654" priority="1124" operator="containsText" text="RIESGO ALTO">
      <formula>NOT(ISERROR(SEARCH("RIESGO ALTO",BC13)))</formula>
    </cfRule>
    <cfRule type="containsText" dxfId="653" priority="1125" operator="containsText" text="RIESGO MODERADO">
      <formula>NOT(ISERROR(SEARCH("RIESGO MODERADO",BC13)))</formula>
    </cfRule>
    <cfRule type="containsText" dxfId="652" priority="1126" operator="containsText" text="RIESGO BAJO">
      <formula>NOT(ISERROR(SEARCH("RIESGO BAJO",BC13)))</formula>
    </cfRule>
  </conditionalFormatting>
  <conditionalFormatting sqref="BD13">
    <cfRule type="containsText" dxfId="651" priority="1119" operator="containsText" text="RIESGO EXTREMO">
      <formula>NOT(ISERROR(SEARCH("RIESGO EXTREMO",BD13)))</formula>
    </cfRule>
    <cfRule type="containsText" dxfId="650" priority="1120" operator="containsText" text="RIESGO ALTO">
      <formula>NOT(ISERROR(SEARCH("RIESGO ALTO",BD13)))</formula>
    </cfRule>
    <cfRule type="containsText" dxfId="649" priority="1121" operator="containsText" text="RIESGO MODERADO">
      <formula>NOT(ISERROR(SEARCH("RIESGO MODERADO",BD13)))</formula>
    </cfRule>
    <cfRule type="containsText" dxfId="648" priority="1122" operator="containsText" text="RIESGO BAJO">
      <formula>NOT(ISERROR(SEARCH("RIESGO BAJO",BD13)))</formula>
    </cfRule>
  </conditionalFormatting>
  <conditionalFormatting sqref="BD14">
    <cfRule type="containsText" dxfId="647" priority="1115" operator="containsText" text="RIESGO EXTREMO">
      <formula>NOT(ISERROR(SEARCH("RIESGO EXTREMO",BD14)))</formula>
    </cfRule>
    <cfRule type="containsText" dxfId="646" priority="1116" operator="containsText" text="RIESGO ALTO">
      <formula>NOT(ISERROR(SEARCH("RIESGO ALTO",BD14)))</formula>
    </cfRule>
    <cfRule type="containsText" dxfId="645" priority="1117" operator="containsText" text="RIESGO MODERADO">
      <formula>NOT(ISERROR(SEARCH("RIESGO MODERADO",BD14)))</formula>
    </cfRule>
    <cfRule type="containsText" dxfId="644" priority="1118" operator="containsText" text="RIESGO BAJO">
      <formula>NOT(ISERROR(SEARCH("RIESGO BAJO",BD14)))</formula>
    </cfRule>
  </conditionalFormatting>
  <conditionalFormatting sqref="BG13">
    <cfRule type="containsText" dxfId="643" priority="1111" operator="containsText" text="RIESGO EXTREMO">
      <formula>NOT(ISERROR(SEARCH("RIESGO EXTREMO",BG13)))</formula>
    </cfRule>
    <cfRule type="containsText" dxfId="642" priority="1112" operator="containsText" text="RIESGO ALTO">
      <formula>NOT(ISERROR(SEARCH("RIESGO ALTO",BG13)))</formula>
    </cfRule>
    <cfRule type="containsText" dxfId="641" priority="1113" operator="containsText" text="RIESGO MODERADO">
      <formula>NOT(ISERROR(SEARCH("RIESGO MODERADO",BG13)))</formula>
    </cfRule>
    <cfRule type="containsText" dxfId="640" priority="1114" operator="containsText" text="RIESGO BAJO">
      <formula>NOT(ISERROR(SEARCH("RIESGO BAJO",BG13)))</formula>
    </cfRule>
  </conditionalFormatting>
  <conditionalFormatting sqref="BG73">
    <cfRule type="containsText" dxfId="639" priority="1069" operator="containsText" text="RIESGO EXTREMO">
      <formula>NOT(ISERROR(SEARCH("RIESGO EXTREMO",BG73)))</formula>
    </cfRule>
    <cfRule type="containsText" dxfId="638" priority="1070" operator="containsText" text="RIESGO ALTO">
      <formula>NOT(ISERROR(SEARCH("RIESGO ALTO",BG73)))</formula>
    </cfRule>
    <cfRule type="containsText" dxfId="637" priority="1071" operator="containsText" text="RIESGO MODERADO">
      <formula>NOT(ISERROR(SEARCH("RIESGO MODERADO",BG73)))</formula>
    </cfRule>
    <cfRule type="containsText" dxfId="636" priority="1072" operator="containsText" text="RIESGO BAJO">
      <formula>NOT(ISERROR(SEARCH("RIESGO BAJO",BG73)))</formula>
    </cfRule>
  </conditionalFormatting>
  <conditionalFormatting sqref="BH73">
    <cfRule type="containsText" dxfId="635" priority="1065" operator="containsText" text="RIESGO EXTREMO">
      <formula>NOT(ISERROR(SEARCH("RIESGO EXTREMO",BH73)))</formula>
    </cfRule>
    <cfRule type="containsText" dxfId="634" priority="1066" operator="containsText" text="RIESGO ALTO">
      <formula>NOT(ISERROR(SEARCH("RIESGO ALTO",BH73)))</formula>
    </cfRule>
    <cfRule type="containsText" dxfId="633" priority="1067" operator="containsText" text="RIESGO MODERADO">
      <formula>NOT(ISERROR(SEARCH("RIESGO MODERADO",BH73)))</formula>
    </cfRule>
    <cfRule type="containsText" dxfId="632" priority="1068" operator="containsText" text="RIESGO BAJO">
      <formula>NOT(ISERROR(SEARCH("RIESGO BAJO",BH73)))</formula>
    </cfRule>
  </conditionalFormatting>
  <conditionalFormatting sqref="BI73">
    <cfRule type="containsText" dxfId="631" priority="1061" operator="containsText" text="RIESGO EXTREMO">
      <formula>NOT(ISERROR(SEARCH("RIESGO EXTREMO",BI73)))</formula>
    </cfRule>
    <cfRule type="containsText" dxfId="630" priority="1062" operator="containsText" text="RIESGO ALTO">
      <formula>NOT(ISERROR(SEARCH("RIESGO ALTO",BI73)))</formula>
    </cfRule>
    <cfRule type="containsText" dxfId="629" priority="1063" operator="containsText" text="RIESGO MODERADO">
      <formula>NOT(ISERROR(SEARCH("RIESGO MODERADO",BI73)))</formula>
    </cfRule>
    <cfRule type="containsText" dxfId="628" priority="1064" operator="containsText" text="RIESGO BAJO">
      <formula>NOT(ISERROR(SEARCH("RIESGO BAJO",BI73)))</formula>
    </cfRule>
  </conditionalFormatting>
  <conditionalFormatting sqref="BH13:BJ13">
    <cfRule type="containsText" dxfId="627" priority="1095" operator="containsText" text="RIESGO EXTREMO">
      <formula>NOT(ISERROR(SEARCH("RIESGO EXTREMO",BH13)))</formula>
    </cfRule>
    <cfRule type="containsText" dxfId="626" priority="1096" operator="containsText" text="RIESGO ALTO">
      <formula>NOT(ISERROR(SEARCH("RIESGO ALTO",BH13)))</formula>
    </cfRule>
    <cfRule type="containsText" dxfId="625" priority="1097" operator="containsText" text="RIESGO MODERADO">
      <formula>NOT(ISERROR(SEARCH("RIESGO MODERADO",BH13)))</formula>
    </cfRule>
    <cfRule type="containsText" dxfId="624" priority="1098" operator="containsText" text="RIESGO BAJO">
      <formula>NOT(ISERROR(SEARCH("RIESGO BAJO",BH13)))</formula>
    </cfRule>
  </conditionalFormatting>
  <conditionalFormatting sqref="J71">
    <cfRule type="expression" dxfId="623" priority="1093">
      <formula>EXACT(F71,"Seguridad_de_la_informacion")</formula>
    </cfRule>
  </conditionalFormatting>
  <conditionalFormatting sqref="BB71:BE72">
    <cfRule type="containsText" dxfId="622" priority="1089" operator="containsText" text="RIESGO EXTREMO">
      <formula>NOT(ISERROR(SEARCH("RIESGO EXTREMO",BB71)))</formula>
    </cfRule>
    <cfRule type="containsText" dxfId="621" priority="1090" operator="containsText" text="RIESGO ALTO">
      <formula>NOT(ISERROR(SEARCH("RIESGO ALTO",BB71)))</formula>
    </cfRule>
    <cfRule type="containsText" dxfId="620" priority="1091" operator="containsText" text="RIESGO MODERADO">
      <formula>NOT(ISERROR(SEARCH("RIESGO MODERADO",BB71)))</formula>
    </cfRule>
    <cfRule type="containsText" dxfId="619" priority="1092" operator="containsText" text="RIESGO BAJO">
      <formula>NOT(ISERROR(SEARCH("RIESGO BAJO",BB71)))</formula>
    </cfRule>
  </conditionalFormatting>
  <conditionalFormatting sqref="Q67:Q68 BB67:BE68">
    <cfRule type="containsText" dxfId="618" priority="1057" operator="containsText" text="RIESGO EXTREMO">
      <formula>NOT(ISERROR(SEARCH("RIESGO EXTREMO",Q67)))</formula>
    </cfRule>
    <cfRule type="containsText" dxfId="617" priority="1058" operator="containsText" text="RIESGO ALTO">
      <formula>NOT(ISERROR(SEARCH("RIESGO ALTO",Q67)))</formula>
    </cfRule>
    <cfRule type="containsText" dxfId="616" priority="1059" operator="containsText" text="RIESGO MODERADO">
      <formula>NOT(ISERROR(SEARCH("RIESGO MODERADO",Q67)))</formula>
    </cfRule>
    <cfRule type="containsText" dxfId="615" priority="1060" operator="containsText" text="RIESGO BAJO">
      <formula>NOT(ISERROR(SEARCH("RIESGO BAJO",Q67)))</formula>
    </cfRule>
  </conditionalFormatting>
  <conditionalFormatting sqref="BE73 BB73">
    <cfRule type="containsText" dxfId="614" priority="1077" operator="containsText" text="RIESGO EXTREMO">
      <formula>NOT(ISERROR(SEARCH("RIESGO EXTREMO",BB73)))</formula>
    </cfRule>
    <cfRule type="containsText" dxfId="613" priority="1078" operator="containsText" text="RIESGO ALTO">
      <formula>NOT(ISERROR(SEARCH("RIESGO ALTO",BB73)))</formula>
    </cfRule>
    <cfRule type="containsText" dxfId="612" priority="1079" operator="containsText" text="RIESGO MODERADO">
      <formula>NOT(ISERROR(SEARCH("RIESGO MODERADO",BB73)))</formula>
    </cfRule>
    <cfRule type="containsText" dxfId="611" priority="1080" operator="containsText" text="RIESGO BAJO">
      <formula>NOT(ISERROR(SEARCH("RIESGO BAJO",BB73)))</formula>
    </cfRule>
  </conditionalFormatting>
  <conditionalFormatting sqref="BJ73">
    <cfRule type="containsText" dxfId="610" priority="1073" operator="containsText" text="RIESGO EXTREMO">
      <formula>NOT(ISERROR(SEARCH("RIESGO EXTREMO",BJ73)))</formula>
    </cfRule>
    <cfRule type="containsText" dxfId="609" priority="1074" operator="containsText" text="RIESGO ALTO">
      <formula>NOT(ISERROR(SEARCH("RIESGO ALTO",BJ73)))</formula>
    </cfRule>
    <cfRule type="containsText" dxfId="608" priority="1075" operator="containsText" text="RIESGO MODERADO">
      <formula>NOT(ISERROR(SEARCH("RIESGO MODERADO",BJ73)))</formula>
    </cfRule>
    <cfRule type="containsText" dxfId="607" priority="1076" operator="containsText" text="RIESGO BAJO">
      <formula>NOT(ISERROR(SEARCH("RIESGO BAJO",BJ73)))</formula>
    </cfRule>
  </conditionalFormatting>
  <conditionalFormatting sqref="BH67:BI68 BG67 BJ67">
    <cfRule type="containsText" dxfId="606" priority="1047" operator="containsText" text="RIESGO EXTREMO">
      <formula>NOT(ISERROR(SEARCH("RIESGO EXTREMO",BG67)))</formula>
    </cfRule>
    <cfRule type="containsText" dxfId="605" priority="1048" operator="containsText" text="RIESGO ALTO">
      <formula>NOT(ISERROR(SEARCH("RIESGO ALTO",BG67)))</formula>
    </cfRule>
    <cfRule type="containsText" dxfId="604" priority="1049" operator="containsText" text="RIESGO MODERADO">
      <formula>NOT(ISERROR(SEARCH("RIESGO MODERADO",BG67)))</formula>
    </cfRule>
    <cfRule type="containsText" dxfId="603" priority="1050" operator="containsText" text="RIESGO BAJO">
      <formula>NOT(ISERROR(SEARCH("RIESGO BAJO",BG67)))</formula>
    </cfRule>
  </conditionalFormatting>
  <conditionalFormatting sqref="I67:I68">
    <cfRule type="expression" dxfId="602" priority="1056">
      <formula>EXACT(F67,"Seguridad_de_la_informacion")</formula>
    </cfRule>
  </conditionalFormatting>
  <conditionalFormatting sqref="AZ67:BA67 AZ68">
    <cfRule type="containsText" dxfId="601" priority="1051" operator="containsText" text="RIESGO EXTREMO">
      <formula>NOT(ISERROR(SEARCH("RIESGO EXTREMO",AZ67)))</formula>
    </cfRule>
    <cfRule type="containsText" dxfId="600" priority="1052" operator="containsText" text="RIESGO ALTO">
      <formula>NOT(ISERROR(SEARCH("RIESGO ALTO",AZ67)))</formula>
    </cfRule>
    <cfRule type="containsText" dxfId="599" priority="1053" operator="containsText" text="RIESGO MODERADO">
      <formula>NOT(ISERROR(SEARCH("RIESGO MODERADO",AZ67)))</formula>
    </cfRule>
    <cfRule type="containsText" dxfId="598" priority="1054" operator="containsText" text="RIESGO BAJO">
      <formula>NOT(ISERROR(SEARCH("RIESGO BAJO",AZ67)))</formula>
    </cfRule>
  </conditionalFormatting>
  <conditionalFormatting sqref="BG15:BI15 BG19:BI19 BG23:BI23">
    <cfRule type="containsText" dxfId="597" priority="513" operator="containsText" text="RIESGO EXTREMO">
      <formula>NOT(ISERROR(SEARCH("RIESGO EXTREMO",BG15)))</formula>
    </cfRule>
    <cfRule type="containsText" dxfId="596" priority="514" operator="containsText" text="RIESGO ALTO">
      <formula>NOT(ISERROR(SEARCH("RIESGO ALTO",BG15)))</formula>
    </cfRule>
    <cfRule type="containsText" dxfId="595" priority="515" operator="containsText" text="RIESGO MODERADO">
      <formula>NOT(ISERROR(SEARCH("RIESGO MODERADO",BG15)))</formula>
    </cfRule>
    <cfRule type="containsText" dxfId="594" priority="516" operator="containsText" text="RIESGO BAJO">
      <formula>NOT(ISERROR(SEARCH("RIESGO BAJO",BG15)))</formula>
    </cfRule>
  </conditionalFormatting>
  <conditionalFormatting sqref="AZ27:BA27">
    <cfRule type="containsText" dxfId="593" priority="487" operator="containsText" text="RIESGO EXTREMO">
      <formula>NOT(ISERROR(SEARCH("RIESGO EXTREMO",AZ27)))</formula>
    </cfRule>
    <cfRule type="containsText" dxfId="592" priority="488" operator="containsText" text="RIESGO ALTO">
      <formula>NOT(ISERROR(SEARCH("RIESGO ALTO",AZ27)))</formula>
    </cfRule>
    <cfRule type="containsText" dxfId="591" priority="489" operator="containsText" text="RIESGO MODERADO">
      <formula>NOT(ISERROR(SEARCH("RIESGO MODERADO",AZ27)))</formula>
    </cfRule>
    <cfRule type="containsText" dxfId="590" priority="490" operator="containsText" text="RIESGO BAJO">
      <formula>NOT(ISERROR(SEARCH("RIESGO BAJO",AZ27)))</formula>
    </cfRule>
  </conditionalFormatting>
  <conditionalFormatting sqref="AZ39:BA39">
    <cfRule type="containsText" dxfId="589" priority="453" operator="containsText" text="RIESGO EXTREMO">
      <formula>NOT(ISERROR(SEARCH("RIESGO EXTREMO",AZ39)))</formula>
    </cfRule>
    <cfRule type="containsText" dxfId="588" priority="454" operator="containsText" text="RIESGO ALTO">
      <formula>NOT(ISERROR(SEARCH("RIESGO ALTO",AZ39)))</formula>
    </cfRule>
    <cfRule type="containsText" dxfId="587" priority="455" operator="containsText" text="RIESGO MODERADO">
      <formula>NOT(ISERROR(SEARCH("RIESGO MODERADO",AZ39)))</formula>
    </cfRule>
    <cfRule type="containsText" dxfId="586" priority="456" operator="containsText" text="RIESGO BAJO">
      <formula>NOT(ISERROR(SEARCH("RIESGO BAJO",AZ39)))</formula>
    </cfRule>
  </conditionalFormatting>
  <conditionalFormatting sqref="BE23 BE19">
    <cfRule type="containsText" dxfId="585" priority="501" operator="containsText" text="RIESGO EXTREMO">
      <formula>NOT(ISERROR(SEARCH("RIESGO EXTREMO",BE19)))</formula>
    </cfRule>
    <cfRule type="containsText" dxfId="584" priority="502" operator="containsText" text="RIESGO ALTO">
      <formula>NOT(ISERROR(SEARCH("RIESGO ALTO",BE19)))</formula>
    </cfRule>
    <cfRule type="containsText" dxfId="583" priority="503" operator="containsText" text="RIESGO MODERADO">
      <formula>NOT(ISERROR(SEARCH("RIESGO MODERADO",BE19)))</formula>
    </cfRule>
    <cfRule type="containsText" dxfId="582" priority="504" operator="containsText" text="RIESGO BAJO">
      <formula>NOT(ISERROR(SEARCH("RIESGO BAJO",BE19)))</formula>
    </cfRule>
  </conditionalFormatting>
  <conditionalFormatting sqref="BB15:BE15 BB19:BD19 BB23:BD23">
    <cfRule type="containsText" dxfId="581" priority="523" operator="containsText" text="RIESGO EXTREMO">
      <formula>NOT(ISERROR(SEARCH("RIESGO EXTREMO",BB15)))</formula>
    </cfRule>
    <cfRule type="containsText" dxfId="580" priority="524" operator="containsText" text="RIESGO ALTO">
      <formula>NOT(ISERROR(SEARCH("RIESGO ALTO",BB15)))</formula>
    </cfRule>
    <cfRule type="containsText" dxfId="579" priority="525" operator="containsText" text="RIESGO MODERADO">
      <formula>NOT(ISERROR(SEARCH("RIESGO MODERADO",BB15)))</formula>
    </cfRule>
    <cfRule type="containsText" dxfId="578" priority="526" operator="containsText" text="RIESGO BAJO">
      <formula>NOT(ISERROR(SEARCH("RIESGO BAJO",BB15)))</formula>
    </cfRule>
  </conditionalFormatting>
  <conditionalFormatting sqref="BG27:BI27 BG31:BI31 BG35:BI35">
    <cfRule type="containsText" dxfId="577" priority="483" operator="containsText" text="RIESGO EXTREMO">
      <formula>NOT(ISERROR(SEARCH("RIESGO EXTREMO",BG27)))</formula>
    </cfRule>
    <cfRule type="containsText" dxfId="576" priority="484" operator="containsText" text="RIESGO ALTO">
      <formula>NOT(ISERROR(SEARCH("RIESGO ALTO",BG27)))</formula>
    </cfRule>
    <cfRule type="containsText" dxfId="575" priority="485" operator="containsText" text="RIESGO MODERADO">
      <formula>NOT(ISERROR(SEARCH("RIESGO MODERADO",BG27)))</formula>
    </cfRule>
    <cfRule type="containsText" dxfId="574" priority="486" operator="containsText" text="RIESGO BAJO">
      <formula>NOT(ISERROR(SEARCH("RIESGO BAJO",BG27)))</formula>
    </cfRule>
  </conditionalFormatting>
  <conditionalFormatting sqref="BJ15 BJ19 BJ23">
    <cfRule type="containsText" dxfId="573" priority="527" operator="containsText" text="RIESGO EXTREMO">
      <formula>NOT(ISERROR(SEARCH("RIESGO EXTREMO",BJ15)))</formula>
    </cfRule>
    <cfRule type="containsText" dxfId="572" priority="528" operator="containsText" text="RIESGO ALTO">
      <formula>NOT(ISERROR(SEARCH("RIESGO ALTO",BJ15)))</formula>
    </cfRule>
    <cfRule type="containsText" dxfId="571" priority="529" operator="containsText" text="RIESGO MODERADO">
      <formula>NOT(ISERROR(SEARCH("RIESGO MODERADO",BJ15)))</formula>
    </cfRule>
    <cfRule type="containsText" dxfId="570" priority="530" operator="containsText" text="RIESGO BAJO">
      <formula>NOT(ISERROR(SEARCH("RIESGO BAJO",BJ15)))</formula>
    </cfRule>
  </conditionalFormatting>
  <conditionalFormatting sqref="BJ27 BJ31 BJ35">
    <cfRule type="containsText" dxfId="569" priority="497" operator="containsText" text="RIESGO EXTREMO">
      <formula>NOT(ISERROR(SEARCH("RIESGO EXTREMO",BJ27)))</formula>
    </cfRule>
    <cfRule type="containsText" dxfId="568" priority="498" operator="containsText" text="RIESGO ALTO">
      <formula>NOT(ISERROR(SEARCH("RIESGO ALTO",BJ27)))</formula>
    </cfRule>
    <cfRule type="containsText" dxfId="567" priority="499" operator="containsText" text="RIESGO MODERADO">
      <formula>NOT(ISERROR(SEARCH("RIESGO MODERADO",BJ27)))</formula>
    </cfRule>
    <cfRule type="containsText" dxfId="566" priority="500" operator="containsText" text="RIESGO BAJO">
      <formula>NOT(ISERROR(SEARCH("RIESGO BAJO",BJ27)))</formula>
    </cfRule>
  </conditionalFormatting>
  <conditionalFormatting sqref="BB41:BB45 BE41:BE45 BC41:BD43">
    <cfRule type="containsText" dxfId="565" priority="413" operator="containsText" text="RIESGO EXTREMO">
      <formula>NOT(ISERROR(SEARCH("RIESGO EXTREMO",BB41)))</formula>
    </cfRule>
    <cfRule type="containsText" dxfId="564" priority="414" operator="containsText" text="RIESGO ALTO">
      <formula>NOT(ISERROR(SEARCH("RIESGO ALTO",BB41)))</formula>
    </cfRule>
    <cfRule type="containsText" dxfId="563" priority="415" operator="containsText" text="RIESGO MODERADO">
      <formula>NOT(ISERROR(SEARCH("RIESGO MODERADO",BB41)))</formula>
    </cfRule>
    <cfRule type="containsText" dxfId="562" priority="416" operator="containsText" text="RIESGO BAJO">
      <formula>NOT(ISERROR(SEARCH("RIESGO BAJO",BB41)))</formula>
    </cfRule>
  </conditionalFormatting>
  <conditionalFormatting sqref="BB27:BE27 BB31:BD31 BB35:BD35">
    <cfRule type="containsText" dxfId="561" priority="493" operator="containsText" text="RIESGO EXTREMO">
      <formula>NOT(ISERROR(SEARCH("RIESGO EXTREMO",BB27)))</formula>
    </cfRule>
    <cfRule type="containsText" dxfId="560" priority="494" operator="containsText" text="RIESGO ALTO">
      <formula>NOT(ISERROR(SEARCH("RIESGO ALTO",BB27)))</formula>
    </cfRule>
    <cfRule type="containsText" dxfId="559" priority="495" operator="containsText" text="RIESGO MODERADO">
      <formula>NOT(ISERROR(SEARCH("RIESGO MODERADO",BB27)))</formula>
    </cfRule>
    <cfRule type="containsText" dxfId="558" priority="496" operator="containsText" text="RIESGO BAJO">
      <formula>NOT(ISERROR(SEARCH("RIESGO BAJO",BB27)))</formula>
    </cfRule>
  </conditionalFormatting>
  <conditionalFormatting sqref="BG39">
    <cfRule type="containsText" dxfId="557" priority="449" operator="containsText" text="RIESGO EXTREMO">
      <formula>NOT(ISERROR(SEARCH("RIESGO EXTREMO",BG39)))</formula>
    </cfRule>
    <cfRule type="containsText" dxfId="556" priority="450" operator="containsText" text="RIESGO ALTO">
      <formula>NOT(ISERROR(SEARCH("RIESGO ALTO",BG39)))</formula>
    </cfRule>
    <cfRule type="containsText" dxfId="555" priority="451" operator="containsText" text="RIESGO MODERADO">
      <formula>NOT(ISERROR(SEARCH("RIESGO MODERADO",BG39)))</formula>
    </cfRule>
    <cfRule type="containsText" dxfId="554" priority="452" operator="containsText" text="RIESGO BAJO">
      <formula>NOT(ISERROR(SEARCH("RIESGO BAJO",BG39)))</formula>
    </cfRule>
  </conditionalFormatting>
  <conditionalFormatting sqref="Q27">
    <cfRule type="containsText" dxfId="553" priority="475" operator="containsText" text="RIESGO EXTREMO">
      <formula>NOT(ISERROR(SEARCH("RIESGO EXTREMO",Q27)))</formula>
    </cfRule>
    <cfRule type="containsText" dxfId="552" priority="476" operator="containsText" text="RIESGO ALTO">
      <formula>NOT(ISERROR(SEARCH("RIESGO ALTO",Q27)))</formula>
    </cfRule>
    <cfRule type="containsText" dxfId="551" priority="477" operator="containsText" text="RIESGO MODERADO">
      <formula>NOT(ISERROR(SEARCH("RIESGO MODERADO",Q27)))</formula>
    </cfRule>
    <cfRule type="containsText" dxfId="550" priority="478" operator="containsText" text="RIESGO BAJO">
      <formula>NOT(ISERROR(SEARCH("RIESGO BAJO",Q27)))</formula>
    </cfRule>
  </conditionalFormatting>
  <conditionalFormatting sqref="Q15">
    <cfRule type="containsText" dxfId="549" priority="505" operator="containsText" text="RIESGO EXTREMO">
      <formula>NOT(ISERROR(SEARCH("RIESGO EXTREMO",Q15)))</formula>
    </cfRule>
    <cfRule type="containsText" dxfId="548" priority="506" operator="containsText" text="RIESGO ALTO">
      <formula>NOT(ISERROR(SEARCH("RIESGO ALTO",Q15)))</formula>
    </cfRule>
    <cfRule type="containsText" dxfId="547" priority="507" operator="containsText" text="RIESGO MODERADO">
      <formula>NOT(ISERROR(SEARCH("RIESGO MODERADO",Q15)))</formula>
    </cfRule>
    <cfRule type="containsText" dxfId="546" priority="508" operator="containsText" text="RIESGO BAJO">
      <formula>NOT(ISERROR(SEARCH("RIESGO BAJO",Q15)))</formula>
    </cfRule>
  </conditionalFormatting>
  <conditionalFormatting sqref="AZ15">
    <cfRule type="containsText" dxfId="545" priority="463" operator="containsText" text="RIESGO EXTREMO">
      <formula>NOT(ISERROR(SEARCH("RIESGO EXTREMO",AZ15)))</formula>
    </cfRule>
    <cfRule type="containsText" dxfId="544" priority="464" operator="containsText" text="RIESGO ALTO">
      <formula>NOT(ISERROR(SEARCH("RIESGO ALTO",AZ15)))</formula>
    </cfRule>
    <cfRule type="containsText" dxfId="543" priority="465" operator="containsText" text="RIESGO MODERADO">
      <formula>NOT(ISERROR(SEARCH("RIESGO MODERADO",AZ15)))</formula>
    </cfRule>
    <cfRule type="containsText" dxfId="542" priority="466" operator="containsText" text="RIESGO BAJO">
      <formula>NOT(ISERROR(SEARCH("RIESGO BAJO",AZ15)))</formula>
    </cfRule>
  </conditionalFormatting>
  <conditionalFormatting sqref="Q39 BB39:BF39">
    <cfRule type="containsText" dxfId="541" priority="459" operator="containsText" text="RIESGO EXTREMO">
      <formula>NOT(ISERROR(SEARCH("RIESGO EXTREMO",Q39)))</formula>
    </cfRule>
    <cfRule type="containsText" dxfId="540" priority="460" operator="containsText" text="RIESGO ALTO">
      <formula>NOT(ISERROR(SEARCH("RIESGO ALTO",Q39)))</formula>
    </cfRule>
    <cfRule type="containsText" dxfId="539" priority="461" operator="containsText" text="RIESGO MODERADO">
      <formula>NOT(ISERROR(SEARCH("RIESGO MODERADO",Q39)))</formula>
    </cfRule>
    <cfRule type="containsText" dxfId="538" priority="462" operator="containsText" text="RIESGO BAJO">
      <formula>NOT(ISERROR(SEARCH("RIESGO BAJO",Q39)))</formula>
    </cfRule>
  </conditionalFormatting>
  <conditionalFormatting sqref="BH40:BI40">
    <cfRule type="containsText" dxfId="537" priority="421" operator="containsText" text="RIESGO EXTREMO">
      <formula>NOT(ISERROR(SEARCH("RIESGO EXTREMO",BH40)))</formula>
    </cfRule>
    <cfRule type="containsText" dxfId="536" priority="422" operator="containsText" text="RIESGO ALTO">
      <formula>NOT(ISERROR(SEARCH("RIESGO ALTO",BH40)))</formula>
    </cfRule>
    <cfRule type="containsText" dxfId="535" priority="423" operator="containsText" text="RIESGO MODERADO">
      <formula>NOT(ISERROR(SEARCH("RIESGO MODERADO",BH40)))</formula>
    </cfRule>
    <cfRule type="containsText" dxfId="534" priority="424" operator="containsText" text="RIESGO BAJO">
      <formula>NOT(ISERROR(SEARCH("RIESGO BAJO",BH40)))</formula>
    </cfRule>
  </conditionalFormatting>
  <conditionalFormatting sqref="BC40">
    <cfRule type="containsText" dxfId="533" priority="417" operator="containsText" text="RIESGO EXTREMO">
      <formula>NOT(ISERROR(SEARCH("RIESGO EXTREMO",BC40)))</formula>
    </cfRule>
    <cfRule type="containsText" dxfId="532" priority="418" operator="containsText" text="RIESGO ALTO">
      <formula>NOT(ISERROR(SEARCH("RIESGO ALTO",BC40)))</formula>
    </cfRule>
    <cfRule type="containsText" dxfId="531" priority="419" operator="containsText" text="RIESGO MODERADO">
      <formula>NOT(ISERROR(SEARCH("RIESGO MODERADO",BC40)))</formula>
    </cfRule>
    <cfRule type="containsText" dxfId="530" priority="420" operator="containsText" text="RIESGO BAJO">
      <formula>NOT(ISERROR(SEARCH("RIESGO BAJO",BC40)))</formula>
    </cfRule>
  </conditionalFormatting>
  <conditionalFormatting sqref="I15">
    <cfRule type="expression" dxfId="529" priority="522">
      <formula>EXACT(F15,"Seguridad_de_la_informacion")</formula>
    </cfRule>
  </conditionalFormatting>
  <conditionalFormatting sqref="J15">
    <cfRule type="expression" dxfId="528" priority="521">
      <formula>EXACT(F15,"Seguridad_de_la_informacion")</formula>
    </cfRule>
  </conditionalFormatting>
  <conditionalFormatting sqref="BH39:BI39">
    <cfRule type="containsText" dxfId="527" priority="441" operator="containsText" text="RIESGO EXTREMO">
      <formula>NOT(ISERROR(SEARCH("RIESGO EXTREMO",BH39)))</formula>
    </cfRule>
    <cfRule type="containsText" dxfId="526" priority="442" operator="containsText" text="RIESGO ALTO">
      <formula>NOT(ISERROR(SEARCH("RIESGO ALTO",BH39)))</formula>
    </cfRule>
    <cfRule type="containsText" dxfId="525" priority="443" operator="containsText" text="RIESGO MODERADO">
      <formula>NOT(ISERROR(SEARCH("RIESGO MODERADO",BH39)))</formula>
    </cfRule>
    <cfRule type="containsText" dxfId="524" priority="444" operator="containsText" text="RIESGO BAJO">
      <formula>NOT(ISERROR(SEARCH("RIESGO BAJO",BH39)))</formula>
    </cfRule>
  </conditionalFormatting>
  <conditionalFormatting sqref="BB40 BE40">
    <cfRule type="containsText" dxfId="523" priority="433" operator="containsText" text="RIESGO EXTREMO">
      <formula>NOT(ISERROR(SEARCH("RIESGO EXTREMO",BB40)))</formula>
    </cfRule>
    <cfRule type="containsText" dxfId="522" priority="434" operator="containsText" text="RIESGO ALTO">
      <formula>NOT(ISERROR(SEARCH("RIESGO ALTO",BB40)))</formula>
    </cfRule>
    <cfRule type="containsText" dxfId="521" priority="435" operator="containsText" text="RIESGO MODERADO">
      <formula>NOT(ISERROR(SEARCH("RIESGO MODERADO",BB40)))</formula>
    </cfRule>
    <cfRule type="containsText" dxfId="520" priority="436" operator="containsText" text="RIESGO BAJO">
      <formula>NOT(ISERROR(SEARCH("RIESGO BAJO",BB40)))</formula>
    </cfRule>
  </conditionalFormatting>
  <conditionalFormatting sqref="BD40">
    <cfRule type="containsText" dxfId="519" priority="425" operator="containsText" text="RIESGO EXTREMO">
      <formula>NOT(ISERROR(SEARCH("RIESGO EXTREMO",BD40)))</formula>
    </cfRule>
    <cfRule type="containsText" dxfId="518" priority="426" operator="containsText" text="RIESGO ALTO">
      <formula>NOT(ISERROR(SEARCH("RIESGO ALTO",BD40)))</formula>
    </cfRule>
    <cfRule type="containsText" dxfId="517" priority="427" operator="containsText" text="RIESGO MODERADO">
      <formula>NOT(ISERROR(SEARCH("RIESGO MODERADO",BD40)))</formula>
    </cfRule>
    <cfRule type="containsText" dxfId="516" priority="428" operator="containsText" text="RIESGO BAJO">
      <formula>NOT(ISERROR(SEARCH("RIESGO BAJO",BD40)))</formula>
    </cfRule>
  </conditionalFormatting>
  <conditionalFormatting sqref="I27">
    <cfRule type="expression" dxfId="515" priority="492">
      <formula>EXACT(F27,"Seguridad_de_la_informacion")</formula>
    </cfRule>
  </conditionalFormatting>
  <conditionalFormatting sqref="J27">
    <cfRule type="expression" dxfId="514" priority="491">
      <formula>EXACT(F27,"Seguridad_de_la_informacion")</formula>
    </cfRule>
  </conditionalFormatting>
  <conditionalFormatting sqref="BE35 BE31">
    <cfRule type="containsText" dxfId="513" priority="471" operator="containsText" text="RIESGO EXTREMO">
      <formula>NOT(ISERROR(SEARCH("RIESGO EXTREMO",BE31)))</formula>
    </cfRule>
    <cfRule type="containsText" dxfId="512" priority="472" operator="containsText" text="RIESGO ALTO">
      <formula>NOT(ISERROR(SEARCH("RIESGO ALTO",BE31)))</formula>
    </cfRule>
    <cfRule type="containsText" dxfId="511" priority="473" operator="containsText" text="RIESGO MODERADO">
      <formula>NOT(ISERROR(SEARCH("RIESGO MODERADO",BE31)))</formula>
    </cfRule>
    <cfRule type="containsText" dxfId="510" priority="474" operator="containsText" text="RIESGO BAJO">
      <formula>NOT(ISERROR(SEARCH("RIESGO BAJO",BE31)))</formula>
    </cfRule>
  </conditionalFormatting>
  <conditionalFormatting sqref="BJ39">
    <cfRule type="containsText" dxfId="509" priority="437" operator="containsText" text="RIESGO EXTREMO">
      <formula>NOT(ISERROR(SEARCH("RIESGO EXTREMO",BJ39)))</formula>
    </cfRule>
    <cfRule type="containsText" dxfId="508" priority="438" operator="containsText" text="RIESGO ALTO">
      <formula>NOT(ISERROR(SEARCH("RIESGO ALTO",BJ39)))</formula>
    </cfRule>
    <cfRule type="containsText" dxfId="507" priority="439" operator="containsText" text="RIESGO MODERADO">
      <formula>NOT(ISERROR(SEARCH("RIESGO MODERADO",BJ39)))</formula>
    </cfRule>
    <cfRule type="containsText" dxfId="506" priority="440" operator="containsText" text="RIESGO BAJO">
      <formula>NOT(ISERROR(SEARCH("RIESGO BAJO",BJ39)))</formula>
    </cfRule>
  </conditionalFormatting>
  <conditionalFormatting sqref="BJ40">
    <cfRule type="containsText" dxfId="505" priority="429" operator="containsText" text="RIESGO EXTREMO">
      <formula>NOT(ISERROR(SEARCH("RIESGO EXTREMO",BJ40)))</formula>
    </cfRule>
    <cfRule type="containsText" dxfId="504" priority="430" operator="containsText" text="RIESGO ALTO">
      <formula>NOT(ISERROR(SEARCH("RIESGO ALTO",BJ40)))</formula>
    </cfRule>
    <cfRule type="containsText" dxfId="503" priority="431" operator="containsText" text="RIESGO MODERADO">
      <formula>NOT(ISERROR(SEARCH("RIESGO MODERADO",BJ40)))</formula>
    </cfRule>
    <cfRule type="containsText" dxfId="502" priority="432" operator="containsText" text="RIESGO BAJO">
      <formula>NOT(ISERROR(SEARCH("RIESGO BAJO",BJ40)))</formula>
    </cfRule>
  </conditionalFormatting>
  <conditionalFormatting sqref="Q46">
    <cfRule type="containsText" dxfId="501" priority="379" operator="containsText" text="RIESGO EXTREMO">
      <formula>NOT(ISERROR(SEARCH("RIESGO EXTREMO",Q46)))</formula>
    </cfRule>
    <cfRule type="containsText" dxfId="500" priority="380" operator="containsText" text="RIESGO ALTO">
      <formula>NOT(ISERROR(SEARCH("RIESGO ALTO",Q46)))</formula>
    </cfRule>
    <cfRule type="containsText" dxfId="499" priority="381" operator="containsText" text="RIESGO MODERADO">
      <formula>NOT(ISERROR(SEARCH("RIESGO MODERADO",Q46)))</formula>
    </cfRule>
    <cfRule type="containsText" dxfId="498" priority="382" operator="containsText" text="RIESGO BAJO">
      <formula>NOT(ISERROR(SEARCH("RIESGO BAJO",Q46)))</formula>
    </cfRule>
  </conditionalFormatting>
  <conditionalFormatting sqref="BH43">
    <cfRule type="containsText" dxfId="497" priority="387" operator="containsText" text="RIESGO EXTREMO">
      <formula>NOT(ISERROR(SEARCH("RIESGO EXTREMO",BH43)))</formula>
    </cfRule>
    <cfRule type="containsText" dxfId="496" priority="388" operator="containsText" text="RIESGO ALTO">
      <formula>NOT(ISERROR(SEARCH("RIESGO ALTO",BH43)))</formula>
    </cfRule>
    <cfRule type="containsText" dxfId="495" priority="389" operator="containsText" text="RIESGO MODERADO">
      <formula>NOT(ISERROR(SEARCH("RIESGO MODERADO",BH43)))</formula>
    </cfRule>
    <cfRule type="containsText" dxfId="494" priority="390" operator="containsText" text="RIESGO BAJO">
      <formula>NOT(ISERROR(SEARCH("RIESGO BAJO",BH43)))</formula>
    </cfRule>
  </conditionalFormatting>
  <conditionalFormatting sqref="I39">
    <cfRule type="expression" dxfId="493" priority="458">
      <formula>EXACT(F39,"Seguridad_de_la_informacion")</formula>
    </cfRule>
  </conditionalFormatting>
  <conditionalFormatting sqref="J39">
    <cfRule type="expression" dxfId="492" priority="457">
      <formula>EXACT(F39,"Seguridad_de_la_informacion")</formula>
    </cfRule>
  </conditionalFormatting>
  <conditionalFormatting sqref="BD53:BD54">
    <cfRule type="containsText" dxfId="491" priority="253" operator="containsText" text="RIESGO EXTREMO">
      <formula>NOT(ISERROR(SEARCH("RIESGO EXTREMO",BD53)))</formula>
    </cfRule>
    <cfRule type="containsText" dxfId="490" priority="254" operator="containsText" text="RIESGO ALTO">
      <formula>NOT(ISERROR(SEARCH("RIESGO ALTO",BD53)))</formula>
    </cfRule>
    <cfRule type="containsText" dxfId="489" priority="255" operator="containsText" text="RIESGO MODERADO">
      <formula>NOT(ISERROR(SEARCH("RIESGO MODERADO",BD53)))</formula>
    </cfRule>
    <cfRule type="containsText" dxfId="488" priority="256" operator="containsText" text="RIESGO BAJO">
      <formula>NOT(ISERROR(SEARCH("RIESGO BAJO",BD53)))</formula>
    </cfRule>
  </conditionalFormatting>
  <conditionalFormatting sqref="AZ41:BA41">
    <cfRule type="containsText" dxfId="487" priority="407" operator="containsText" text="RIESGO EXTREMO">
      <formula>NOT(ISERROR(SEARCH("RIESGO EXTREMO",AZ41)))</formula>
    </cfRule>
    <cfRule type="containsText" dxfId="486" priority="408" operator="containsText" text="RIESGO ALTO">
      <formula>NOT(ISERROR(SEARCH("RIESGO ALTO",AZ41)))</formula>
    </cfRule>
    <cfRule type="containsText" dxfId="485" priority="409" operator="containsText" text="RIESGO MODERADO">
      <formula>NOT(ISERROR(SEARCH("RIESGO MODERADO",AZ41)))</formula>
    </cfRule>
    <cfRule type="containsText" dxfId="484" priority="410" operator="containsText" text="RIESGO BAJO">
      <formula>NOT(ISERROR(SEARCH("RIESGO BAJO",AZ41)))</formula>
    </cfRule>
  </conditionalFormatting>
  <conditionalFormatting sqref="BG41 BH41:BI42 BI43:BI44">
    <cfRule type="containsText" dxfId="483" priority="403" operator="containsText" text="RIESGO EXTREMO">
      <formula>NOT(ISERROR(SEARCH("RIESGO EXTREMO",BG41)))</formula>
    </cfRule>
    <cfRule type="containsText" dxfId="482" priority="404" operator="containsText" text="RIESGO ALTO">
      <formula>NOT(ISERROR(SEARCH("RIESGO ALTO",BG41)))</formula>
    </cfRule>
    <cfRule type="containsText" dxfId="481" priority="405" operator="containsText" text="RIESGO MODERADO">
      <formula>NOT(ISERROR(SEARCH("RIESGO MODERADO",BG41)))</formula>
    </cfRule>
    <cfRule type="containsText" dxfId="480" priority="406" operator="containsText" text="RIESGO BAJO">
      <formula>NOT(ISERROR(SEARCH("RIESGO BAJO",BG41)))</formula>
    </cfRule>
  </conditionalFormatting>
  <conditionalFormatting sqref="BJ41:BJ45">
    <cfRule type="containsText" dxfId="479" priority="391" operator="containsText" text="RIESGO EXTREMO">
      <formula>NOT(ISERROR(SEARCH("RIESGO EXTREMO",BJ41)))</formula>
    </cfRule>
    <cfRule type="containsText" dxfId="478" priority="392" operator="containsText" text="RIESGO ALTO">
      <formula>NOT(ISERROR(SEARCH("RIESGO ALTO",BJ41)))</formula>
    </cfRule>
    <cfRule type="containsText" dxfId="477" priority="393" operator="containsText" text="RIESGO MODERADO">
      <formula>NOT(ISERROR(SEARCH("RIESGO MODERADO",BJ41)))</formula>
    </cfRule>
    <cfRule type="containsText" dxfId="476" priority="394" operator="containsText" text="RIESGO BAJO">
      <formula>NOT(ISERROR(SEARCH("RIESGO BAJO",BJ41)))</formula>
    </cfRule>
  </conditionalFormatting>
  <conditionalFormatting sqref="BD44">
    <cfRule type="containsText" dxfId="475" priority="383" operator="containsText" text="RIESGO EXTREMO">
      <formula>NOT(ISERROR(SEARCH("RIESGO EXTREMO",BD44)))</formula>
    </cfRule>
    <cfRule type="containsText" dxfId="474" priority="384" operator="containsText" text="RIESGO ALTO">
      <formula>NOT(ISERROR(SEARCH("RIESGO ALTO",BD44)))</formula>
    </cfRule>
    <cfRule type="containsText" dxfId="473" priority="385" operator="containsText" text="RIESGO MODERADO">
      <formula>NOT(ISERROR(SEARCH("RIESGO MODERADO",BD44)))</formula>
    </cfRule>
    <cfRule type="containsText" dxfId="472" priority="386" operator="containsText" text="RIESGO BAJO">
      <formula>NOT(ISERROR(SEARCH("RIESGO BAJO",BD44)))</formula>
    </cfRule>
  </conditionalFormatting>
  <conditionalFormatting sqref="I41:I43">
    <cfRule type="expression" dxfId="471" priority="412">
      <formula>EXACT(F41,"Seguridad_de_la_informacion")</formula>
    </cfRule>
  </conditionalFormatting>
  <conditionalFormatting sqref="J41:J45">
    <cfRule type="expression" dxfId="470" priority="411">
      <formula>EXACT(F41,"Seguridad_de_la_informacion")</formula>
    </cfRule>
  </conditionalFormatting>
  <conditionalFormatting sqref="AZ53:BA53">
    <cfRule type="containsText" dxfId="469" priority="241" operator="containsText" text="RIESGO EXTREMO">
      <formula>NOT(ISERROR(SEARCH("RIESGO EXTREMO",AZ53)))</formula>
    </cfRule>
    <cfRule type="containsText" dxfId="468" priority="242" operator="containsText" text="RIESGO ALTO">
      <formula>NOT(ISERROR(SEARCH("RIESGO ALTO",AZ53)))</formula>
    </cfRule>
    <cfRule type="containsText" dxfId="467" priority="243" operator="containsText" text="RIESGO MODERADO">
      <formula>NOT(ISERROR(SEARCH("RIESGO MODERADO",AZ53)))</formula>
    </cfRule>
    <cfRule type="containsText" dxfId="466" priority="244" operator="containsText" text="RIESGO BAJO">
      <formula>NOT(ISERROR(SEARCH("RIESGO BAJO",AZ53)))</formula>
    </cfRule>
  </conditionalFormatting>
  <conditionalFormatting sqref="Q41:Q44">
    <cfRule type="containsText" dxfId="465" priority="395" operator="containsText" text="RIESGO EXTREMO">
      <formula>NOT(ISERROR(SEARCH("RIESGO EXTREMO",Q41)))</formula>
    </cfRule>
    <cfRule type="containsText" dxfId="464" priority="396" operator="containsText" text="RIESGO ALTO">
      <formula>NOT(ISERROR(SEARCH("RIESGO ALTO",Q41)))</formula>
    </cfRule>
    <cfRule type="containsText" dxfId="463" priority="397" operator="containsText" text="RIESGO MODERADO">
      <formula>NOT(ISERROR(SEARCH("RIESGO MODERADO",Q41)))</formula>
    </cfRule>
    <cfRule type="containsText" dxfId="462" priority="398" operator="containsText" text="RIESGO BAJO">
      <formula>NOT(ISERROR(SEARCH("RIESGO BAJO",Q41)))</formula>
    </cfRule>
  </conditionalFormatting>
  <conditionalFormatting sqref="AZ46:BA46">
    <cfRule type="containsText" dxfId="461" priority="369" operator="containsText" text="RIESGO EXTREMO">
      <formula>NOT(ISERROR(SEARCH("RIESGO EXTREMO",AZ46)))</formula>
    </cfRule>
    <cfRule type="containsText" dxfId="460" priority="370" operator="containsText" text="RIESGO ALTO">
      <formula>NOT(ISERROR(SEARCH("RIESGO ALTO",AZ46)))</formula>
    </cfRule>
    <cfRule type="containsText" dxfId="459" priority="371" operator="containsText" text="RIESGO MODERADO">
      <formula>NOT(ISERROR(SEARCH("RIESGO MODERADO",AZ46)))</formula>
    </cfRule>
    <cfRule type="containsText" dxfId="458" priority="372" operator="containsText" text="RIESGO BAJO">
      <formula>NOT(ISERROR(SEARCH("RIESGO BAJO",AZ46)))</formula>
    </cfRule>
  </conditionalFormatting>
  <conditionalFormatting sqref="BC50">
    <cfRule type="containsText" dxfId="457" priority="327" operator="containsText" text="RIESGO EXTREMO">
      <formula>NOT(ISERROR(SEARCH("RIESGO EXTREMO",BC50)))</formula>
    </cfRule>
    <cfRule type="containsText" dxfId="456" priority="328" operator="containsText" text="RIESGO ALTO">
      <formula>NOT(ISERROR(SEARCH("RIESGO ALTO",BC50)))</formula>
    </cfRule>
    <cfRule type="containsText" dxfId="455" priority="329" operator="containsText" text="RIESGO MODERADO">
      <formula>NOT(ISERROR(SEARCH("RIESGO MODERADO",BC50)))</formula>
    </cfRule>
    <cfRule type="containsText" dxfId="454" priority="330" operator="containsText" text="RIESGO BAJO">
      <formula>NOT(ISERROR(SEARCH("RIESGO BAJO",BC50)))</formula>
    </cfRule>
  </conditionalFormatting>
  <conditionalFormatting sqref="BC51:BC52">
    <cfRule type="containsText" dxfId="453" priority="267" operator="containsText" text="RIESGO EXTREMO">
      <formula>NOT(ISERROR(SEARCH("RIESGO EXTREMO",BC51)))</formula>
    </cfRule>
    <cfRule type="containsText" dxfId="452" priority="268" operator="containsText" text="RIESGO ALTO">
      <formula>NOT(ISERROR(SEARCH("RIESGO ALTO",BC51)))</formula>
    </cfRule>
    <cfRule type="containsText" dxfId="451" priority="269" operator="containsText" text="RIESGO MODERADO">
      <formula>NOT(ISERROR(SEARCH("RIESGO MODERADO",BC51)))</formula>
    </cfRule>
    <cfRule type="containsText" dxfId="450" priority="270" operator="containsText" text="RIESGO BAJO">
      <formula>NOT(ISERROR(SEARCH("RIESGO BAJO",BC51)))</formula>
    </cfRule>
  </conditionalFormatting>
  <conditionalFormatting sqref="BH54:BJ54">
    <cfRule type="containsText" dxfId="449" priority="225" operator="containsText" text="RIESGO EXTREMO">
      <formula>NOT(ISERROR(SEARCH("RIESGO EXTREMO",BH54)))</formula>
    </cfRule>
    <cfRule type="containsText" dxfId="448" priority="226" operator="containsText" text="RIESGO ALTO">
      <formula>NOT(ISERROR(SEARCH("RIESGO ALTO",BH54)))</formula>
    </cfRule>
    <cfRule type="containsText" dxfId="447" priority="227" operator="containsText" text="RIESGO MODERADO">
      <formula>NOT(ISERROR(SEARCH("RIESGO MODERADO",BH54)))</formula>
    </cfRule>
    <cfRule type="containsText" dxfId="446" priority="228" operator="containsText" text="RIESGO BAJO">
      <formula>NOT(ISERROR(SEARCH("RIESGO BAJO",BH54)))</formula>
    </cfRule>
  </conditionalFormatting>
  <conditionalFormatting sqref="BC55:BC56">
    <cfRule type="containsText" dxfId="445" priority="183" operator="containsText" text="RIESGO EXTREMO">
      <formula>NOT(ISERROR(SEARCH("RIESGO EXTREMO",BC55)))</formula>
    </cfRule>
    <cfRule type="containsText" dxfId="444" priority="184" operator="containsText" text="RIESGO ALTO">
      <formula>NOT(ISERROR(SEARCH("RIESGO ALTO",BC55)))</formula>
    </cfRule>
    <cfRule type="containsText" dxfId="443" priority="185" operator="containsText" text="RIESGO MODERADO">
      <formula>NOT(ISERROR(SEARCH("RIESGO MODERADO",BC55)))</formula>
    </cfRule>
    <cfRule type="containsText" dxfId="442" priority="186" operator="containsText" text="RIESGO BAJO">
      <formula>NOT(ISERROR(SEARCH("RIESGO BAJO",BC55)))</formula>
    </cfRule>
  </conditionalFormatting>
  <conditionalFormatting sqref="BC57:BC58">
    <cfRule type="containsText" dxfId="441" priority="149" operator="containsText" text="RIESGO EXTREMO">
      <formula>NOT(ISERROR(SEARCH("RIESGO EXTREMO",BC57)))</formula>
    </cfRule>
    <cfRule type="containsText" dxfId="440" priority="150" operator="containsText" text="RIESGO ALTO">
      <formula>NOT(ISERROR(SEARCH("RIESGO ALTO",BC57)))</formula>
    </cfRule>
    <cfRule type="containsText" dxfId="439" priority="151" operator="containsText" text="RIESGO MODERADO">
      <formula>NOT(ISERROR(SEARCH("RIESGO MODERADO",BC57)))</formula>
    </cfRule>
    <cfRule type="containsText" dxfId="438" priority="152" operator="containsText" text="RIESGO BAJO">
      <formula>NOT(ISERROR(SEARCH("RIESGO BAJO",BC57)))</formula>
    </cfRule>
  </conditionalFormatting>
  <conditionalFormatting sqref="BI59">
    <cfRule type="containsText" dxfId="437" priority="111" operator="containsText" text="RIESGO EXTREMO">
      <formula>NOT(ISERROR(SEARCH("RIESGO EXTREMO",BI59)))</formula>
    </cfRule>
    <cfRule type="containsText" dxfId="436" priority="112" operator="containsText" text="RIESGO ALTO">
      <formula>NOT(ISERROR(SEARCH("RIESGO ALTO",BI59)))</formula>
    </cfRule>
    <cfRule type="containsText" dxfId="435" priority="113" operator="containsText" text="RIESGO MODERADO">
      <formula>NOT(ISERROR(SEARCH("RIESGO MODERADO",BI59)))</formula>
    </cfRule>
    <cfRule type="containsText" dxfId="434" priority="114" operator="containsText" text="RIESGO BAJO">
      <formula>NOT(ISERROR(SEARCH("RIESGO BAJO",BI59)))</formula>
    </cfRule>
  </conditionalFormatting>
  <conditionalFormatting sqref="BC61:BC63">
    <cfRule type="containsText" dxfId="433" priority="77" operator="containsText" text="RIESGO EXTREMO">
      <formula>NOT(ISERROR(SEARCH("RIESGO EXTREMO",BC61)))</formula>
    </cfRule>
    <cfRule type="containsText" dxfId="432" priority="78" operator="containsText" text="RIESGO ALTO">
      <formula>NOT(ISERROR(SEARCH("RIESGO ALTO",BC61)))</formula>
    </cfRule>
    <cfRule type="containsText" dxfId="431" priority="79" operator="containsText" text="RIESGO MODERADO">
      <formula>NOT(ISERROR(SEARCH("RIESGO MODERADO",BC61)))</formula>
    </cfRule>
    <cfRule type="containsText" dxfId="430" priority="80" operator="containsText" text="RIESGO BAJO">
      <formula>NOT(ISERROR(SEARCH("RIESGO BAJO",BC61)))</formula>
    </cfRule>
  </conditionalFormatting>
  <conditionalFormatting sqref="I46">
    <cfRule type="expression" dxfId="429" priority="378">
      <formula>EXACT(F46,"Seguridad_de_la_informacion")</formula>
    </cfRule>
  </conditionalFormatting>
  <conditionalFormatting sqref="J46">
    <cfRule type="expression" dxfId="428" priority="377">
      <formula>EXACT(F46,"Seguridad_de_la_informacion")</formula>
    </cfRule>
  </conditionalFormatting>
  <conditionalFormatting sqref="BB46:BE47">
    <cfRule type="containsText" dxfId="427" priority="373" operator="containsText" text="RIESGO EXTREMO">
      <formula>NOT(ISERROR(SEARCH("RIESGO EXTREMO",BB46)))</formula>
    </cfRule>
    <cfRule type="containsText" dxfId="426" priority="374" operator="containsText" text="RIESGO ALTO">
      <formula>NOT(ISERROR(SEARCH("RIESGO ALTO",BB46)))</formula>
    </cfRule>
    <cfRule type="containsText" dxfId="425" priority="375" operator="containsText" text="RIESGO MODERADO">
      <formula>NOT(ISERROR(SEARCH("RIESGO MODERADO",BB46)))</formula>
    </cfRule>
    <cfRule type="containsText" dxfId="424" priority="376" operator="containsText" text="RIESGO BAJO">
      <formula>NOT(ISERROR(SEARCH("RIESGO BAJO",BB46)))</formula>
    </cfRule>
  </conditionalFormatting>
  <conditionalFormatting sqref="BH48:BI49 BG48">
    <cfRule type="containsText" dxfId="423" priority="335" operator="containsText" text="RIESGO EXTREMO">
      <formula>NOT(ISERROR(SEARCH("RIESGO EXTREMO",BG48)))</formula>
    </cfRule>
    <cfRule type="containsText" dxfId="422" priority="336" operator="containsText" text="RIESGO ALTO">
      <formula>NOT(ISERROR(SEARCH("RIESGO ALTO",BG48)))</formula>
    </cfRule>
    <cfRule type="containsText" dxfId="421" priority="337" operator="containsText" text="RIESGO MODERADO">
      <formula>NOT(ISERROR(SEARCH("RIESGO MODERADO",BG48)))</formula>
    </cfRule>
    <cfRule type="containsText" dxfId="420" priority="338" operator="containsText" text="RIESGO BAJO">
      <formula>NOT(ISERROR(SEARCH("RIESGO BAJO",BG48)))</formula>
    </cfRule>
  </conditionalFormatting>
  <conditionalFormatting sqref="BG46:BJ47">
    <cfRule type="containsText" dxfId="419" priority="365" operator="containsText" text="RIESGO EXTREMO">
      <formula>NOT(ISERROR(SEARCH("RIESGO EXTREMO",BG46)))</formula>
    </cfRule>
    <cfRule type="containsText" dxfId="418" priority="366" operator="containsText" text="RIESGO ALTO">
      <formula>NOT(ISERROR(SEARCH("RIESGO ALTO",BG46)))</formula>
    </cfRule>
    <cfRule type="containsText" dxfId="417" priority="367" operator="containsText" text="RIESGO MODERADO">
      <formula>NOT(ISERROR(SEARCH("RIESGO MODERADO",BG46)))</formula>
    </cfRule>
    <cfRule type="containsText" dxfId="416" priority="368" operator="containsText" text="RIESGO BAJO">
      <formula>NOT(ISERROR(SEARCH("RIESGO BAJO",BG46)))</formula>
    </cfRule>
  </conditionalFormatting>
  <conditionalFormatting sqref="Q48:Q50">
    <cfRule type="containsText" dxfId="415" priority="357" operator="containsText" text="RIESGO EXTREMO">
      <formula>NOT(ISERROR(SEARCH("RIESGO EXTREMO",Q48)))</formula>
    </cfRule>
    <cfRule type="containsText" dxfId="414" priority="358" operator="containsText" text="RIESGO ALTO">
      <formula>NOT(ISERROR(SEARCH("RIESGO ALTO",Q48)))</formula>
    </cfRule>
    <cfRule type="containsText" dxfId="413" priority="359" operator="containsText" text="RIESGO MODERADO">
      <formula>NOT(ISERROR(SEARCH("RIESGO MODERADO",Q48)))</formula>
    </cfRule>
    <cfRule type="containsText" dxfId="412" priority="360" operator="containsText" text="RIESGO BAJO">
      <formula>NOT(ISERROR(SEARCH("RIESGO BAJO",Q48)))</formula>
    </cfRule>
  </conditionalFormatting>
  <conditionalFormatting sqref="J48:J50">
    <cfRule type="expression" dxfId="411" priority="356">
      <formula>EXACT(F48,"Seguridad_de_la_informacion")</formula>
    </cfRule>
  </conditionalFormatting>
  <conditionalFormatting sqref="BD48:BD50">
    <cfRule type="containsText" dxfId="410" priority="352" operator="containsText" text="RIESGO EXTREMO">
      <formula>NOT(ISERROR(SEARCH("RIESGO EXTREMO",BD48)))</formula>
    </cfRule>
    <cfRule type="containsText" dxfId="409" priority="353" operator="containsText" text="RIESGO ALTO">
      <formula>NOT(ISERROR(SEARCH("RIESGO ALTO",BD48)))</formula>
    </cfRule>
    <cfRule type="containsText" dxfId="408" priority="354" operator="containsText" text="RIESGO MODERADO">
      <formula>NOT(ISERROR(SEARCH("RIESGO MODERADO",BD48)))</formula>
    </cfRule>
    <cfRule type="containsText" dxfId="407" priority="355" operator="containsText" text="RIESGO BAJO">
      <formula>NOT(ISERROR(SEARCH("RIESGO BAJO",BD48)))</formula>
    </cfRule>
  </conditionalFormatting>
  <conditionalFormatting sqref="BJ48:BJ50">
    <cfRule type="containsText" dxfId="406" priority="348" operator="containsText" text="RIESGO EXTREMO">
      <formula>NOT(ISERROR(SEARCH("RIESGO EXTREMO",BJ48)))</formula>
    </cfRule>
    <cfRule type="containsText" dxfId="405" priority="349" operator="containsText" text="RIESGO ALTO">
      <formula>NOT(ISERROR(SEARCH("RIESGO ALTO",BJ48)))</formula>
    </cfRule>
    <cfRule type="containsText" dxfId="404" priority="350" operator="containsText" text="RIESGO MODERADO">
      <formula>NOT(ISERROR(SEARCH("RIESGO MODERADO",BJ48)))</formula>
    </cfRule>
    <cfRule type="containsText" dxfId="403" priority="351" operator="containsText" text="RIESGO BAJO">
      <formula>NOT(ISERROR(SEARCH("RIESGO BAJO",BJ48)))</formula>
    </cfRule>
  </conditionalFormatting>
  <conditionalFormatting sqref="BB48:BB50 BE48:BE50 BC48:BC49">
    <cfRule type="containsText" dxfId="402" priority="344" operator="containsText" text="RIESGO EXTREMO">
      <formula>NOT(ISERROR(SEARCH("RIESGO EXTREMO",BB48)))</formula>
    </cfRule>
    <cfRule type="containsText" dxfId="401" priority="345" operator="containsText" text="RIESGO ALTO">
      <formula>NOT(ISERROR(SEARCH("RIESGO ALTO",BB48)))</formula>
    </cfRule>
    <cfRule type="containsText" dxfId="400" priority="346" operator="containsText" text="RIESGO MODERADO">
      <formula>NOT(ISERROR(SEARCH("RIESGO MODERADO",BB48)))</formula>
    </cfRule>
    <cfRule type="containsText" dxfId="399" priority="347" operator="containsText" text="RIESGO BAJO">
      <formula>NOT(ISERROR(SEARCH("RIESGO BAJO",BB48)))</formula>
    </cfRule>
  </conditionalFormatting>
  <conditionalFormatting sqref="I48:I49">
    <cfRule type="expression" dxfId="398" priority="343">
      <formula>EXACT(F48,"Seguridad_de_la_informacion")</formula>
    </cfRule>
  </conditionalFormatting>
  <conditionalFormatting sqref="AZ48:BA48">
    <cfRule type="containsText" dxfId="397" priority="339" operator="containsText" text="RIESGO EXTREMO">
      <formula>NOT(ISERROR(SEARCH("RIESGO EXTREMO",AZ48)))</formula>
    </cfRule>
    <cfRule type="containsText" dxfId="396" priority="340" operator="containsText" text="RIESGO ALTO">
      <formula>NOT(ISERROR(SEARCH("RIESGO ALTO",AZ48)))</formula>
    </cfRule>
    <cfRule type="containsText" dxfId="395" priority="341" operator="containsText" text="RIESGO MODERADO">
      <formula>NOT(ISERROR(SEARCH("RIESGO MODERADO",AZ48)))</formula>
    </cfRule>
    <cfRule type="containsText" dxfId="394" priority="342" operator="containsText" text="RIESGO BAJO">
      <formula>NOT(ISERROR(SEARCH("RIESGO BAJO",AZ48)))</formula>
    </cfRule>
  </conditionalFormatting>
  <conditionalFormatting sqref="BH51:BI52 BG51">
    <cfRule type="containsText" dxfId="393" priority="275" operator="containsText" text="RIESGO EXTREMO">
      <formula>NOT(ISERROR(SEARCH("RIESGO EXTREMO",BG51)))</formula>
    </cfRule>
    <cfRule type="containsText" dxfId="392" priority="276" operator="containsText" text="RIESGO ALTO">
      <formula>NOT(ISERROR(SEARCH("RIESGO ALTO",BG51)))</formula>
    </cfRule>
    <cfRule type="containsText" dxfId="391" priority="277" operator="containsText" text="RIESGO MODERADO">
      <formula>NOT(ISERROR(SEARCH("RIESGO MODERADO",BG51)))</formula>
    </cfRule>
    <cfRule type="containsText" dxfId="390" priority="278" operator="containsText" text="RIESGO BAJO">
      <formula>NOT(ISERROR(SEARCH("RIESGO BAJO",BG51)))</formula>
    </cfRule>
  </conditionalFormatting>
  <conditionalFormatting sqref="BC53:BC54">
    <cfRule type="containsText" dxfId="389" priority="229" operator="containsText" text="RIESGO EXTREMO">
      <formula>NOT(ISERROR(SEARCH("RIESGO EXTREMO",BC53)))</formula>
    </cfRule>
    <cfRule type="containsText" dxfId="388" priority="230" operator="containsText" text="RIESGO ALTO">
      <formula>NOT(ISERROR(SEARCH("RIESGO ALTO",BC53)))</formula>
    </cfRule>
    <cfRule type="containsText" dxfId="387" priority="231" operator="containsText" text="RIESGO MODERADO">
      <formula>NOT(ISERROR(SEARCH("RIESGO MODERADO",BC53)))</formula>
    </cfRule>
    <cfRule type="containsText" dxfId="386" priority="232" operator="containsText" text="RIESGO BAJO">
      <formula>NOT(ISERROR(SEARCH("RIESGO BAJO",BC53)))</formula>
    </cfRule>
  </conditionalFormatting>
  <conditionalFormatting sqref="Q51:Q52">
    <cfRule type="containsText" dxfId="385" priority="293" operator="containsText" text="RIESGO EXTREMO">
      <formula>NOT(ISERROR(SEARCH("RIESGO EXTREMO",Q51)))</formula>
    </cfRule>
    <cfRule type="containsText" dxfId="384" priority="294" operator="containsText" text="RIESGO ALTO">
      <formula>NOT(ISERROR(SEARCH("RIESGO ALTO",Q51)))</formula>
    </cfRule>
    <cfRule type="containsText" dxfId="383" priority="295" operator="containsText" text="RIESGO MODERADO">
      <formula>NOT(ISERROR(SEARCH("RIESGO MODERADO",Q51)))</formula>
    </cfRule>
    <cfRule type="containsText" dxfId="382" priority="296" operator="containsText" text="RIESGO BAJO">
      <formula>NOT(ISERROR(SEARCH("RIESGO BAJO",Q51)))</formula>
    </cfRule>
  </conditionalFormatting>
  <conditionalFormatting sqref="J51:J52">
    <cfRule type="expression" dxfId="381" priority="292">
      <formula>EXACT(F51,"Seguridad_de_la_informacion")</formula>
    </cfRule>
  </conditionalFormatting>
  <conditionalFormatting sqref="BJ51:BJ52">
    <cfRule type="containsText" dxfId="380" priority="288" operator="containsText" text="RIESGO EXTREMO">
      <formula>NOT(ISERROR(SEARCH("RIESGO EXTREMO",BJ51)))</formula>
    </cfRule>
    <cfRule type="containsText" dxfId="379" priority="289" operator="containsText" text="RIESGO ALTO">
      <formula>NOT(ISERROR(SEARCH("RIESGO ALTO",BJ51)))</formula>
    </cfRule>
    <cfRule type="containsText" dxfId="378" priority="290" operator="containsText" text="RIESGO MODERADO">
      <formula>NOT(ISERROR(SEARCH("RIESGO MODERADO",BJ51)))</formula>
    </cfRule>
    <cfRule type="containsText" dxfId="377" priority="291" operator="containsText" text="RIESGO BAJO">
      <formula>NOT(ISERROR(SEARCH("RIESGO BAJO",BJ51)))</formula>
    </cfRule>
  </conditionalFormatting>
  <conditionalFormatting sqref="BB51:BB52 BD51:BE52">
    <cfRule type="containsText" dxfId="376" priority="284" operator="containsText" text="RIESGO EXTREMO">
      <formula>NOT(ISERROR(SEARCH("RIESGO EXTREMO",BB51)))</formula>
    </cfRule>
    <cfRule type="containsText" dxfId="375" priority="285" operator="containsText" text="RIESGO ALTO">
      <formula>NOT(ISERROR(SEARCH("RIESGO ALTO",BB51)))</formula>
    </cfRule>
    <cfRule type="containsText" dxfId="374" priority="286" operator="containsText" text="RIESGO MODERADO">
      <formula>NOT(ISERROR(SEARCH("RIESGO MODERADO",BB51)))</formula>
    </cfRule>
    <cfRule type="containsText" dxfId="373" priority="287" operator="containsText" text="RIESGO BAJO">
      <formula>NOT(ISERROR(SEARCH("RIESGO BAJO",BB51)))</formula>
    </cfRule>
  </conditionalFormatting>
  <conditionalFormatting sqref="I51:I52">
    <cfRule type="expression" dxfId="372" priority="283">
      <formula>EXACT(F51,"Seguridad_de_la_informacion")</formula>
    </cfRule>
  </conditionalFormatting>
  <conditionalFormatting sqref="AZ51:BA51">
    <cfRule type="containsText" dxfId="371" priority="279" operator="containsText" text="RIESGO EXTREMO">
      <formula>NOT(ISERROR(SEARCH("RIESGO EXTREMO",AZ51)))</formula>
    </cfRule>
    <cfRule type="containsText" dxfId="370" priority="280" operator="containsText" text="RIESGO ALTO">
      <formula>NOT(ISERROR(SEARCH("RIESGO ALTO",AZ51)))</formula>
    </cfRule>
    <cfRule type="containsText" dxfId="369" priority="281" operator="containsText" text="RIESGO MODERADO">
      <formula>NOT(ISERROR(SEARCH("RIESGO MODERADO",AZ51)))</formula>
    </cfRule>
    <cfRule type="containsText" dxfId="368" priority="282" operator="containsText" text="RIESGO BAJO">
      <formula>NOT(ISERROR(SEARCH("RIESGO BAJO",AZ51)))</formula>
    </cfRule>
  </conditionalFormatting>
  <conditionalFormatting sqref="BG55 BI56">
    <cfRule type="containsText" dxfId="367" priority="191" operator="containsText" text="RIESGO EXTREMO">
      <formula>NOT(ISERROR(SEARCH("RIESGO EXTREMO",BG55)))</formula>
    </cfRule>
    <cfRule type="containsText" dxfId="366" priority="192" operator="containsText" text="RIESGO ALTO">
      <formula>NOT(ISERROR(SEARCH("RIESGO ALTO",BG55)))</formula>
    </cfRule>
    <cfRule type="containsText" dxfId="365" priority="193" operator="containsText" text="RIESGO MODERADO">
      <formula>NOT(ISERROR(SEARCH("RIESGO MODERADO",BG55)))</formula>
    </cfRule>
    <cfRule type="containsText" dxfId="364" priority="194" operator="containsText" text="RIESGO BAJO">
      <formula>NOT(ISERROR(SEARCH("RIESGO BAJO",BG55)))</formula>
    </cfRule>
  </conditionalFormatting>
  <conditionalFormatting sqref="Q57:Q58">
    <cfRule type="containsText" dxfId="363" priority="153" operator="containsText" text="RIESGO EXTREMO">
      <formula>NOT(ISERROR(SEARCH("RIESGO EXTREMO",Q57)))</formula>
    </cfRule>
    <cfRule type="containsText" dxfId="362" priority="154" operator="containsText" text="RIESGO ALTO">
      <formula>NOT(ISERROR(SEARCH("RIESGO ALTO",Q57)))</formula>
    </cfRule>
    <cfRule type="containsText" dxfId="361" priority="155" operator="containsText" text="RIESGO MODERADO">
      <formula>NOT(ISERROR(SEARCH("RIESGO MODERADO",Q57)))</formula>
    </cfRule>
    <cfRule type="containsText" dxfId="360" priority="156" operator="containsText" text="RIESGO BAJO">
      <formula>NOT(ISERROR(SEARCH("RIESGO BAJO",Q57)))</formula>
    </cfRule>
  </conditionalFormatting>
  <conditionalFormatting sqref="BE55:BE56">
    <cfRule type="containsText" dxfId="359" priority="204" operator="containsText" text="RIESGO EXTREMO">
      <formula>NOT(ISERROR(SEARCH("RIESGO EXTREMO",BE55)))</formula>
    </cfRule>
    <cfRule type="containsText" dxfId="358" priority="205" operator="containsText" text="RIESGO ALTO">
      <formula>NOT(ISERROR(SEARCH("RIESGO ALTO",BE55)))</formula>
    </cfRule>
    <cfRule type="containsText" dxfId="357" priority="206" operator="containsText" text="RIESGO MODERADO">
      <formula>NOT(ISERROR(SEARCH("RIESGO MODERADO",BE55)))</formula>
    </cfRule>
    <cfRule type="containsText" dxfId="356" priority="207" operator="containsText" text="RIESGO BAJO">
      <formula>NOT(ISERROR(SEARCH("RIESGO BAJO",BE55)))</formula>
    </cfRule>
  </conditionalFormatting>
  <conditionalFormatting sqref="BH55:BH56">
    <cfRule type="containsText" dxfId="355" priority="200" operator="containsText" text="RIESGO EXTREMO">
      <formula>NOT(ISERROR(SEARCH("RIESGO EXTREMO",BH55)))</formula>
    </cfRule>
    <cfRule type="containsText" dxfId="354" priority="201" operator="containsText" text="RIESGO ALTO">
      <formula>NOT(ISERROR(SEARCH("RIESGO ALTO",BH55)))</formula>
    </cfRule>
    <cfRule type="containsText" dxfId="353" priority="202" operator="containsText" text="RIESGO MODERADO">
      <formula>NOT(ISERROR(SEARCH("RIESGO MODERADO",BH55)))</formula>
    </cfRule>
    <cfRule type="containsText" dxfId="352" priority="203" operator="containsText" text="RIESGO BAJO">
      <formula>NOT(ISERROR(SEARCH("RIESGO BAJO",BH55)))</formula>
    </cfRule>
  </conditionalFormatting>
  <conditionalFormatting sqref="I55:I56">
    <cfRule type="expression" dxfId="351" priority="199">
      <formula>EXACT(F55,"Seguridad_de_la_informacion")</formula>
    </cfRule>
  </conditionalFormatting>
  <conditionalFormatting sqref="BG53:BH53 BG54">
    <cfRule type="containsText" dxfId="350" priority="237" operator="containsText" text="RIESGO EXTREMO">
      <formula>NOT(ISERROR(SEARCH("RIESGO EXTREMO",BG53)))</formula>
    </cfRule>
    <cfRule type="containsText" dxfId="349" priority="238" operator="containsText" text="RIESGO ALTO">
      <formula>NOT(ISERROR(SEARCH("RIESGO ALTO",BG53)))</formula>
    </cfRule>
    <cfRule type="containsText" dxfId="348" priority="239" operator="containsText" text="RIESGO MODERADO">
      <formula>NOT(ISERROR(SEARCH("RIESGO MODERADO",BG53)))</formula>
    </cfRule>
    <cfRule type="containsText" dxfId="347" priority="240" operator="containsText" text="RIESGO BAJO">
      <formula>NOT(ISERROR(SEARCH("RIESGO BAJO",BG53)))</formula>
    </cfRule>
  </conditionalFormatting>
  <conditionalFormatting sqref="Q59:Q60">
    <cfRule type="containsText" dxfId="346" priority="119" operator="containsText" text="RIESGO EXTREMO">
      <formula>NOT(ISERROR(SEARCH("RIESGO EXTREMO",Q59)))</formula>
    </cfRule>
    <cfRule type="containsText" dxfId="345" priority="120" operator="containsText" text="RIESGO ALTO">
      <formula>NOT(ISERROR(SEARCH("RIESGO ALTO",Q59)))</formula>
    </cfRule>
    <cfRule type="containsText" dxfId="344" priority="121" operator="containsText" text="RIESGO MODERADO">
      <formula>NOT(ISERROR(SEARCH("RIESGO MODERADO",Q59)))</formula>
    </cfRule>
    <cfRule type="containsText" dxfId="343" priority="122" operator="containsText" text="RIESGO BAJO">
      <formula>NOT(ISERROR(SEARCH("RIESGO BAJO",Q59)))</formula>
    </cfRule>
  </conditionalFormatting>
  <conditionalFormatting sqref="BC59:BC60">
    <cfRule type="containsText" dxfId="342" priority="115" operator="containsText" text="RIESGO EXTREMO">
      <formula>NOT(ISERROR(SEARCH("RIESGO EXTREMO",BC59)))</formula>
    </cfRule>
    <cfRule type="containsText" dxfId="341" priority="116" operator="containsText" text="RIESGO ALTO">
      <formula>NOT(ISERROR(SEARCH("RIESGO ALTO",BC59)))</formula>
    </cfRule>
    <cfRule type="containsText" dxfId="340" priority="117" operator="containsText" text="RIESGO MODERADO">
      <formula>NOT(ISERROR(SEARCH("RIESGO MODERADO",BC59)))</formula>
    </cfRule>
    <cfRule type="containsText" dxfId="339" priority="118" operator="containsText" text="RIESGO BAJO">
      <formula>NOT(ISERROR(SEARCH("RIESGO BAJO",BC59)))</formula>
    </cfRule>
  </conditionalFormatting>
  <conditionalFormatting sqref="Q53">
    <cfRule type="containsText" dxfId="338" priority="263" operator="containsText" text="RIESGO EXTREMO">
      <formula>NOT(ISERROR(SEARCH("RIESGO EXTREMO",Q53)))</formula>
    </cfRule>
    <cfRule type="containsText" dxfId="337" priority="264" operator="containsText" text="RIESGO ALTO">
      <formula>NOT(ISERROR(SEARCH("RIESGO ALTO",Q53)))</formula>
    </cfRule>
    <cfRule type="containsText" dxfId="336" priority="265" operator="containsText" text="RIESGO MODERADO">
      <formula>NOT(ISERROR(SEARCH("RIESGO MODERADO",Q53)))</formula>
    </cfRule>
    <cfRule type="containsText" dxfId="335" priority="266" operator="containsText" text="RIESGO BAJO">
      <formula>NOT(ISERROR(SEARCH("RIESGO BAJO",Q53)))</formula>
    </cfRule>
  </conditionalFormatting>
  <conditionalFormatting sqref="I53">
    <cfRule type="expression" dxfId="334" priority="262">
      <formula>EXACT(F53,"Seguridad_de_la_informacion")</formula>
    </cfRule>
  </conditionalFormatting>
  <conditionalFormatting sqref="J53">
    <cfRule type="expression" dxfId="333" priority="261">
      <formula>EXACT(F53,"Seguridad_de_la_informacion")</formula>
    </cfRule>
  </conditionalFormatting>
  <conditionalFormatting sqref="BJ53">
    <cfRule type="containsText" dxfId="332" priority="257" operator="containsText" text="RIESGO EXTREMO">
      <formula>NOT(ISERROR(SEARCH("RIESGO EXTREMO",BJ53)))</formula>
    </cfRule>
    <cfRule type="containsText" dxfId="331" priority="258" operator="containsText" text="RIESGO ALTO">
      <formula>NOT(ISERROR(SEARCH("RIESGO ALTO",BJ53)))</formula>
    </cfRule>
    <cfRule type="containsText" dxfId="330" priority="259" operator="containsText" text="RIESGO MODERADO">
      <formula>NOT(ISERROR(SEARCH("RIESGO MODERADO",BJ53)))</formula>
    </cfRule>
    <cfRule type="containsText" dxfId="329" priority="260" operator="containsText" text="RIESGO BAJO">
      <formula>NOT(ISERROR(SEARCH("RIESGO BAJO",BJ53)))</formula>
    </cfRule>
  </conditionalFormatting>
  <conditionalFormatting sqref="BI53">
    <cfRule type="containsText" dxfId="328" priority="249" operator="containsText" text="RIESGO EXTREMO">
      <formula>NOT(ISERROR(SEARCH("RIESGO EXTREMO",BI53)))</formula>
    </cfRule>
    <cfRule type="containsText" dxfId="327" priority="250" operator="containsText" text="RIESGO ALTO">
      <formula>NOT(ISERROR(SEARCH("RIESGO ALTO",BI53)))</formula>
    </cfRule>
    <cfRule type="containsText" dxfId="326" priority="251" operator="containsText" text="RIESGO MODERADO">
      <formula>NOT(ISERROR(SEARCH("RIESGO MODERADO",BI53)))</formula>
    </cfRule>
    <cfRule type="containsText" dxfId="325" priority="252" operator="containsText" text="RIESGO BAJO">
      <formula>NOT(ISERROR(SEARCH("RIESGO BAJO",BI53)))</formula>
    </cfRule>
  </conditionalFormatting>
  <conditionalFormatting sqref="BB53:BB54 BE53:BE54">
    <cfRule type="containsText" dxfId="324" priority="245" operator="containsText" text="RIESGO EXTREMO">
      <formula>NOT(ISERROR(SEARCH("RIESGO EXTREMO",BB53)))</formula>
    </cfRule>
    <cfRule type="containsText" dxfId="323" priority="246" operator="containsText" text="RIESGO ALTO">
      <formula>NOT(ISERROR(SEARCH("RIESGO ALTO",BB53)))</formula>
    </cfRule>
    <cfRule type="containsText" dxfId="322" priority="247" operator="containsText" text="RIESGO MODERADO">
      <formula>NOT(ISERROR(SEARCH("RIESGO MODERADO",BB53)))</formula>
    </cfRule>
    <cfRule type="containsText" dxfId="321" priority="248" operator="containsText" text="RIESGO BAJO">
      <formula>NOT(ISERROR(SEARCH("RIESGO BAJO",BB53)))</formula>
    </cfRule>
  </conditionalFormatting>
  <conditionalFormatting sqref="AZ57:BA57">
    <cfRule type="containsText" dxfId="320" priority="165" operator="containsText" text="RIESGO EXTREMO">
      <formula>NOT(ISERROR(SEARCH("RIESGO EXTREMO",AZ57)))</formula>
    </cfRule>
    <cfRule type="containsText" dxfId="319" priority="166" operator="containsText" text="RIESGO ALTO">
      <formula>NOT(ISERROR(SEARCH("RIESGO ALTO",AZ57)))</formula>
    </cfRule>
    <cfRule type="containsText" dxfId="318" priority="167" operator="containsText" text="RIESGO MODERADO">
      <formula>NOT(ISERROR(SEARCH("RIESGO MODERADO",AZ57)))</formula>
    </cfRule>
    <cfRule type="containsText" dxfId="317" priority="168" operator="containsText" text="RIESGO BAJO">
      <formula>NOT(ISERROR(SEARCH("RIESGO BAJO",AZ57)))</formula>
    </cfRule>
  </conditionalFormatting>
  <conditionalFormatting sqref="AZ55:BA55">
    <cfRule type="containsText" dxfId="316" priority="195" operator="containsText" text="RIESGO EXTREMO">
      <formula>NOT(ISERROR(SEARCH("RIESGO EXTREMO",AZ55)))</formula>
    </cfRule>
    <cfRule type="containsText" dxfId="315" priority="196" operator="containsText" text="RIESGO ALTO">
      <formula>NOT(ISERROR(SEARCH("RIESGO ALTO",AZ55)))</formula>
    </cfRule>
    <cfRule type="containsText" dxfId="314" priority="197" operator="containsText" text="RIESGO MODERADO">
      <formula>NOT(ISERROR(SEARCH("RIESGO MODERADO",AZ55)))</formula>
    </cfRule>
    <cfRule type="containsText" dxfId="313" priority="198" operator="containsText" text="RIESGO BAJO">
      <formula>NOT(ISERROR(SEARCH("RIESGO BAJO",AZ55)))</formula>
    </cfRule>
  </conditionalFormatting>
  <conditionalFormatting sqref="Q61:Q63">
    <cfRule type="containsText" dxfId="312" priority="81" operator="containsText" text="RIESGO EXTREMO">
      <formula>NOT(ISERROR(SEARCH("RIESGO EXTREMO",Q61)))</formula>
    </cfRule>
    <cfRule type="containsText" dxfId="311" priority="82" operator="containsText" text="RIESGO ALTO">
      <formula>NOT(ISERROR(SEARCH("RIESGO ALTO",Q61)))</formula>
    </cfRule>
    <cfRule type="containsText" dxfId="310" priority="83" operator="containsText" text="RIESGO MODERADO">
      <formula>NOT(ISERROR(SEARCH("RIESGO MODERADO",Q61)))</formula>
    </cfRule>
    <cfRule type="containsText" dxfId="309" priority="84" operator="containsText" text="RIESGO BAJO">
      <formula>NOT(ISERROR(SEARCH("RIESGO BAJO",Q61)))</formula>
    </cfRule>
  </conditionalFormatting>
  <conditionalFormatting sqref="BB55:BB56 Q55:Q56">
    <cfRule type="containsText" dxfId="308" priority="221" operator="containsText" text="RIESGO EXTREMO">
      <formula>NOT(ISERROR(SEARCH("RIESGO EXTREMO",Q55)))</formula>
    </cfRule>
    <cfRule type="containsText" dxfId="307" priority="222" operator="containsText" text="RIESGO ALTO">
      <formula>NOT(ISERROR(SEARCH("RIESGO ALTO",Q55)))</formula>
    </cfRule>
    <cfRule type="containsText" dxfId="306" priority="223" operator="containsText" text="RIESGO MODERADO">
      <formula>NOT(ISERROR(SEARCH("RIESGO MODERADO",Q55)))</formula>
    </cfRule>
    <cfRule type="containsText" dxfId="305" priority="224" operator="containsText" text="RIESGO BAJO">
      <formula>NOT(ISERROR(SEARCH("RIESGO BAJO",Q55)))</formula>
    </cfRule>
  </conditionalFormatting>
  <conditionalFormatting sqref="J55:J56">
    <cfRule type="expression" dxfId="304" priority="220">
      <formula>EXACT(F55,"Seguridad_de_la_informacion")</formula>
    </cfRule>
  </conditionalFormatting>
  <conditionalFormatting sqref="BJ55:BJ56">
    <cfRule type="containsText" dxfId="303" priority="216" operator="containsText" text="RIESGO EXTREMO">
      <formula>NOT(ISERROR(SEARCH("RIESGO EXTREMO",BJ55)))</formula>
    </cfRule>
    <cfRule type="containsText" dxfId="302" priority="217" operator="containsText" text="RIESGO ALTO">
      <formula>NOT(ISERROR(SEARCH("RIESGO ALTO",BJ55)))</formula>
    </cfRule>
    <cfRule type="containsText" dxfId="301" priority="218" operator="containsText" text="RIESGO MODERADO">
      <formula>NOT(ISERROR(SEARCH("RIESGO MODERADO",BJ55)))</formula>
    </cfRule>
    <cfRule type="containsText" dxfId="300" priority="219" operator="containsText" text="RIESGO BAJO">
      <formula>NOT(ISERROR(SEARCH("RIESGO BAJO",BJ55)))</formula>
    </cfRule>
  </conditionalFormatting>
  <conditionalFormatting sqref="BD55:BD56">
    <cfRule type="containsText" dxfId="299" priority="212" operator="containsText" text="RIESGO EXTREMO">
      <formula>NOT(ISERROR(SEARCH("RIESGO EXTREMO",BD55)))</formula>
    </cfRule>
    <cfRule type="containsText" dxfId="298" priority="213" operator="containsText" text="RIESGO ALTO">
      <formula>NOT(ISERROR(SEARCH("RIESGO ALTO",BD55)))</formula>
    </cfRule>
    <cfRule type="containsText" dxfId="297" priority="214" operator="containsText" text="RIESGO MODERADO">
      <formula>NOT(ISERROR(SEARCH("RIESGO MODERADO",BD55)))</formula>
    </cfRule>
    <cfRule type="containsText" dxfId="296" priority="215" operator="containsText" text="RIESGO BAJO">
      <formula>NOT(ISERROR(SEARCH("RIESGO BAJO",BD55)))</formula>
    </cfRule>
  </conditionalFormatting>
  <conditionalFormatting sqref="BI55">
    <cfRule type="containsText" dxfId="295" priority="208" operator="containsText" text="RIESGO EXTREMO">
      <formula>NOT(ISERROR(SEARCH("RIESGO EXTREMO",BI55)))</formula>
    </cfRule>
    <cfRule type="containsText" dxfId="294" priority="209" operator="containsText" text="RIESGO ALTO">
      <formula>NOT(ISERROR(SEARCH("RIESGO ALTO",BI55)))</formula>
    </cfRule>
    <cfRule type="containsText" dxfId="293" priority="210" operator="containsText" text="RIESGO MODERADO">
      <formula>NOT(ISERROR(SEARCH("RIESGO MODERADO",BI55)))</formula>
    </cfRule>
    <cfRule type="containsText" dxfId="292" priority="211" operator="containsText" text="RIESGO BAJO">
      <formula>NOT(ISERROR(SEARCH("RIESGO BAJO",BI55)))</formula>
    </cfRule>
  </conditionalFormatting>
  <conditionalFormatting sqref="BD57:BD58">
    <cfRule type="containsText" dxfId="291" priority="170" operator="containsText" text="RIESGO EXTREMO">
      <formula>NOT(ISERROR(SEARCH("RIESGO EXTREMO",BD57)))</formula>
    </cfRule>
    <cfRule type="containsText" dxfId="290" priority="171" operator="containsText" text="RIESGO ALTO">
      <formula>NOT(ISERROR(SEARCH("RIESGO ALTO",BD57)))</formula>
    </cfRule>
    <cfRule type="containsText" dxfId="289" priority="172" operator="containsText" text="RIESGO MODERADO">
      <formula>NOT(ISERROR(SEARCH("RIESGO MODERADO",BD57)))</formula>
    </cfRule>
    <cfRule type="containsText" dxfId="288" priority="173" operator="containsText" text="RIESGO BAJO">
      <formula>NOT(ISERROR(SEARCH("RIESGO BAJO",BD57)))</formula>
    </cfRule>
  </conditionalFormatting>
  <conditionalFormatting sqref="BG57:BI58">
    <cfRule type="containsText" dxfId="287" priority="161" operator="containsText" text="RIESGO EXTREMO">
      <formula>NOT(ISERROR(SEARCH("RIESGO EXTREMO",BG57)))</formula>
    </cfRule>
    <cfRule type="containsText" dxfId="286" priority="162" operator="containsText" text="RIESGO ALTO">
      <formula>NOT(ISERROR(SEARCH("RIESGO ALTO",BG57)))</formula>
    </cfRule>
    <cfRule type="containsText" dxfId="285" priority="163" operator="containsText" text="RIESGO MODERADO">
      <formula>NOT(ISERROR(SEARCH("RIESGO MODERADO",BG57)))</formula>
    </cfRule>
    <cfRule type="containsText" dxfId="284" priority="164" operator="containsText" text="RIESGO BAJO">
      <formula>NOT(ISERROR(SEARCH("RIESGO BAJO",BG57)))</formula>
    </cfRule>
  </conditionalFormatting>
  <conditionalFormatting sqref="BB57:BB58 BE57:BE58">
    <cfRule type="containsText" dxfId="283" priority="179" operator="containsText" text="RIESGO EXTREMO">
      <formula>NOT(ISERROR(SEARCH("RIESGO EXTREMO",BB57)))</formula>
    </cfRule>
    <cfRule type="containsText" dxfId="282" priority="180" operator="containsText" text="RIESGO ALTO">
      <formula>NOT(ISERROR(SEARCH("RIESGO ALTO",BB57)))</formula>
    </cfRule>
    <cfRule type="containsText" dxfId="281" priority="181" operator="containsText" text="RIESGO MODERADO">
      <formula>NOT(ISERROR(SEARCH("RIESGO MODERADO",BB57)))</formula>
    </cfRule>
    <cfRule type="containsText" dxfId="280" priority="182" operator="containsText" text="RIESGO BAJO">
      <formula>NOT(ISERROR(SEARCH("RIESGO BAJO",BB57)))</formula>
    </cfRule>
  </conditionalFormatting>
  <conditionalFormatting sqref="J57:J58">
    <cfRule type="expression" dxfId="279" priority="178">
      <formula>EXACT(F57,"Seguridad_de_la_informacion")</formula>
    </cfRule>
  </conditionalFormatting>
  <conditionalFormatting sqref="BJ57:BJ58">
    <cfRule type="containsText" dxfId="278" priority="174" operator="containsText" text="RIESGO EXTREMO">
      <formula>NOT(ISERROR(SEARCH("RIESGO EXTREMO",BJ57)))</formula>
    </cfRule>
    <cfRule type="containsText" dxfId="277" priority="175" operator="containsText" text="RIESGO ALTO">
      <formula>NOT(ISERROR(SEARCH("RIESGO ALTO",BJ57)))</formula>
    </cfRule>
    <cfRule type="containsText" dxfId="276" priority="176" operator="containsText" text="RIESGO MODERADO">
      <formula>NOT(ISERROR(SEARCH("RIESGO MODERADO",BJ57)))</formula>
    </cfRule>
    <cfRule type="containsText" dxfId="275" priority="177" operator="containsText" text="RIESGO BAJO">
      <formula>NOT(ISERROR(SEARCH("RIESGO BAJO",BJ57)))</formula>
    </cfRule>
  </conditionalFormatting>
  <conditionalFormatting sqref="BD61:BD63">
    <cfRule type="containsText" dxfId="274" priority="98" operator="containsText" text="RIESGO EXTREMO">
      <formula>NOT(ISERROR(SEARCH("RIESGO EXTREMO",BD61)))</formula>
    </cfRule>
    <cfRule type="containsText" dxfId="273" priority="99" operator="containsText" text="RIESGO ALTO">
      <formula>NOT(ISERROR(SEARCH("RIESGO ALTO",BD61)))</formula>
    </cfRule>
    <cfRule type="containsText" dxfId="272" priority="100" operator="containsText" text="RIESGO MODERADO">
      <formula>NOT(ISERROR(SEARCH("RIESGO MODERADO",BD61)))</formula>
    </cfRule>
    <cfRule type="containsText" dxfId="271" priority="101" operator="containsText" text="RIESGO BAJO">
      <formula>NOT(ISERROR(SEARCH("RIESGO BAJO",BD61)))</formula>
    </cfRule>
  </conditionalFormatting>
  <conditionalFormatting sqref="I57:I58">
    <cfRule type="expression" dxfId="270" priority="169">
      <formula>EXACT(F57,"Seguridad_de_la_informacion")</formula>
    </cfRule>
  </conditionalFormatting>
  <conditionalFormatting sqref="BG59:BH59 BH60:BI60">
    <cfRule type="containsText" dxfId="269" priority="127" operator="containsText" text="RIESGO EXTREMO">
      <formula>NOT(ISERROR(SEARCH("RIESGO EXTREMO",BG59)))</formula>
    </cfRule>
    <cfRule type="containsText" dxfId="268" priority="128" operator="containsText" text="RIESGO ALTO">
      <formula>NOT(ISERROR(SEARCH("RIESGO ALTO",BG59)))</formula>
    </cfRule>
    <cfRule type="containsText" dxfId="267" priority="129" operator="containsText" text="RIESGO MODERADO">
      <formula>NOT(ISERROR(SEARCH("RIESGO MODERADO",BG59)))</formula>
    </cfRule>
    <cfRule type="containsText" dxfId="266" priority="130" operator="containsText" text="RIESGO BAJO">
      <formula>NOT(ISERROR(SEARCH("RIESGO BAJO",BG59)))</formula>
    </cfRule>
  </conditionalFormatting>
  <conditionalFormatting sqref="BG61 BH61:BI63">
    <cfRule type="containsText" dxfId="265" priority="89" operator="containsText" text="RIESGO EXTREMO">
      <formula>NOT(ISERROR(SEARCH("RIESGO EXTREMO",BG61)))</formula>
    </cfRule>
    <cfRule type="containsText" dxfId="264" priority="90" operator="containsText" text="RIESGO ALTO">
      <formula>NOT(ISERROR(SEARCH("RIESGO ALTO",BG61)))</formula>
    </cfRule>
    <cfRule type="containsText" dxfId="263" priority="91" operator="containsText" text="RIESGO MODERADO">
      <formula>NOT(ISERROR(SEARCH("RIESGO MODERADO",BG61)))</formula>
    </cfRule>
    <cfRule type="containsText" dxfId="262" priority="92" operator="containsText" text="RIESGO BAJO">
      <formula>NOT(ISERROR(SEARCH("RIESGO BAJO",BG61)))</formula>
    </cfRule>
  </conditionalFormatting>
  <conditionalFormatting sqref="BB59:BB60 BE59:BE60">
    <cfRule type="containsText" dxfId="261" priority="145" operator="containsText" text="RIESGO EXTREMO">
      <formula>NOT(ISERROR(SEARCH("RIESGO EXTREMO",BB59)))</formula>
    </cfRule>
    <cfRule type="containsText" dxfId="260" priority="146" operator="containsText" text="RIESGO ALTO">
      <formula>NOT(ISERROR(SEARCH("RIESGO ALTO",BB59)))</formula>
    </cfRule>
    <cfRule type="containsText" dxfId="259" priority="147" operator="containsText" text="RIESGO MODERADO">
      <formula>NOT(ISERROR(SEARCH("RIESGO MODERADO",BB59)))</formula>
    </cfRule>
    <cfRule type="containsText" dxfId="258" priority="148" operator="containsText" text="RIESGO BAJO">
      <formula>NOT(ISERROR(SEARCH("RIESGO BAJO",BB59)))</formula>
    </cfRule>
  </conditionalFormatting>
  <conditionalFormatting sqref="J59:J60">
    <cfRule type="expression" dxfId="257" priority="144">
      <formula>EXACT(F59,"Seguridad_de_la_informacion")</formula>
    </cfRule>
  </conditionalFormatting>
  <conditionalFormatting sqref="BJ59:BJ60">
    <cfRule type="containsText" dxfId="256" priority="140" operator="containsText" text="RIESGO EXTREMO">
      <formula>NOT(ISERROR(SEARCH("RIESGO EXTREMO",BJ59)))</formula>
    </cfRule>
    <cfRule type="containsText" dxfId="255" priority="141" operator="containsText" text="RIESGO ALTO">
      <formula>NOT(ISERROR(SEARCH("RIESGO ALTO",BJ59)))</formula>
    </cfRule>
    <cfRule type="containsText" dxfId="254" priority="142" operator="containsText" text="RIESGO MODERADO">
      <formula>NOT(ISERROR(SEARCH("RIESGO MODERADO",BJ59)))</formula>
    </cfRule>
    <cfRule type="containsText" dxfId="253" priority="143" operator="containsText" text="RIESGO BAJO">
      <formula>NOT(ISERROR(SEARCH("RIESGO BAJO",BJ59)))</formula>
    </cfRule>
  </conditionalFormatting>
  <conditionalFormatting sqref="BD59:BD60">
    <cfRule type="containsText" dxfId="252" priority="136" operator="containsText" text="RIESGO EXTREMO">
      <formula>NOT(ISERROR(SEARCH("RIESGO EXTREMO",BD59)))</formula>
    </cfRule>
    <cfRule type="containsText" dxfId="251" priority="137" operator="containsText" text="RIESGO ALTO">
      <formula>NOT(ISERROR(SEARCH("RIESGO ALTO",BD59)))</formula>
    </cfRule>
    <cfRule type="containsText" dxfId="250" priority="138" operator="containsText" text="RIESGO MODERADO">
      <formula>NOT(ISERROR(SEARCH("RIESGO MODERADO",BD59)))</formula>
    </cfRule>
    <cfRule type="containsText" dxfId="249" priority="139" operator="containsText" text="RIESGO BAJO">
      <formula>NOT(ISERROR(SEARCH("RIESGO BAJO",BD59)))</formula>
    </cfRule>
  </conditionalFormatting>
  <conditionalFormatting sqref="I59:I60">
    <cfRule type="expression" dxfId="248" priority="135">
      <formula>EXACT(F59,"Seguridad_de_la_informacion")</formula>
    </cfRule>
  </conditionalFormatting>
  <conditionalFormatting sqref="AZ59:BA59">
    <cfRule type="containsText" dxfId="247" priority="131" operator="containsText" text="RIESGO EXTREMO">
      <formula>NOT(ISERROR(SEARCH("RIESGO EXTREMO",AZ59)))</formula>
    </cfRule>
    <cfRule type="containsText" dxfId="246" priority="132" operator="containsText" text="RIESGO ALTO">
      <formula>NOT(ISERROR(SEARCH("RIESGO ALTO",AZ59)))</formula>
    </cfRule>
    <cfRule type="containsText" dxfId="245" priority="133" operator="containsText" text="RIESGO MODERADO">
      <formula>NOT(ISERROR(SEARCH("RIESGO MODERADO",AZ59)))</formula>
    </cfRule>
    <cfRule type="containsText" dxfId="244" priority="134" operator="containsText" text="RIESGO BAJO">
      <formula>NOT(ISERROR(SEARCH("RIESGO BAJO",AZ59)))</formula>
    </cfRule>
  </conditionalFormatting>
  <conditionalFormatting sqref="AZ61:BA61">
    <cfRule type="containsText" dxfId="243" priority="93" operator="containsText" text="RIESGO EXTREMO">
      <formula>NOT(ISERROR(SEARCH("RIESGO EXTREMO",AZ61)))</formula>
    </cfRule>
    <cfRule type="containsText" dxfId="242" priority="94" operator="containsText" text="RIESGO ALTO">
      <formula>NOT(ISERROR(SEARCH("RIESGO ALTO",AZ61)))</formula>
    </cfRule>
    <cfRule type="containsText" dxfId="241" priority="95" operator="containsText" text="RIESGO MODERADO">
      <formula>NOT(ISERROR(SEARCH("RIESGO MODERADO",AZ61)))</formula>
    </cfRule>
    <cfRule type="containsText" dxfId="240" priority="96" operator="containsText" text="RIESGO BAJO">
      <formula>NOT(ISERROR(SEARCH("RIESGO BAJO",AZ61)))</formula>
    </cfRule>
  </conditionalFormatting>
  <conditionalFormatting sqref="BB61:BB63 BE61:BE63">
    <cfRule type="containsText" dxfId="239" priority="107" operator="containsText" text="RIESGO EXTREMO">
      <formula>NOT(ISERROR(SEARCH("RIESGO EXTREMO",BB61)))</formula>
    </cfRule>
    <cfRule type="containsText" dxfId="238" priority="108" operator="containsText" text="RIESGO ALTO">
      <formula>NOT(ISERROR(SEARCH("RIESGO ALTO",BB61)))</formula>
    </cfRule>
    <cfRule type="containsText" dxfId="237" priority="109" operator="containsText" text="RIESGO MODERADO">
      <formula>NOT(ISERROR(SEARCH("RIESGO MODERADO",BB61)))</formula>
    </cfRule>
    <cfRule type="containsText" dxfId="236" priority="110" operator="containsText" text="RIESGO BAJO">
      <formula>NOT(ISERROR(SEARCH("RIESGO BAJO",BB61)))</formula>
    </cfRule>
  </conditionalFormatting>
  <conditionalFormatting sqref="J61:J63">
    <cfRule type="expression" dxfId="235" priority="106">
      <formula>EXACT(F61,"Seguridad_de_la_informacion")</formula>
    </cfRule>
  </conditionalFormatting>
  <conditionalFormatting sqref="BJ61:BJ63">
    <cfRule type="containsText" dxfId="234" priority="102" operator="containsText" text="RIESGO EXTREMO">
      <formula>NOT(ISERROR(SEARCH("RIESGO EXTREMO",BJ61)))</formula>
    </cfRule>
    <cfRule type="containsText" dxfId="233" priority="103" operator="containsText" text="RIESGO ALTO">
      <formula>NOT(ISERROR(SEARCH("RIESGO ALTO",BJ61)))</formula>
    </cfRule>
    <cfRule type="containsText" dxfId="232" priority="104" operator="containsText" text="RIESGO MODERADO">
      <formula>NOT(ISERROR(SEARCH("RIESGO MODERADO",BJ61)))</formula>
    </cfRule>
    <cfRule type="containsText" dxfId="231" priority="105" operator="containsText" text="RIESGO BAJO">
      <formula>NOT(ISERROR(SEARCH("RIESGO BAJO",BJ61)))</formula>
    </cfRule>
  </conditionalFormatting>
  <conditionalFormatting sqref="I61:I62">
    <cfRule type="expression" dxfId="230" priority="97">
      <formula>EXACT(F61,"Seguridad_de_la_informacion")</formula>
    </cfRule>
  </conditionalFormatting>
  <conditionalFormatting sqref="J64:J66">
    <cfRule type="expression" dxfId="229" priority="76">
      <formula>EXACT(F64,"Seguridad_de_la_informacion")</formula>
    </cfRule>
  </conditionalFormatting>
  <conditionalFormatting sqref="Q64:Q66">
    <cfRule type="containsText" dxfId="228" priority="72" operator="containsText" text="RIESGO EXTREMO">
      <formula>NOT(ISERROR(SEARCH("RIESGO EXTREMO",Q64)))</formula>
    </cfRule>
    <cfRule type="containsText" dxfId="227" priority="73" operator="containsText" text="RIESGO ALTO">
      <formula>NOT(ISERROR(SEARCH("RIESGO ALTO",Q64)))</formula>
    </cfRule>
    <cfRule type="containsText" dxfId="226" priority="74" operator="containsText" text="RIESGO MODERADO">
      <formula>NOT(ISERROR(SEARCH("RIESGO MODERADO",Q64)))</formula>
    </cfRule>
    <cfRule type="containsText" dxfId="225" priority="75" operator="containsText" text="RIESGO BAJO">
      <formula>NOT(ISERROR(SEARCH("RIESGO BAJO",Q64)))</formula>
    </cfRule>
  </conditionalFormatting>
  <conditionalFormatting sqref="I64:I65">
    <cfRule type="expression" dxfId="224" priority="71">
      <formula>EXACT(F64,"Seguridad_de_la_informacion")</formula>
    </cfRule>
  </conditionalFormatting>
  <conditionalFormatting sqref="AZ64:BA64 AZ65:AZ66">
    <cfRule type="containsText" dxfId="223" priority="67" operator="containsText" text="RIESGO EXTREMO">
      <formula>NOT(ISERROR(SEARCH("RIESGO EXTREMO",AZ64)))</formula>
    </cfRule>
    <cfRule type="containsText" dxfId="222" priority="68" operator="containsText" text="RIESGO ALTO">
      <formula>NOT(ISERROR(SEARCH("RIESGO ALTO",AZ64)))</formula>
    </cfRule>
    <cfRule type="containsText" dxfId="221" priority="69" operator="containsText" text="RIESGO MODERADO">
      <formula>NOT(ISERROR(SEARCH("RIESGO MODERADO",AZ64)))</formula>
    </cfRule>
    <cfRule type="containsText" dxfId="220" priority="70" operator="containsText" text="RIESGO BAJO">
      <formula>NOT(ISERROR(SEARCH("RIESGO BAJO",AZ64)))</formula>
    </cfRule>
  </conditionalFormatting>
  <conditionalFormatting sqref="BB64:BD64">
    <cfRule type="containsText" dxfId="219" priority="63" operator="containsText" text="RIESGO EXTREMO">
      <formula>NOT(ISERROR(SEARCH("RIESGO EXTREMO",BB64)))</formula>
    </cfRule>
    <cfRule type="containsText" dxfId="218" priority="64" operator="containsText" text="RIESGO ALTO">
      <formula>NOT(ISERROR(SEARCH("RIESGO ALTO",BB64)))</formula>
    </cfRule>
    <cfRule type="containsText" dxfId="217" priority="65" operator="containsText" text="RIESGO MODERADO">
      <formula>NOT(ISERROR(SEARCH("RIESGO MODERADO",BB64)))</formula>
    </cfRule>
    <cfRule type="containsText" dxfId="216" priority="66" operator="containsText" text="RIESGO BAJO">
      <formula>NOT(ISERROR(SEARCH("RIESGO BAJO",BB64)))</formula>
    </cfRule>
  </conditionalFormatting>
  <conditionalFormatting sqref="BB65">
    <cfRule type="containsText" dxfId="215" priority="59" operator="containsText" text="RIESGO EXTREMO">
      <formula>NOT(ISERROR(SEARCH("RIESGO EXTREMO",BB65)))</formula>
    </cfRule>
    <cfRule type="containsText" dxfId="214" priority="60" operator="containsText" text="RIESGO ALTO">
      <formula>NOT(ISERROR(SEARCH("RIESGO ALTO",BB65)))</formula>
    </cfRule>
    <cfRule type="containsText" dxfId="213" priority="61" operator="containsText" text="RIESGO MODERADO">
      <formula>NOT(ISERROR(SEARCH("RIESGO MODERADO",BB65)))</formula>
    </cfRule>
    <cfRule type="containsText" dxfId="212" priority="62" operator="containsText" text="RIESGO BAJO">
      <formula>NOT(ISERROR(SEARCH("RIESGO BAJO",BB65)))</formula>
    </cfRule>
  </conditionalFormatting>
  <conditionalFormatting sqref="BD65">
    <cfRule type="containsText" dxfId="211" priority="55" operator="containsText" text="RIESGO EXTREMO">
      <formula>NOT(ISERROR(SEARCH("RIESGO EXTREMO",BD65)))</formula>
    </cfRule>
    <cfRule type="containsText" dxfId="210" priority="56" operator="containsText" text="RIESGO ALTO">
      <formula>NOT(ISERROR(SEARCH("RIESGO ALTO",BD65)))</formula>
    </cfRule>
    <cfRule type="containsText" dxfId="209" priority="57" operator="containsText" text="RIESGO MODERADO">
      <formula>NOT(ISERROR(SEARCH("RIESGO MODERADO",BD65)))</formula>
    </cfRule>
    <cfRule type="containsText" dxfId="208" priority="58" operator="containsText" text="RIESGO BAJO">
      <formula>NOT(ISERROR(SEARCH("RIESGO BAJO",BD65)))</formula>
    </cfRule>
  </conditionalFormatting>
  <conditionalFormatting sqref="AZ69">
    <cfRule type="containsText" dxfId="207" priority="51" operator="containsText" text="RIESGO EXTREMO">
      <formula>NOT(ISERROR(SEARCH("RIESGO EXTREMO",AZ69)))</formula>
    </cfRule>
    <cfRule type="containsText" dxfId="206" priority="52" operator="containsText" text="RIESGO ALTO">
      <formula>NOT(ISERROR(SEARCH("RIESGO ALTO",AZ69)))</formula>
    </cfRule>
    <cfRule type="containsText" dxfId="205" priority="53" operator="containsText" text="RIESGO MODERADO">
      <formula>NOT(ISERROR(SEARCH("RIESGO MODERADO",AZ69)))</formula>
    </cfRule>
    <cfRule type="containsText" dxfId="204" priority="54" operator="containsText" text="RIESGO BAJO">
      <formula>NOT(ISERROR(SEARCH("RIESGO BAJO",AZ69)))</formula>
    </cfRule>
  </conditionalFormatting>
  <conditionalFormatting sqref="Q69">
    <cfRule type="containsText" dxfId="203" priority="43" operator="containsText" text="RIESGO EXTREMO">
      <formula>NOT(ISERROR(SEARCH("RIESGO EXTREMO",Q69)))</formula>
    </cfRule>
    <cfRule type="containsText" dxfId="202" priority="44" operator="containsText" text="RIESGO ALTO">
      <formula>NOT(ISERROR(SEARCH("RIESGO ALTO",Q69)))</formula>
    </cfRule>
    <cfRule type="containsText" dxfId="201" priority="45" operator="containsText" text="RIESGO MODERADO">
      <formula>NOT(ISERROR(SEARCH("RIESGO MODERADO",Q69)))</formula>
    </cfRule>
    <cfRule type="containsText" dxfId="200" priority="46" operator="containsText" text="RIESGO BAJO">
      <formula>NOT(ISERROR(SEARCH("RIESGO BAJO",Q69)))</formula>
    </cfRule>
  </conditionalFormatting>
  <conditionalFormatting sqref="BA69">
    <cfRule type="containsText" dxfId="199" priority="39" operator="containsText" text="RIESGO EXTREMO">
      <formula>NOT(ISERROR(SEARCH("RIESGO EXTREMO",BA69)))</formula>
    </cfRule>
    <cfRule type="containsText" dxfId="198" priority="40" operator="containsText" text="RIESGO ALTO">
      <formula>NOT(ISERROR(SEARCH("RIESGO ALTO",BA69)))</formula>
    </cfRule>
    <cfRule type="containsText" dxfId="197" priority="41" operator="containsText" text="RIESGO MODERADO">
      <formula>NOT(ISERROR(SEARCH("RIESGO MODERADO",BA69)))</formula>
    </cfRule>
    <cfRule type="containsText" dxfId="196" priority="42" operator="containsText" text="RIESGO BAJO">
      <formula>NOT(ISERROR(SEARCH("RIESGO BAJO",BA69)))</formula>
    </cfRule>
  </conditionalFormatting>
  <conditionalFormatting sqref="BB69">
    <cfRule type="containsText" dxfId="195" priority="35" operator="containsText" text="RIESGO EXTREMO">
      <formula>NOT(ISERROR(SEARCH("RIESGO EXTREMO",BB69)))</formula>
    </cfRule>
    <cfRule type="containsText" dxfId="194" priority="36" operator="containsText" text="RIESGO ALTO">
      <formula>NOT(ISERROR(SEARCH("RIESGO ALTO",BB69)))</formula>
    </cfRule>
    <cfRule type="containsText" dxfId="193" priority="37" operator="containsText" text="RIESGO MODERADO">
      <formula>NOT(ISERROR(SEARCH("RIESGO MODERADO",BB69)))</formula>
    </cfRule>
    <cfRule type="containsText" dxfId="192" priority="38" operator="containsText" text="RIESGO BAJO">
      <formula>NOT(ISERROR(SEARCH("RIESGO BAJO",BB69)))</formula>
    </cfRule>
  </conditionalFormatting>
  <conditionalFormatting sqref="BC69">
    <cfRule type="containsText" dxfId="191" priority="31" operator="containsText" text="RIESGO EXTREMO">
      <formula>NOT(ISERROR(SEARCH("RIESGO EXTREMO",BC69)))</formula>
    </cfRule>
    <cfRule type="containsText" dxfId="190" priority="32" operator="containsText" text="RIESGO ALTO">
      <formula>NOT(ISERROR(SEARCH("RIESGO ALTO",BC69)))</formula>
    </cfRule>
    <cfRule type="containsText" dxfId="189" priority="33" operator="containsText" text="RIESGO MODERADO">
      <formula>NOT(ISERROR(SEARCH("RIESGO MODERADO",BC69)))</formula>
    </cfRule>
    <cfRule type="containsText" dxfId="188" priority="34" operator="containsText" text="RIESGO BAJO">
      <formula>NOT(ISERROR(SEARCH("RIESGO BAJO",BC69)))</formula>
    </cfRule>
  </conditionalFormatting>
  <conditionalFormatting sqref="BD69">
    <cfRule type="containsText" dxfId="187" priority="27" operator="containsText" text="RIESGO EXTREMO">
      <formula>NOT(ISERROR(SEARCH("RIESGO EXTREMO",BD69)))</formula>
    </cfRule>
    <cfRule type="containsText" dxfId="186" priority="28" operator="containsText" text="RIESGO ALTO">
      <formula>NOT(ISERROR(SEARCH("RIESGO ALTO",BD69)))</formula>
    </cfRule>
    <cfRule type="containsText" dxfId="185" priority="29" operator="containsText" text="RIESGO MODERADO">
      <formula>NOT(ISERROR(SEARCH("RIESGO MODERADO",BD69)))</formula>
    </cfRule>
    <cfRule type="containsText" dxfId="184" priority="30" operator="containsText" text="RIESGO BAJO">
      <formula>NOT(ISERROR(SEARCH("RIESGO BAJO",BD69)))</formula>
    </cfRule>
  </conditionalFormatting>
  <conditionalFormatting sqref="BE69">
    <cfRule type="containsText" dxfId="183" priority="23" operator="containsText" text="RIESGO EXTREMO">
      <formula>NOT(ISERROR(SEARCH("RIESGO EXTREMO",BE69)))</formula>
    </cfRule>
    <cfRule type="containsText" dxfId="182" priority="24" operator="containsText" text="RIESGO ALTO">
      <formula>NOT(ISERROR(SEARCH("RIESGO ALTO",BE69)))</formula>
    </cfRule>
    <cfRule type="containsText" dxfId="181" priority="25" operator="containsText" text="RIESGO MODERADO">
      <formula>NOT(ISERROR(SEARCH("RIESGO MODERADO",BE69)))</formula>
    </cfRule>
    <cfRule type="containsText" dxfId="180" priority="26" operator="containsText" text="RIESGO BAJO">
      <formula>NOT(ISERROR(SEARCH("RIESGO BAJO",BE69)))</formula>
    </cfRule>
  </conditionalFormatting>
  <conditionalFormatting sqref="BF69">
    <cfRule type="containsText" dxfId="179" priority="19" operator="containsText" text="RIESGO EXTREMO">
      <formula>NOT(ISERROR(SEARCH("RIESGO EXTREMO",BF69)))</formula>
    </cfRule>
    <cfRule type="containsText" dxfId="178" priority="20" operator="containsText" text="RIESGO ALTO">
      <formula>NOT(ISERROR(SEARCH("RIESGO ALTO",BF69)))</formula>
    </cfRule>
    <cfRule type="containsText" dxfId="177" priority="21" operator="containsText" text="RIESGO MODERADO">
      <formula>NOT(ISERROR(SEARCH("RIESGO MODERADO",BF69)))</formula>
    </cfRule>
    <cfRule type="containsText" dxfId="176" priority="22" operator="containsText" text="RIESGO BAJO">
      <formula>NOT(ISERROR(SEARCH("RIESGO BAJO",BF69)))</formula>
    </cfRule>
  </conditionalFormatting>
  <conditionalFormatting sqref="BG69">
    <cfRule type="containsText" dxfId="175" priority="15" operator="containsText" text="RIESGO EXTREMO">
      <formula>NOT(ISERROR(SEARCH("RIESGO EXTREMO",BG69)))</formula>
    </cfRule>
    <cfRule type="containsText" dxfId="174" priority="16" operator="containsText" text="RIESGO ALTO">
      <formula>NOT(ISERROR(SEARCH("RIESGO ALTO",BG69)))</formula>
    </cfRule>
    <cfRule type="containsText" dxfId="173" priority="17" operator="containsText" text="RIESGO MODERADO">
      <formula>NOT(ISERROR(SEARCH("RIESGO MODERADO",BG69)))</formula>
    </cfRule>
    <cfRule type="containsText" dxfId="172" priority="18" operator="containsText" text="RIESGO BAJO">
      <formula>NOT(ISERROR(SEARCH("RIESGO BAJO",BG69)))</formula>
    </cfRule>
  </conditionalFormatting>
  <conditionalFormatting sqref="BH69">
    <cfRule type="containsText" dxfId="171" priority="11" operator="containsText" text="RIESGO EXTREMO">
      <formula>NOT(ISERROR(SEARCH("RIESGO EXTREMO",BH69)))</formula>
    </cfRule>
    <cfRule type="containsText" dxfId="170" priority="12" operator="containsText" text="RIESGO ALTO">
      <formula>NOT(ISERROR(SEARCH("RIESGO ALTO",BH69)))</formula>
    </cfRule>
    <cfRule type="containsText" dxfId="169" priority="13" operator="containsText" text="RIESGO MODERADO">
      <formula>NOT(ISERROR(SEARCH("RIESGO MODERADO",BH69)))</formula>
    </cfRule>
    <cfRule type="containsText" dxfId="168" priority="14" operator="containsText" text="RIESGO BAJO">
      <formula>NOT(ISERROR(SEARCH("RIESGO BAJO",BH69)))</formula>
    </cfRule>
  </conditionalFormatting>
  <conditionalFormatting sqref="BJ69">
    <cfRule type="containsText" dxfId="167" priority="7" operator="containsText" text="RIESGO EXTREMO">
      <formula>NOT(ISERROR(SEARCH("RIESGO EXTREMO",BJ69)))</formula>
    </cfRule>
    <cfRule type="containsText" dxfId="166" priority="8" operator="containsText" text="RIESGO ALTO">
      <formula>NOT(ISERROR(SEARCH("RIESGO ALTO",BJ69)))</formula>
    </cfRule>
    <cfRule type="containsText" dxfId="165" priority="9" operator="containsText" text="RIESGO MODERADO">
      <formula>NOT(ISERROR(SEARCH("RIESGO MODERADO",BJ69)))</formula>
    </cfRule>
    <cfRule type="containsText" dxfId="164" priority="10" operator="containsText" text="RIESGO BAJO">
      <formula>NOT(ISERROR(SEARCH("RIESGO BAJO",BJ69)))</formula>
    </cfRule>
  </conditionalFormatting>
  <conditionalFormatting sqref="BI69">
    <cfRule type="containsText" dxfId="163" priority="3" operator="containsText" text="RIESGO EXTREMO">
      <formula>NOT(ISERROR(SEARCH("RIESGO EXTREMO",BI69)))</formula>
    </cfRule>
    <cfRule type="containsText" dxfId="162" priority="4" operator="containsText" text="RIESGO ALTO">
      <formula>NOT(ISERROR(SEARCH("RIESGO ALTO",BI69)))</formula>
    </cfRule>
    <cfRule type="containsText" dxfId="161" priority="5" operator="containsText" text="RIESGO MODERADO">
      <formula>NOT(ISERROR(SEARCH("RIESGO MODERADO",BI69)))</formula>
    </cfRule>
    <cfRule type="containsText" dxfId="160" priority="6" operator="containsText" text="RIESGO BAJO">
      <formula>NOT(ISERROR(SEARCH("RIESGO BAJO",BI69)))</formula>
    </cfRule>
  </conditionalFormatting>
  <conditionalFormatting sqref="I69">
    <cfRule type="expression" dxfId="159" priority="2">
      <formula>EXACT(F69,"Seguridad_de_la_informacion")</formula>
    </cfRule>
  </conditionalFormatting>
  <conditionalFormatting sqref="J69">
    <cfRule type="expression" dxfId="158" priority="1">
      <formula>EXACT(G69,"Seguridad_de_la_informacion")</formula>
    </cfRule>
  </conditionalFormatting>
  <dataValidations count="29">
    <dataValidation type="list" allowBlank="1" showInputMessage="1" showErrorMessage="1" sqref="O74:P76 O11:O15 AX27 AW15 AX11:AX14 O27 AX39 AX41 O41:O46 AX46:AX48 AX51 O48:O53 AX53:AX55 AX57 AX59 AX61 AX71:AX76 O55:O69 O71:O73 AX69 AX64:AX68">
      <formula1>INDIRECT($M$11)</formula1>
    </dataValidation>
    <dataValidation allowBlank="1" showInputMessage="1" showErrorMessage="1" prompt="Relacione el activo de información donde el nivel de criticidad corresponde a &quot;Crítico&quot;" sqref="H11:H13 H48:H53 H15 H27 H39 H41:H46 H55:H69 H71:H73"/>
    <dataValidation type="list" allowBlank="1" showInputMessage="1" showErrorMessage="1" prompt="Solo aplica para los riesgos tipificados como seguridad de la información" sqref="I11:I13 I41:I46 I15 I27 I39 I48:I53 I55:I69 I71:I72">
      <formula1>tipo_de_amenaza</formula1>
    </dataValidation>
    <dataValidation type="list" allowBlank="1" showInputMessage="1" showErrorMessage="1" prompt="Seleccione la amenaza de acuerdo con el tipo seleccionado" sqref="J13 J27 J39 J15 J67:J68">
      <formula1>INDIRECT($I$11)</formula1>
    </dataValidation>
    <dataValidation allowBlank="1" showInputMessage="1" showErrorMessage="1" prompt="Causa: todos aquellos factores internos y externos que solos o en convinación de otros, pueden producir la materialización del riesgo._x000a_Vulnerabilidad: representa la devilidad de un activo o un control que puede ser explotada por una o mas amenazas." sqref="K71:K72 K11:K15 K19 K23 K35 K27 K31 K39:K69"/>
    <dataValidation allowBlank="1" showInputMessage="1" showErrorMessage="1" prompt="Para cada causa debe existir un control" sqref="S11 R35 S73 S39 R11:R15 R23 R19 R31 R27 S41 S45:S46 S48 S51 S53 S55 S57 S59 S61 S64 R39:R73 S67:S71"/>
    <dataValidation type="list" allowBlank="1" showInputMessage="1" showErrorMessage="1" prompt="Seleccione el tipo de riesgo conforme a las categorias." sqref="F11:F12">
      <formula1>A</formula1>
    </dataValidation>
    <dataValidation type="list" allowBlank="1" showInputMessage="1" showErrorMessage="1" prompt="Seleccione la amenaza de acuerdo con el tipo seleccionado" sqref="J71">
      <formula1>INDIRECT($I$13)</formula1>
    </dataValidation>
    <dataValidation type="list" allowBlank="1" showInputMessage="1" showErrorMessage="1" sqref="X74:X76 AF74:AF76 AB74:AB76 V74:V76 Z74:Z76 T74:T76 AD74:AD76">
      <formula1>"SI,NO"</formula1>
    </dataValidation>
    <dataValidation allowBlank="1" showInputMessage="1" showErrorMessage="1" prompt="Con base en el contexto interno y externo se identifica el riesgo, el cual estará asociado a aquellos eventos o situaciones que pueden entorpecer el normal desarrollo de los objetivos del proceso o institucionales." sqref="D55:D67 D71:D73 D48:D53 D11:D15 D27 D39 D41:D46 D69"/>
    <dataValidation allowBlank="1" showInputMessage="1" showErrorMessage="1" prompt="La descripción del riesgo se puede realizar a través de estas preguntas:_x000a_¿Qué puede suceder?_x000a_¿Cómo puede suceder?_x000a_¿Qué consecuencias tendría su materialización?" sqref="E55:E67 E71:E73 E48:E53 E11:E15 E27 E39 E41:E46 E69"/>
    <dataValidation type="list" allowBlank="1" showInputMessage="1" showErrorMessage="1" prompt="Seleccione la amenaza de acuerdo con el tipo seleccionado" sqref="J11:J12">
      <formula1>INDIRECT(#REF!)</formula1>
    </dataValidation>
    <dataValidation type="list" allowBlank="1" showInputMessage="1" showErrorMessage="1" prompt="Seleccione el tipo de riesgo conforme a las categorias." sqref="F13:F15 F27 F39 F41:F46 F48:F53 F55:F69 F71:F73">
      <formula1>tipo_de_riesgos</formula1>
    </dataValidation>
    <dataValidation type="list" allowBlank="1" showInputMessage="1" showErrorMessage="1" sqref="N11:N15 AW41 AW27 AV15 AW11:AW14 N27 AW39 N39 N41:N46 AW46:AW48 AW51 N48:N53 AW53:AW55 AW57 AW59 AW61 AW71:AW73 N55:N69 N71:N73 AW69 AW64:AW68">
      <formula1>probabilidad</formula1>
    </dataValidation>
    <dataValidation type="list" allowBlank="1" showInputMessage="1" showErrorMessage="1" sqref="B11:B15 B27 B39 B41 B46 B48 B51:B53 B55:B61 B64:B69 B71:B73">
      <formula1>procesos</formula1>
    </dataValidation>
    <dataValidation type="list" allowBlank="1" showInputMessage="1" showErrorMessage="1" sqref="T11:T15 T19 T23 T35 T27 T31 T39:T68 T71:T73 T69">
      <formula1>"Asignado,No asignado"</formula1>
    </dataValidation>
    <dataValidation type="list" allowBlank="1" showInputMessage="1" showErrorMessage="1" sqref="V11:V15 V19 V23 V35 V27 V31 V39:V68 V71:V73 V69">
      <formula1>"Adecuado,Inadecuado"</formula1>
    </dataValidation>
    <dataValidation type="list" allowBlank="1" showInputMessage="1" showErrorMessage="1" sqref="X11:X15 X19 X23 X35 X27 X31 X39:X68 X71:X73 X69">
      <formula1>"Oportuna,Inoportuna"</formula1>
    </dataValidation>
    <dataValidation type="list" allowBlank="1" showInputMessage="1" showErrorMessage="1" sqref="Z11:Z15 Z19 Z23 Z35 Z27 Z31 Z39:Z68 Z71:Z73 Z69">
      <formula1>"Prevenir,Detectar,No es un control"</formula1>
    </dataValidation>
    <dataValidation type="list" allowBlank="1" showInputMessage="1" showErrorMessage="1" sqref="AB11:AB15 AB19 AB23 AB35 AB27 AB31 AB39:AB68 AB71:AB73 AB69">
      <formula1>"Confiable,No confiable"</formula1>
    </dataValidation>
    <dataValidation type="list" allowBlank="1" showInputMessage="1" showErrorMessage="1" sqref="AD11:AD15 AD19 AD23 AD35 AD27 AD31 AD39:AD68 AD71:AD73 AD69">
      <formula1>"Se investigan y resuelven oportunamente,No se investigan y no se resuelven oportunamente"</formula1>
    </dataValidation>
    <dataValidation type="list" allowBlank="1" showInputMessage="1" showErrorMessage="1" sqref="AF11:AF15 AF19 AF23 AF35 AF27 AF31 AF39:AF68 AF71:AF73 AF69">
      <formula1>"Completa,Incompleta,No existe"</formula1>
    </dataValidation>
    <dataValidation type="list" allowBlank="1" showInputMessage="1" showErrorMessage="1" sqref="AJ11:AJ15 AJ19 AJ23 AJ35 AJ27 AJ31 AJ39:AJ68 AJ71:AJ73 AJ69">
      <formula1>"Siempre se ejecuta,Algunas veces,No se ejecuta"</formula1>
    </dataValidation>
    <dataValidation type="list" allowBlank="1" showInputMessage="1" showErrorMessage="1" sqref="BA27 BA11:BA15 BA39 BA41 BA46 BA48 BA51 BA53 BA55 BA57 BA59 BA61 BA71:BA73 BA69 BA64:BA68">
      <formula1>opciondelriesgo</formula1>
    </dataValidation>
    <dataValidation type="list" allowBlank="1" showInputMessage="1" showErrorMessage="1" prompt="Seleccione la tipología conforme al tipo de riesgo." sqref="G11:G15 G27 G39 G41:G46 G48:G53 G55:G69 G71:G73">
      <formula1>INDIRECT(F11)</formula1>
    </dataValidation>
    <dataValidation type="list" allowBlank="1" showInputMessage="1" showErrorMessage="1" sqref="AS11:AS14 AR15:AR26 AS27:AS41 AS46:AS48 AS51 AS53:AS55 AS57 AS59 AS61 AS71:AS73 AS69 AS64:AS68">
      <formula1>"Directamente,Indirectamente,No disminuye"</formula1>
    </dataValidation>
    <dataValidation type="list" allowBlank="1" showInputMessage="1" showErrorMessage="1" sqref="AR11:AR14 AQ15:AQ26 AR27:AR41 AR46:AR48 AR51 AR53:AR55 AR57 AR59 AR61 AR71:AR73 AR69 AR64:AR68">
      <formula1>"Directamente,No disminuye"</formula1>
    </dataValidation>
    <dataValidation type="list" allowBlank="1" showInputMessage="1" showErrorMessage="1" sqref="O39">
      <formula1>impacto</formula1>
    </dataValidation>
    <dataValidation allowBlank="1" showInputMessage="1" showErrorMessage="1" prompt="Seleccione la amenaza de acuerdo con el tipo seleccionado" sqref="J64:J66 J69"/>
  </dataValidations>
  <printOptions horizontalCentered="1"/>
  <pageMargins left="0.44270833333333331" right="0.94208333333333338" top="0.74803149606299213" bottom="0.74803149606299213" header="0.31496062992125984" footer="0.31496062992125984"/>
  <pageSetup paperSize="5" scale="34" orientation="landscape" r:id="rId1"/>
  <headerFooter>
    <oddHeader xml:space="preserve">&amp;L&amp;G
&amp;C&amp;"Arial,Negrita"&amp;18
FORMATO MAPA DE RIESGOS INSTITUCIONAL
&amp;"Arial,Normal"&amp;12
CÓDIGO: DESI-FM-017
FECHA DE APLICACIÓN: ENERO  DE 2019&amp;R
VERSIÓN : 1
 </oddHeader>
    <oddFooter>&amp;L&amp;"Arial,Normal"&amp;18     Calle 26 No. 57-41 Torre 8, Pisos 7-8 CEMSA - C.P. 111321
     Pbx: 3779555 – Información: Línea 195 
     www.umv.gov.co&amp;C&amp;"Arial,Normal"&amp;18DESI-FM-017
&amp;P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topLeftCell="B1" zoomScale="90" zoomScaleNormal="90" zoomScaleSheetLayoutView="90" workbookViewId="0">
      <selection activeCell="C8" sqref="C8"/>
    </sheetView>
  </sheetViews>
  <sheetFormatPr baseColWidth="10" defaultColWidth="11.42578125" defaultRowHeight="15" x14ac:dyDescent="0.25"/>
  <cols>
    <col min="1" max="1" width="3.140625" style="1" customWidth="1"/>
    <col min="2" max="2" width="27.42578125" style="1" customWidth="1"/>
    <col min="3" max="3" width="99.42578125" style="1" customWidth="1"/>
    <col min="4" max="4" width="2.42578125" style="1" customWidth="1"/>
    <col min="5" max="16384" width="11.42578125" style="1"/>
  </cols>
  <sheetData>
    <row r="1" spans="2:3" ht="27.75" customHeight="1" x14ac:dyDescent="0.25">
      <c r="B1" s="579" t="s">
        <v>1197</v>
      </c>
      <c r="C1" s="580"/>
    </row>
    <row r="2" spans="2:3" x14ac:dyDescent="0.25">
      <c r="B2" s="581" t="s">
        <v>1198</v>
      </c>
      <c r="C2" s="581"/>
    </row>
    <row r="3" spans="2:3" ht="59.25" customHeight="1" x14ac:dyDescent="0.25">
      <c r="B3" s="37" t="s">
        <v>1199</v>
      </c>
      <c r="C3" s="38" t="s">
        <v>1200</v>
      </c>
    </row>
    <row r="4" spans="2:3" ht="59.25" customHeight="1" x14ac:dyDescent="0.25">
      <c r="B4" s="37" t="s">
        <v>1201</v>
      </c>
      <c r="C4" s="38" t="s">
        <v>1202</v>
      </c>
    </row>
    <row r="5" spans="2:3" ht="59.25" customHeight="1" x14ac:dyDescent="0.25">
      <c r="B5" s="37" t="s">
        <v>1203</v>
      </c>
      <c r="C5" s="38" t="s">
        <v>1204</v>
      </c>
    </row>
    <row r="6" spans="2:3" ht="59.25" customHeight="1" x14ac:dyDescent="0.25">
      <c r="B6" s="37" t="s">
        <v>1205</v>
      </c>
      <c r="C6" s="38" t="s">
        <v>1206</v>
      </c>
    </row>
    <row r="7" spans="2:3" ht="59.25" customHeight="1" x14ac:dyDescent="0.25">
      <c r="B7" s="37" t="s">
        <v>1207</v>
      </c>
      <c r="C7" s="38" t="s">
        <v>1208</v>
      </c>
    </row>
    <row r="8" spans="2:3" ht="59.25" customHeight="1" x14ac:dyDescent="0.25">
      <c r="B8" s="37" t="s">
        <v>1209</v>
      </c>
      <c r="C8" s="38" t="s">
        <v>1210</v>
      </c>
    </row>
    <row r="9" spans="2:3" ht="59.25" customHeight="1" x14ac:dyDescent="0.25">
      <c r="B9" s="37" t="s">
        <v>1211</v>
      </c>
      <c r="C9" s="38" t="s">
        <v>1212</v>
      </c>
    </row>
    <row r="10" spans="2:3" ht="59.25" customHeight="1" x14ac:dyDescent="0.25">
      <c r="B10" s="37" t="s">
        <v>1213</v>
      </c>
      <c r="C10" s="38" t="s">
        <v>1214</v>
      </c>
    </row>
    <row r="11" spans="2:3" ht="59.25" customHeight="1" x14ac:dyDescent="0.25">
      <c r="B11" s="37" t="s">
        <v>1215</v>
      </c>
      <c r="C11" s="38" t="s">
        <v>1216</v>
      </c>
    </row>
  </sheetData>
  <mergeCells count="2">
    <mergeCell ref="B1:C1"/>
    <mergeCell ref="B2:C2"/>
  </mergeCells>
  <printOptions horizontalCentered="1"/>
  <pageMargins left="0.70866141732283472" right="0.70866141732283472" top="0.74803149606299213" bottom="0.74803149606299213" header="0.31496062992125984" footer="0.31496062992125984"/>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zoomScaleNormal="100" zoomScaleSheetLayoutView="100" workbookViewId="0">
      <selection activeCell="I12" sqref="I12"/>
    </sheetView>
  </sheetViews>
  <sheetFormatPr baseColWidth="10" defaultColWidth="11.42578125" defaultRowHeight="14.25" x14ac:dyDescent="0.25"/>
  <cols>
    <col min="1" max="1" width="2.140625" style="16" customWidth="1"/>
    <col min="2" max="2" width="9.28515625" style="16" customWidth="1"/>
    <col min="3" max="3" width="30.42578125" style="16" customWidth="1"/>
    <col min="4" max="9" width="20" style="16" customWidth="1"/>
    <col min="10" max="10" width="20.28515625" style="16" customWidth="1"/>
    <col min="11" max="16384" width="11.42578125" style="16"/>
  </cols>
  <sheetData>
    <row r="2" spans="2:9" ht="18.75" customHeight="1" x14ac:dyDescent="0.25">
      <c r="B2" s="583" t="s">
        <v>5</v>
      </c>
      <c r="C2" s="583"/>
      <c r="D2" s="583"/>
      <c r="E2" s="583"/>
      <c r="F2" s="583"/>
      <c r="G2" s="583"/>
      <c r="H2" s="583"/>
      <c r="I2" s="583"/>
    </row>
    <row r="3" spans="2:9" ht="16.5" customHeight="1" x14ac:dyDescent="0.25">
      <c r="B3" s="17" t="s">
        <v>1217</v>
      </c>
      <c r="C3" s="17" t="s">
        <v>1218</v>
      </c>
      <c r="D3" s="584" t="s">
        <v>1219</v>
      </c>
      <c r="E3" s="584"/>
      <c r="F3" s="584"/>
      <c r="G3" s="584" t="s">
        <v>1220</v>
      </c>
      <c r="H3" s="584"/>
      <c r="I3" s="584"/>
    </row>
    <row r="4" spans="2:9" ht="36.75" customHeight="1" x14ac:dyDescent="0.25">
      <c r="B4" s="18">
        <v>5</v>
      </c>
      <c r="C4" s="18" t="s">
        <v>1221</v>
      </c>
      <c r="D4" s="582" t="s">
        <v>1222</v>
      </c>
      <c r="E4" s="582"/>
      <c r="F4" s="582"/>
      <c r="G4" s="582" t="s">
        <v>1223</v>
      </c>
      <c r="H4" s="582"/>
      <c r="I4" s="582"/>
    </row>
    <row r="5" spans="2:9" ht="36.75" customHeight="1" x14ac:dyDescent="0.25">
      <c r="B5" s="18">
        <v>4</v>
      </c>
      <c r="C5" s="18" t="s">
        <v>42</v>
      </c>
      <c r="D5" s="582" t="s">
        <v>1224</v>
      </c>
      <c r="E5" s="582"/>
      <c r="F5" s="582"/>
      <c r="G5" s="582" t="s">
        <v>1225</v>
      </c>
      <c r="H5" s="582"/>
      <c r="I5" s="582"/>
    </row>
    <row r="6" spans="2:9" ht="36.75" customHeight="1" x14ac:dyDescent="0.25">
      <c r="B6" s="18">
        <v>3</v>
      </c>
      <c r="C6" s="18" t="s">
        <v>35</v>
      </c>
      <c r="D6" s="582" t="s">
        <v>1226</v>
      </c>
      <c r="E6" s="582"/>
      <c r="F6" s="582"/>
      <c r="G6" s="582" t="s">
        <v>1227</v>
      </c>
      <c r="H6" s="582"/>
      <c r="I6" s="582"/>
    </row>
    <row r="7" spans="2:9" ht="36.75" customHeight="1" x14ac:dyDescent="0.25">
      <c r="B7" s="18">
        <v>2</v>
      </c>
      <c r="C7" s="18" t="s">
        <v>25</v>
      </c>
      <c r="D7" s="582" t="s">
        <v>1228</v>
      </c>
      <c r="E7" s="582"/>
      <c r="F7" s="582"/>
      <c r="G7" s="582" t="s">
        <v>1229</v>
      </c>
      <c r="H7" s="582"/>
      <c r="I7" s="582"/>
    </row>
    <row r="8" spans="2:9" ht="36.75" customHeight="1" x14ac:dyDescent="0.25">
      <c r="B8" s="18">
        <v>1</v>
      </c>
      <c r="C8" s="18" t="s">
        <v>1230</v>
      </c>
      <c r="D8" s="582" t="s">
        <v>1231</v>
      </c>
      <c r="E8" s="582"/>
      <c r="F8" s="582"/>
      <c r="G8" s="582" t="s">
        <v>1232</v>
      </c>
      <c r="H8" s="582"/>
      <c r="I8" s="582"/>
    </row>
    <row r="9" spans="2:9" ht="9" customHeight="1" x14ac:dyDescent="0.25"/>
    <row r="11" spans="2:9" ht="15" x14ac:dyDescent="0.25">
      <c r="B11" s="19" t="s">
        <v>1233</v>
      </c>
      <c r="C11" s="19" t="s">
        <v>1234</v>
      </c>
      <c r="D11" s="19" t="s">
        <v>1235</v>
      </c>
      <c r="E11" s="19" t="s">
        <v>1236</v>
      </c>
      <c r="F11" s="19" t="s">
        <v>1237</v>
      </c>
      <c r="G11" s="19" t="s">
        <v>1238</v>
      </c>
      <c r="H11" s="19" t="s">
        <v>1239</v>
      </c>
      <c r="I11" s="19" t="s">
        <v>1240</v>
      </c>
    </row>
    <row r="12" spans="2:9" x14ac:dyDescent="0.25">
      <c r="B12" s="14">
        <v>1</v>
      </c>
      <c r="C12" s="20" t="e">
        <f>+#REF!</f>
        <v>#REF!</v>
      </c>
      <c r="D12" s="14">
        <v>3</v>
      </c>
      <c r="E12" s="14">
        <v>2</v>
      </c>
      <c r="F12" s="14">
        <v>2</v>
      </c>
      <c r="G12" s="14">
        <v>2</v>
      </c>
      <c r="H12" s="14">
        <v>3</v>
      </c>
      <c r="I12" s="21">
        <f>AVERAGE(D12:H12)</f>
        <v>2.4</v>
      </c>
    </row>
    <row r="13" spans="2:9" x14ac:dyDescent="0.25">
      <c r="B13" s="14">
        <v>2</v>
      </c>
      <c r="C13" s="20" t="e">
        <f>+#REF!</f>
        <v>#REF!</v>
      </c>
      <c r="D13" s="20"/>
      <c r="E13" s="20"/>
      <c r="F13" s="20"/>
      <c r="G13" s="20"/>
      <c r="H13" s="20"/>
      <c r="I13" s="21" t="e">
        <f t="shared" ref="I13:I21" si="0">AVERAGE(D13:H13)</f>
        <v>#DIV/0!</v>
      </c>
    </row>
    <row r="14" spans="2:9" x14ac:dyDescent="0.25">
      <c r="B14" s="14">
        <v>3</v>
      </c>
      <c r="C14" s="20" t="e">
        <f>+#REF!</f>
        <v>#REF!</v>
      </c>
      <c r="D14" s="20"/>
      <c r="E14" s="20"/>
      <c r="F14" s="20"/>
      <c r="G14" s="20"/>
      <c r="H14" s="20"/>
      <c r="I14" s="21" t="e">
        <f t="shared" si="0"/>
        <v>#DIV/0!</v>
      </c>
    </row>
    <row r="15" spans="2:9" x14ac:dyDescent="0.25">
      <c r="B15" s="14">
        <v>4</v>
      </c>
      <c r="C15" s="20" t="e">
        <f>+#REF!</f>
        <v>#REF!</v>
      </c>
      <c r="D15" s="20"/>
      <c r="E15" s="20"/>
      <c r="F15" s="20"/>
      <c r="G15" s="20"/>
      <c r="H15" s="20"/>
      <c r="I15" s="21" t="e">
        <f t="shared" si="0"/>
        <v>#DIV/0!</v>
      </c>
    </row>
    <row r="16" spans="2:9" x14ac:dyDescent="0.25">
      <c r="B16" s="14">
        <v>5</v>
      </c>
      <c r="C16" s="20" t="e">
        <f>+#REF!</f>
        <v>#REF!</v>
      </c>
      <c r="D16" s="20"/>
      <c r="E16" s="20"/>
      <c r="F16" s="20"/>
      <c r="G16" s="20"/>
      <c r="H16" s="20"/>
      <c r="I16" s="21" t="e">
        <f t="shared" si="0"/>
        <v>#DIV/0!</v>
      </c>
    </row>
    <row r="17" spans="2:9" x14ac:dyDescent="0.25">
      <c r="B17" s="14">
        <v>6</v>
      </c>
      <c r="C17" s="20" t="e">
        <f>+#REF!</f>
        <v>#REF!</v>
      </c>
      <c r="D17" s="20"/>
      <c r="E17" s="20"/>
      <c r="F17" s="20"/>
      <c r="G17" s="20"/>
      <c r="H17" s="20"/>
      <c r="I17" s="21" t="e">
        <f t="shared" si="0"/>
        <v>#DIV/0!</v>
      </c>
    </row>
    <row r="18" spans="2:9" x14ac:dyDescent="0.25">
      <c r="B18" s="14">
        <v>7</v>
      </c>
      <c r="C18" s="20" t="e">
        <f>+#REF!</f>
        <v>#REF!</v>
      </c>
      <c r="D18" s="20"/>
      <c r="E18" s="20"/>
      <c r="F18" s="20"/>
      <c r="G18" s="20"/>
      <c r="H18" s="20"/>
      <c r="I18" s="21" t="e">
        <f t="shared" si="0"/>
        <v>#DIV/0!</v>
      </c>
    </row>
    <row r="19" spans="2:9" x14ac:dyDescent="0.25">
      <c r="B19" s="14">
        <v>8</v>
      </c>
      <c r="C19" s="20" t="e">
        <f>+#REF!</f>
        <v>#REF!</v>
      </c>
      <c r="D19" s="20"/>
      <c r="E19" s="20"/>
      <c r="F19" s="20"/>
      <c r="G19" s="20"/>
      <c r="H19" s="20"/>
      <c r="I19" s="21" t="e">
        <f t="shared" si="0"/>
        <v>#DIV/0!</v>
      </c>
    </row>
    <row r="20" spans="2:9" x14ac:dyDescent="0.25">
      <c r="B20" s="14">
        <v>9</v>
      </c>
      <c r="C20" s="20" t="e">
        <f>+#REF!</f>
        <v>#REF!</v>
      </c>
      <c r="D20" s="20"/>
      <c r="E20" s="20"/>
      <c r="F20" s="20"/>
      <c r="G20" s="20"/>
      <c r="H20" s="20"/>
      <c r="I20" s="21" t="e">
        <f t="shared" si="0"/>
        <v>#DIV/0!</v>
      </c>
    </row>
    <row r="21" spans="2:9" x14ac:dyDescent="0.25">
      <c r="B21" s="14">
        <v>10</v>
      </c>
      <c r="C21" s="20" t="e">
        <f>+#REF!</f>
        <v>#REF!</v>
      </c>
      <c r="D21" s="20"/>
      <c r="E21" s="20"/>
      <c r="F21" s="20"/>
      <c r="G21" s="20"/>
      <c r="H21" s="20"/>
      <c r="I21" s="21" t="e">
        <f t="shared" si="0"/>
        <v>#DIV/0!</v>
      </c>
    </row>
  </sheetData>
  <mergeCells count="13">
    <mergeCell ref="D5:F5"/>
    <mergeCell ref="G5:I5"/>
    <mergeCell ref="B2:I2"/>
    <mergeCell ref="D3:F3"/>
    <mergeCell ref="G3:I3"/>
    <mergeCell ref="D4:F4"/>
    <mergeCell ref="G4:I4"/>
    <mergeCell ref="D6:F6"/>
    <mergeCell ref="G6:I6"/>
    <mergeCell ref="D7:F7"/>
    <mergeCell ref="G7:I7"/>
    <mergeCell ref="D8:F8"/>
    <mergeCell ref="G8:I8"/>
  </mergeCells>
  <printOptions horizontalCentered="1"/>
  <pageMargins left="0.70866141732283472" right="0.70866141732283472"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8"/>
  <sheetViews>
    <sheetView zoomScale="90" zoomScaleNormal="90" zoomScaleSheetLayoutView="80" workbookViewId="0">
      <selection activeCell="B1" sqref="B1"/>
    </sheetView>
  </sheetViews>
  <sheetFormatPr baseColWidth="10" defaultColWidth="11.42578125" defaultRowHeight="14.25" x14ac:dyDescent="0.25"/>
  <cols>
    <col min="1" max="1" width="1.7109375" style="16" customWidth="1"/>
    <col min="2" max="2" width="15" style="16" customWidth="1"/>
    <col min="3" max="4" width="55.7109375" style="16" customWidth="1"/>
    <col min="5" max="5" width="1.5703125" style="16" customWidth="1"/>
    <col min="6" max="6" width="13.140625" style="16" customWidth="1"/>
    <col min="7" max="10" width="11.42578125" style="16"/>
    <col min="11" max="11" width="11.42578125" style="16" customWidth="1"/>
    <col min="12" max="16384" width="11.42578125" style="16"/>
  </cols>
  <sheetData>
    <row r="1" spans="2:4" ht="9" customHeight="1" x14ac:dyDescent="0.25"/>
    <row r="2" spans="2:4" ht="25.5" customHeight="1" x14ac:dyDescent="0.25">
      <c r="B2" s="588" t="s">
        <v>1241</v>
      </c>
      <c r="C2" s="588"/>
      <c r="D2" s="588"/>
    </row>
    <row r="3" spans="2:4" ht="47.25" customHeight="1" thickBot="1" x14ac:dyDescent="0.3">
      <c r="B3" s="39" t="s">
        <v>1242</v>
      </c>
      <c r="C3" s="39" t="s">
        <v>1243</v>
      </c>
      <c r="D3" s="39" t="s">
        <v>1244</v>
      </c>
    </row>
    <row r="4" spans="2:4" ht="25.5" x14ac:dyDescent="0.25">
      <c r="B4" s="585" t="s">
        <v>36</v>
      </c>
      <c r="C4" s="40" t="s">
        <v>1245</v>
      </c>
      <c r="D4" s="41" t="s">
        <v>1246</v>
      </c>
    </row>
    <row r="5" spans="2:4" ht="25.5" x14ac:dyDescent="0.25">
      <c r="B5" s="586"/>
      <c r="C5" s="23" t="s">
        <v>1247</v>
      </c>
      <c r="D5" s="42" t="s">
        <v>1248</v>
      </c>
    </row>
    <row r="6" spans="2:4" ht="38.25" x14ac:dyDescent="0.25">
      <c r="B6" s="586"/>
      <c r="C6" s="24" t="s">
        <v>1249</v>
      </c>
      <c r="D6" s="42" t="s">
        <v>1250</v>
      </c>
    </row>
    <row r="7" spans="2:4" ht="59.25" customHeight="1" x14ac:dyDescent="0.25">
      <c r="B7" s="586"/>
      <c r="C7" s="24" t="s">
        <v>1251</v>
      </c>
      <c r="D7" s="42" t="s">
        <v>1252</v>
      </c>
    </row>
    <row r="8" spans="2:4" ht="31.5" customHeight="1" thickBot="1" x14ac:dyDescent="0.3">
      <c r="B8" s="587"/>
      <c r="C8" s="43"/>
      <c r="D8" s="44" t="s">
        <v>1253</v>
      </c>
    </row>
    <row r="9" spans="2:4" ht="25.5" x14ac:dyDescent="0.25">
      <c r="B9" s="585" t="s">
        <v>27</v>
      </c>
      <c r="C9" s="45" t="s">
        <v>1254</v>
      </c>
      <c r="D9" s="46" t="s">
        <v>1255</v>
      </c>
    </row>
    <row r="10" spans="2:4" ht="25.5" x14ac:dyDescent="0.25">
      <c r="B10" s="586"/>
      <c r="C10" s="25" t="s">
        <v>1256</v>
      </c>
      <c r="D10" s="47" t="s">
        <v>1257</v>
      </c>
    </row>
    <row r="11" spans="2:4" ht="38.25" x14ac:dyDescent="0.25">
      <c r="B11" s="586"/>
      <c r="C11" s="25" t="s">
        <v>1258</v>
      </c>
      <c r="D11" s="47" t="s">
        <v>1259</v>
      </c>
    </row>
    <row r="12" spans="2:4" ht="52.5" customHeight="1" x14ac:dyDescent="0.25">
      <c r="B12" s="586"/>
      <c r="C12" s="25" t="s">
        <v>1260</v>
      </c>
      <c r="D12" s="47" t="s">
        <v>1261</v>
      </c>
    </row>
    <row r="13" spans="2:4" ht="39" thickBot="1" x14ac:dyDescent="0.3">
      <c r="B13" s="587"/>
      <c r="C13" s="43"/>
      <c r="D13" s="48" t="s">
        <v>1262</v>
      </c>
    </row>
    <row r="14" spans="2:4" ht="29.25" customHeight="1" x14ac:dyDescent="0.25">
      <c r="B14" s="585" t="s">
        <v>17</v>
      </c>
      <c r="C14" s="49" t="s">
        <v>1263</v>
      </c>
      <c r="D14" s="41" t="s">
        <v>1264</v>
      </c>
    </row>
    <row r="15" spans="2:4" ht="38.25" x14ac:dyDescent="0.25">
      <c r="B15" s="586"/>
      <c r="C15" s="24" t="s">
        <v>1265</v>
      </c>
      <c r="D15" s="42" t="s">
        <v>1266</v>
      </c>
    </row>
    <row r="16" spans="2:4" ht="38.25" x14ac:dyDescent="0.25">
      <c r="B16" s="586"/>
      <c r="C16" s="24" t="s">
        <v>1267</v>
      </c>
      <c r="D16" s="42" t="s">
        <v>1268</v>
      </c>
    </row>
    <row r="17" spans="2:4" ht="38.25" x14ac:dyDescent="0.25">
      <c r="B17" s="586"/>
      <c r="C17" s="24" t="s">
        <v>1269</v>
      </c>
      <c r="D17" s="42" t="s">
        <v>1270</v>
      </c>
    </row>
    <row r="18" spans="2:4" ht="38.25" x14ac:dyDescent="0.25">
      <c r="B18" s="586"/>
      <c r="C18" s="25"/>
      <c r="D18" s="42" t="s">
        <v>1271</v>
      </c>
    </row>
    <row r="19" spans="2:4" ht="25.5" customHeight="1" thickBot="1" x14ac:dyDescent="0.3">
      <c r="B19" s="587"/>
      <c r="C19" s="43"/>
      <c r="D19" s="44" t="s">
        <v>1272</v>
      </c>
    </row>
    <row r="20" spans="2:4" ht="25.5" x14ac:dyDescent="0.25">
      <c r="B20" s="585" t="s">
        <v>28</v>
      </c>
      <c r="C20" s="45" t="s">
        <v>1273</v>
      </c>
      <c r="D20" s="46" t="s">
        <v>1274</v>
      </c>
    </row>
    <row r="21" spans="2:4" ht="25.5" x14ac:dyDescent="0.25">
      <c r="B21" s="586"/>
      <c r="C21" s="25" t="s">
        <v>1275</v>
      </c>
      <c r="D21" s="47" t="s">
        <v>1276</v>
      </c>
    </row>
    <row r="22" spans="2:4" ht="38.25" x14ac:dyDescent="0.25">
      <c r="B22" s="586"/>
      <c r="C22" s="25" t="s">
        <v>1277</v>
      </c>
      <c r="D22" s="47" t="s">
        <v>1278</v>
      </c>
    </row>
    <row r="23" spans="2:4" ht="39" thickBot="1" x14ac:dyDescent="0.3">
      <c r="B23" s="587"/>
      <c r="C23" s="50" t="s">
        <v>1279</v>
      </c>
      <c r="D23" s="51"/>
    </row>
    <row r="24" spans="2:4" ht="28.5" customHeight="1" x14ac:dyDescent="0.25">
      <c r="B24" s="585" t="s">
        <v>18</v>
      </c>
      <c r="C24" s="49" t="s">
        <v>1280</v>
      </c>
      <c r="D24" s="46" t="s">
        <v>1281</v>
      </c>
    </row>
    <row r="25" spans="2:4" ht="25.5" x14ac:dyDescent="0.25">
      <c r="B25" s="586"/>
      <c r="C25" s="24" t="s">
        <v>1282</v>
      </c>
      <c r="D25" s="47" t="s">
        <v>1283</v>
      </c>
    </row>
    <row r="26" spans="2:4" ht="38.25" x14ac:dyDescent="0.25">
      <c r="B26" s="586"/>
      <c r="C26" s="24" t="s">
        <v>1284</v>
      </c>
      <c r="D26" s="47" t="s">
        <v>1285</v>
      </c>
    </row>
    <row r="27" spans="2:4" ht="53.25" customHeight="1" thickBot="1" x14ac:dyDescent="0.3">
      <c r="B27" s="587"/>
      <c r="C27" s="52" t="s">
        <v>1286</v>
      </c>
      <c r="D27" s="51"/>
    </row>
    <row r="48" ht="9" customHeight="1" x14ac:dyDescent="0.25"/>
  </sheetData>
  <mergeCells count="6">
    <mergeCell ref="B24:B27"/>
    <mergeCell ref="B2:D2"/>
    <mergeCell ref="B4:B8"/>
    <mergeCell ref="B9:B13"/>
    <mergeCell ref="B14:B19"/>
    <mergeCell ref="B20:B23"/>
  </mergeCells>
  <printOptions horizontalCentered="1"/>
  <pageMargins left="0.70866141732283472" right="0.70866141732283472" top="0.74803149606299213" bottom="0.74803149606299213" header="0.31496062992125984" footer="0.31496062992125984"/>
  <pageSetup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26"/>
  <sheetViews>
    <sheetView view="pageBreakPreview" zoomScale="90" zoomScaleSheetLayoutView="90" workbookViewId="0">
      <selection activeCell="J12" sqref="J12"/>
    </sheetView>
  </sheetViews>
  <sheetFormatPr baseColWidth="10" defaultColWidth="11.42578125" defaultRowHeight="14.25" x14ac:dyDescent="0.25"/>
  <cols>
    <col min="1" max="1" width="2.140625" style="16" customWidth="1"/>
    <col min="2" max="2" width="11.42578125" style="16"/>
    <col min="3" max="3" width="34.28515625" style="16" customWidth="1"/>
    <col min="4" max="4" width="36.42578125" style="16" customWidth="1"/>
    <col min="5" max="6" width="13.85546875" style="16" customWidth="1"/>
    <col min="7" max="7" width="1.5703125" style="16" customWidth="1"/>
    <col min="8" max="16384" width="11.42578125" style="16"/>
  </cols>
  <sheetData>
    <row r="1" spans="2:6" ht="11.25" customHeight="1" thickBot="1" x14ac:dyDescent="0.3"/>
    <row r="2" spans="2:6" ht="18.75" customHeight="1" thickBot="1" x14ac:dyDescent="0.3">
      <c r="B2" s="595" t="s">
        <v>7</v>
      </c>
      <c r="C2" s="596"/>
      <c r="D2" s="596"/>
      <c r="E2" s="596"/>
      <c r="F2" s="597"/>
    </row>
    <row r="3" spans="2:6" ht="15.75" customHeight="1" x14ac:dyDescent="0.25">
      <c r="B3" s="431" t="s">
        <v>1287</v>
      </c>
      <c r="C3" s="428" t="s">
        <v>1288</v>
      </c>
      <c r="D3" s="428"/>
      <c r="E3" s="428" t="s">
        <v>1289</v>
      </c>
      <c r="F3" s="598"/>
    </row>
    <row r="4" spans="2:6" ht="15" thickBot="1" x14ac:dyDescent="0.3">
      <c r="B4" s="408"/>
      <c r="C4" s="410"/>
      <c r="D4" s="410"/>
      <c r="E4" s="166" t="s">
        <v>1290</v>
      </c>
      <c r="F4" s="2" t="s">
        <v>1291</v>
      </c>
    </row>
    <row r="5" spans="2:6" ht="23.25" customHeight="1" x14ac:dyDescent="0.25">
      <c r="B5" s="53">
        <v>1</v>
      </c>
      <c r="C5" s="599" t="s">
        <v>1292</v>
      </c>
      <c r="D5" s="599"/>
      <c r="E5" s="54"/>
      <c r="F5" s="55"/>
    </row>
    <row r="6" spans="2:6" ht="23.25" customHeight="1" x14ac:dyDescent="0.25">
      <c r="B6" s="56">
        <v>2</v>
      </c>
      <c r="C6" s="582" t="s">
        <v>1293</v>
      </c>
      <c r="D6" s="582"/>
      <c r="E6" s="57"/>
      <c r="F6" s="58"/>
    </row>
    <row r="7" spans="2:6" ht="23.25" customHeight="1" x14ac:dyDescent="0.25">
      <c r="B7" s="56">
        <v>3</v>
      </c>
      <c r="C7" s="582" t="s">
        <v>1294</v>
      </c>
      <c r="D7" s="582"/>
      <c r="E7" s="57"/>
      <c r="F7" s="58"/>
    </row>
    <row r="8" spans="2:6" ht="24.75" customHeight="1" x14ac:dyDescent="0.25">
      <c r="B8" s="56">
        <v>4</v>
      </c>
      <c r="C8" s="582" t="s">
        <v>1295</v>
      </c>
      <c r="D8" s="582"/>
      <c r="E8" s="57"/>
      <c r="F8" s="58"/>
    </row>
    <row r="9" spans="2:6" ht="23.25" customHeight="1" x14ac:dyDescent="0.25">
      <c r="B9" s="56">
        <v>5</v>
      </c>
      <c r="C9" s="582" t="s">
        <v>1296</v>
      </c>
      <c r="D9" s="582"/>
      <c r="E9" s="57"/>
      <c r="F9" s="58"/>
    </row>
    <row r="10" spans="2:6" ht="23.25" customHeight="1" x14ac:dyDescent="0.25">
      <c r="B10" s="56">
        <v>6</v>
      </c>
      <c r="C10" s="582" t="s">
        <v>1297</v>
      </c>
      <c r="D10" s="582"/>
      <c r="E10" s="57"/>
      <c r="F10" s="58"/>
    </row>
    <row r="11" spans="2:6" ht="23.25" customHeight="1" x14ac:dyDescent="0.25">
      <c r="B11" s="56">
        <v>7</v>
      </c>
      <c r="C11" s="582" t="s">
        <v>1298</v>
      </c>
      <c r="D11" s="582"/>
      <c r="E11" s="57"/>
      <c r="F11" s="58"/>
    </row>
    <row r="12" spans="2:6" ht="25.5" customHeight="1" x14ac:dyDescent="0.25">
      <c r="B12" s="56">
        <v>8</v>
      </c>
      <c r="C12" s="582" t="s">
        <v>1299</v>
      </c>
      <c r="D12" s="582"/>
      <c r="E12" s="57"/>
      <c r="F12" s="58"/>
    </row>
    <row r="13" spans="2:6" ht="23.25" customHeight="1" x14ac:dyDescent="0.25">
      <c r="B13" s="56">
        <v>9</v>
      </c>
      <c r="C13" s="582" t="s">
        <v>1300</v>
      </c>
      <c r="D13" s="582"/>
      <c r="E13" s="57"/>
      <c r="F13" s="58"/>
    </row>
    <row r="14" spans="2:6" ht="23.25" customHeight="1" x14ac:dyDescent="0.25">
      <c r="B14" s="56">
        <v>10</v>
      </c>
      <c r="C14" s="582" t="s">
        <v>1301</v>
      </c>
      <c r="D14" s="582"/>
      <c r="E14" s="57"/>
      <c r="F14" s="58"/>
    </row>
    <row r="15" spans="2:6" ht="23.25" customHeight="1" x14ac:dyDescent="0.25">
      <c r="B15" s="56">
        <v>11</v>
      </c>
      <c r="C15" s="582" t="s">
        <v>1302</v>
      </c>
      <c r="D15" s="582"/>
      <c r="E15" s="57"/>
      <c r="F15" s="58"/>
    </row>
    <row r="16" spans="2:6" ht="23.25" customHeight="1" x14ac:dyDescent="0.25">
      <c r="B16" s="56">
        <v>12</v>
      </c>
      <c r="C16" s="582" t="s">
        <v>1303</v>
      </c>
      <c r="D16" s="582"/>
      <c r="E16" s="57"/>
      <c r="F16" s="58"/>
    </row>
    <row r="17" spans="2:6" ht="23.25" customHeight="1" x14ac:dyDescent="0.25">
      <c r="B17" s="56">
        <v>13</v>
      </c>
      <c r="C17" s="582" t="s">
        <v>1304</v>
      </c>
      <c r="D17" s="582"/>
      <c r="E17" s="57"/>
      <c r="F17" s="58"/>
    </row>
    <row r="18" spans="2:6" ht="23.25" customHeight="1" x14ac:dyDescent="0.25">
      <c r="B18" s="56">
        <v>14</v>
      </c>
      <c r="C18" s="582" t="s">
        <v>1305</v>
      </c>
      <c r="D18" s="582"/>
      <c r="E18" s="57"/>
      <c r="F18" s="58"/>
    </row>
    <row r="19" spans="2:6" ht="23.25" customHeight="1" x14ac:dyDescent="0.25">
      <c r="B19" s="56">
        <v>15</v>
      </c>
      <c r="C19" s="582" t="s">
        <v>1306</v>
      </c>
      <c r="D19" s="582"/>
      <c r="E19" s="57"/>
      <c r="F19" s="58"/>
    </row>
    <row r="20" spans="2:6" ht="23.25" customHeight="1" x14ac:dyDescent="0.25">
      <c r="B20" s="56">
        <v>16</v>
      </c>
      <c r="C20" s="582" t="s">
        <v>1307</v>
      </c>
      <c r="D20" s="582"/>
      <c r="E20" s="57"/>
      <c r="F20" s="58"/>
    </row>
    <row r="21" spans="2:6" ht="23.25" customHeight="1" x14ac:dyDescent="0.25">
      <c r="B21" s="56">
        <v>17</v>
      </c>
      <c r="C21" s="582" t="s">
        <v>1308</v>
      </c>
      <c r="D21" s="582"/>
      <c r="E21" s="57"/>
      <c r="F21" s="58"/>
    </row>
    <row r="22" spans="2:6" ht="23.25" customHeight="1" x14ac:dyDescent="0.25">
      <c r="B22" s="56">
        <v>18</v>
      </c>
      <c r="C22" s="593" t="s">
        <v>1309</v>
      </c>
      <c r="D22" s="593"/>
      <c r="E22" s="57"/>
      <c r="F22" s="58"/>
    </row>
    <row r="23" spans="2:6" ht="23.25" customHeight="1" thickBot="1" x14ac:dyDescent="0.3">
      <c r="B23" s="56">
        <v>19</v>
      </c>
      <c r="C23" s="582" t="s">
        <v>1310</v>
      </c>
      <c r="D23" s="582"/>
      <c r="E23" s="57"/>
      <c r="F23" s="58"/>
    </row>
    <row r="24" spans="2:6" ht="15.75" customHeight="1" thickBot="1" x14ac:dyDescent="0.3">
      <c r="B24" s="594" t="s">
        <v>1311</v>
      </c>
      <c r="C24" s="589"/>
      <c r="D24" s="589"/>
      <c r="E24" s="589">
        <f>COUNTIF(E5:E23,"X")</f>
        <v>0</v>
      </c>
      <c r="F24" s="590"/>
    </row>
    <row r="25" spans="2:6" ht="45.75" customHeight="1" x14ac:dyDescent="0.25">
      <c r="B25" s="591" t="s">
        <v>1312</v>
      </c>
      <c r="C25" s="591"/>
      <c r="D25" s="591"/>
      <c r="E25" s="591"/>
      <c r="F25" s="591"/>
    </row>
    <row r="26" spans="2:6" ht="9.75" customHeight="1" x14ac:dyDescent="0.25">
      <c r="B26" s="592"/>
      <c r="C26" s="592"/>
      <c r="D26" s="592"/>
      <c r="E26" s="592"/>
      <c r="F26" s="592"/>
    </row>
  </sheetData>
  <mergeCells count="27">
    <mergeCell ref="C6:D6"/>
    <mergeCell ref="B2:F2"/>
    <mergeCell ref="B3:B4"/>
    <mergeCell ref="C3:D4"/>
    <mergeCell ref="E3:F3"/>
    <mergeCell ref="C5:D5"/>
    <mergeCell ref="C18:D18"/>
    <mergeCell ref="C7:D7"/>
    <mergeCell ref="C8:D8"/>
    <mergeCell ref="C9:D9"/>
    <mergeCell ref="C10:D10"/>
    <mergeCell ref="C11:D11"/>
    <mergeCell ref="C12:D12"/>
    <mergeCell ref="C13:D13"/>
    <mergeCell ref="C14:D14"/>
    <mergeCell ref="C15:D15"/>
    <mergeCell ref="C16:D16"/>
    <mergeCell ref="C17:D17"/>
    <mergeCell ref="E24:F24"/>
    <mergeCell ref="B25:F25"/>
    <mergeCell ref="B26:F26"/>
    <mergeCell ref="C19:D19"/>
    <mergeCell ref="C20:D20"/>
    <mergeCell ref="C21:D21"/>
    <mergeCell ref="C22:D22"/>
    <mergeCell ref="C23:D23"/>
    <mergeCell ref="B24:D24"/>
  </mergeCells>
  <dataValidations count="1">
    <dataValidation type="list" allowBlank="1" showInputMessage="1" showErrorMessage="1" sqref="E5:F23">
      <formula1>"X"</formula1>
    </dataValidation>
  </dataValidations>
  <printOptions horizontalCentered="1"/>
  <pageMargins left="0.25" right="0.25" top="0.75" bottom="0.75" header="0.3" footer="0.3"/>
  <pageSetup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9"/>
  <sheetViews>
    <sheetView topLeftCell="A10" zoomScale="90" zoomScaleNormal="90" zoomScaleSheetLayoutView="80" workbookViewId="0">
      <selection activeCell="E7" sqref="E7"/>
    </sheetView>
  </sheetViews>
  <sheetFormatPr baseColWidth="10" defaultColWidth="11.42578125" defaultRowHeight="14.25" x14ac:dyDescent="0.25"/>
  <cols>
    <col min="1" max="1" width="1.7109375" style="16" customWidth="1"/>
    <col min="2" max="2" width="8.28515625" style="16" customWidth="1"/>
    <col min="3" max="3" width="15" style="16" customWidth="1"/>
    <col min="4" max="4" width="52.140625" style="16" hidden="1" customWidth="1"/>
    <col min="5" max="5" width="55.5703125" style="16" customWidth="1"/>
    <col min="6" max="6" width="1.5703125" style="16" customWidth="1"/>
    <col min="7" max="7" width="13.140625" style="16" customWidth="1"/>
    <col min="8" max="11" width="11.42578125" style="16"/>
    <col min="12" max="12" width="11.42578125" style="16" customWidth="1"/>
    <col min="13" max="16384" width="11.42578125" style="16"/>
  </cols>
  <sheetData>
    <row r="1" spans="2:5" ht="9" customHeight="1" thickBot="1" x14ac:dyDescent="0.3"/>
    <row r="2" spans="2:5" ht="25.5" customHeight="1" x14ac:dyDescent="0.25">
      <c r="B2" s="606" t="s">
        <v>1313</v>
      </c>
      <c r="C2" s="607"/>
      <c r="D2" s="607"/>
      <c r="E2" s="608"/>
    </row>
    <row r="3" spans="2:5" ht="47.25" customHeight="1" thickBot="1" x14ac:dyDescent="0.3">
      <c r="B3" s="609" t="s">
        <v>1314</v>
      </c>
      <c r="C3" s="610"/>
      <c r="D3" s="26" t="s">
        <v>1243</v>
      </c>
      <c r="E3" s="27" t="s">
        <v>1315</v>
      </c>
    </row>
    <row r="4" spans="2:5" ht="23.25" customHeight="1" x14ac:dyDescent="0.25">
      <c r="B4" s="602">
        <v>1</v>
      </c>
      <c r="C4" s="604" t="s">
        <v>18</v>
      </c>
      <c r="D4" s="28" t="s">
        <v>1316</v>
      </c>
      <c r="E4" s="29" t="s">
        <v>1317</v>
      </c>
    </row>
    <row r="5" spans="2:5" ht="23.25" customHeight="1" x14ac:dyDescent="0.25">
      <c r="B5" s="600"/>
      <c r="C5" s="601"/>
      <c r="D5" s="30" t="s">
        <v>1318</v>
      </c>
      <c r="E5" s="31" t="s">
        <v>1319</v>
      </c>
    </row>
    <row r="6" spans="2:5" ht="23.25" customHeight="1" thickBot="1" x14ac:dyDescent="0.3">
      <c r="B6" s="603"/>
      <c r="C6" s="605"/>
      <c r="D6" s="32" t="s">
        <v>1320</v>
      </c>
      <c r="E6" s="33" t="s">
        <v>1321</v>
      </c>
    </row>
    <row r="7" spans="2:5" ht="24" customHeight="1" x14ac:dyDescent="0.25">
      <c r="B7" s="602">
        <v>2</v>
      </c>
      <c r="C7" s="604" t="s">
        <v>28</v>
      </c>
      <c r="D7" s="28" t="s">
        <v>1322</v>
      </c>
      <c r="E7" s="29" t="s">
        <v>1323</v>
      </c>
    </row>
    <row r="8" spans="2:5" ht="24" customHeight="1" x14ac:dyDescent="0.25">
      <c r="B8" s="600"/>
      <c r="C8" s="601"/>
      <c r="D8" s="30" t="s">
        <v>1318</v>
      </c>
      <c r="E8" s="31" t="s">
        <v>1324</v>
      </c>
    </row>
    <row r="9" spans="2:5" ht="26.25" thickBot="1" x14ac:dyDescent="0.3">
      <c r="B9" s="603"/>
      <c r="C9" s="605"/>
      <c r="D9" s="32" t="s">
        <v>1325</v>
      </c>
      <c r="E9" s="33" t="s">
        <v>1326</v>
      </c>
    </row>
    <row r="10" spans="2:5" ht="38.25" customHeight="1" x14ac:dyDescent="0.25">
      <c r="B10" s="600">
        <v>3</v>
      </c>
      <c r="C10" s="601" t="s">
        <v>17</v>
      </c>
      <c r="D10" s="30" t="s">
        <v>1322</v>
      </c>
      <c r="E10" s="22" t="s">
        <v>1148</v>
      </c>
    </row>
    <row r="11" spans="2:5" ht="38.25" customHeight="1" x14ac:dyDescent="0.25">
      <c r="B11" s="600"/>
      <c r="C11" s="601"/>
      <c r="D11" s="30" t="s">
        <v>1318</v>
      </c>
      <c r="E11" s="22" t="s">
        <v>1327</v>
      </c>
    </row>
    <row r="12" spans="2:5" ht="38.25" customHeight="1" thickBot="1" x14ac:dyDescent="0.3">
      <c r="B12" s="600"/>
      <c r="C12" s="601"/>
      <c r="D12" s="30" t="s">
        <v>1328</v>
      </c>
      <c r="E12" s="22" t="s">
        <v>1329</v>
      </c>
    </row>
    <row r="13" spans="2:5" ht="39.75" customHeight="1" x14ac:dyDescent="0.25">
      <c r="B13" s="602" t="s">
        <v>1330</v>
      </c>
      <c r="C13" s="604" t="s">
        <v>27</v>
      </c>
      <c r="D13" s="28" t="s">
        <v>1316</v>
      </c>
      <c r="E13" s="29" t="s">
        <v>1331</v>
      </c>
    </row>
    <row r="14" spans="2:5" ht="39.75" customHeight="1" x14ac:dyDescent="0.25">
      <c r="B14" s="600"/>
      <c r="C14" s="601"/>
      <c r="D14" s="30" t="s">
        <v>1332</v>
      </c>
      <c r="E14" s="31" t="s">
        <v>1333</v>
      </c>
    </row>
    <row r="15" spans="2:5" ht="39.75" customHeight="1" thickBot="1" x14ac:dyDescent="0.3">
      <c r="B15" s="603"/>
      <c r="C15" s="605"/>
      <c r="D15" s="32" t="s">
        <v>1334</v>
      </c>
      <c r="E15" s="33" t="s">
        <v>1335</v>
      </c>
    </row>
    <row r="16" spans="2:5" ht="33" customHeight="1" x14ac:dyDescent="0.25">
      <c r="B16" s="602">
        <v>5</v>
      </c>
      <c r="C16" s="604" t="s">
        <v>36</v>
      </c>
      <c r="D16" s="28" t="s">
        <v>1322</v>
      </c>
      <c r="E16" s="34" t="s">
        <v>1336</v>
      </c>
    </row>
    <row r="17" spans="2:5" ht="33" customHeight="1" x14ac:dyDescent="0.25">
      <c r="B17" s="600"/>
      <c r="C17" s="601"/>
      <c r="D17" s="30" t="s">
        <v>1318</v>
      </c>
      <c r="E17" s="35" t="s">
        <v>1337</v>
      </c>
    </row>
    <row r="18" spans="2:5" ht="33" customHeight="1" thickBot="1" x14ac:dyDescent="0.3">
      <c r="B18" s="603"/>
      <c r="C18" s="605"/>
      <c r="D18" s="32" t="s">
        <v>1338</v>
      </c>
      <c r="E18" s="36" t="s">
        <v>1339</v>
      </c>
    </row>
    <row r="19" spans="2:5" ht="9" customHeight="1" x14ac:dyDescent="0.25"/>
  </sheetData>
  <mergeCells count="12">
    <mergeCell ref="B2:E2"/>
    <mergeCell ref="B3:C3"/>
    <mergeCell ref="B4:B6"/>
    <mergeCell ref="C4:C6"/>
    <mergeCell ref="B7:B9"/>
    <mergeCell ref="C7:C9"/>
    <mergeCell ref="B10:B12"/>
    <mergeCell ref="C10:C12"/>
    <mergeCell ref="B13:B15"/>
    <mergeCell ref="C13:C15"/>
    <mergeCell ref="B16:B18"/>
    <mergeCell ref="C16:C18"/>
  </mergeCells>
  <printOptions horizontalCentered="1"/>
  <pageMargins left="0.70866141732283472" right="0.70866141732283472" top="0.74803149606299213" bottom="0.74803149606299213" header="0.31496062992125984" footer="0.31496062992125984"/>
  <pageSetup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5" ma:contentTypeDescription="Crear nuevo documento." ma:contentTypeScope="" ma:versionID="abfb7f4f6d6478737e93fceff54815ed">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ff47aad7b16f88a2d0e29f209740aa2e"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FE67B-8204-4845-AE18-EB4043CFFF74}">
  <ds:schemaRefs>
    <ds:schemaRef ds:uri="http://purl.org/dc/dcmitype/"/>
    <ds:schemaRef ds:uri="http://purl.org/dc/terms/"/>
    <ds:schemaRef ds:uri="http://schemas.openxmlformats.org/package/2006/metadata/core-properties"/>
    <ds:schemaRef ds:uri="http://schemas.microsoft.com/sharepoint/v3"/>
    <ds:schemaRef ds:uri="http://purl.org/dc/elements/1.1/"/>
    <ds:schemaRef ds:uri="http://schemas.microsoft.com/office/2006/documentManagement/types"/>
    <ds:schemaRef ds:uri="http://schemas.microsoft.com/office/2006/metadata/properties"/>
    <ds:schemaRef ds:uri="http://schemas.microsoft.com/office/infopath/2007/PartnerControls"/>
    <ds:schemaRef ds:uri="70eaac67-e064-433b-ba54-6f78c0f1ecb1"/>
    <ds:schemaRef ds:uri="64d77176-54eb-4753-be67-9b2e2fa23e0f"/>
    <ds:schemaRef ds:uri="http://www.w3.org/XML/1998/namespace"/>
  </ds:schemaRefs>
</ds:datastoreItem>
</file>

<file path=customXml/itemProps2.xml><?xml version="1.0" encoding="utf-8"?>
<ds:datastoreItem xmlns:ds="http://schemas.openxmlformats.org/officeDocument/2006/customXml" ds:itemID="{6041A8EA-903B-417C-86A8-989F1EF11CD8}">
  <ds:schemaRefs>
    <ds:schemaRef ds:uri="http://schemas.microsoft.com/sharepoint/v3/contenttype/forms"/>
  </ds:schemaRefs>
</ds:datastoreItem>
</file>

<file path=customXml/itemProps3.xml><?xml version="1.0" encoding="utf-8"?>
<ds:datastoreItem xmlns:ds="http://schemas.openxmlformats.org/officeDocument/2006/customXml" ds:itemID="{135CC72F-30B8-4CF2-BEA9-5D1845F4F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26</vt:i4>
      </vt:variant>
    </vt:vector>
  </HeadingPairs>
  <TitlesOfParts>
    <vt:vector size="35" baseType="lpstr">
      <vt:lpstr>FORMULAS</vt:lpstr>
      <vt:lpstr>MAPA DE RIESGOS GESTION</vt:lpstr>
      <vt:lpstr>MAPA DE RIESGOS CORRUPCION</vt:lpstr>
      <vt:lpstr>MAPA DE RIESGOS SEGURIDAD I</vt:lpstr>
      <vt:lpstr>TIPOLOGÍA DE RIESGOS</vt:lpstr>
      <vt:lpstr>PROBABILIDAD</vt:lpstr>
      <vt:lpstr>IMPACTO GESTIÓN</vt:lpstr>
      <vt:lpstr>IMPACTO CORRUPCIÓN</vt:lpstr>
      <vt:lpstr>IMPACTO SEGURIDAD I</vt:lpstr>
      <vt:lpstr>Acciones_no_autorizadas</vt:lpstr>
      <vt:lpstr>'IMPACTO CORRUPCIÓN'!Área_de_impresión</vt:lpstr>
      <vt:lpstr>'IMPACTO GESTIÓN'!Área_de_impresión</vt:lpstr>
      <vt:lpstr>'IMPACTO SEGURIDAD I'!Área_de_impresión</vt:lpstr>
      <vt:lpstr>'MAPA DE RIESGOS CORRUPCION'!Área_de_impresión</vt:lpstr>
      <vt:lpstr>'MAPA DE RIESGOS GESTION'!Área_de_impresión</vt:lpstr>
      <vt:lpstr>'MAPA DE RIESGOS SEGURIDAD I'!Área_de_impresión</vt:lpstr>
      <vt:lpstr>PROBABILIDAD!Área_de_impresión</vt:lpstr>
      <vt:lpstr>'TIPOLOGÍA DE RIESGOS'!Área_de_impresión</vt:lpstr>
      <vt:lpstr>Compromiso_de_la_informacion</vt:lpstr>
      <vt:lpstr>Compromiso_de_las_funciones</vt:lpstr>
      <vt:lpstr>Corrupcion</vt:lpstr>
      <vt:lpstr>Daño_fisico</vt:lpstr>
      <vt:lpstr>Eventos_naturales</vt:lpstr>
      <vt:lpstr>Fallas_tecnicas</vt:lpstr>
      <vt:lpstr>Gestion</vt:lpstr>
      <vt:lpstr>impacto</vt:lpstr>
      <vt:lpstr>impactocorrupcion</vt:lpstr>
      <vt:lpstr>opciondelriesgo</vt:lpstr>
      <vt:lpstr>Perdidas_de_los_servicios_esenciales</vt:lpstr>
      <vt:lpstr>Perturbacion_debida_a_la_radiacion</vt:lpstr>
      <vt:lpstr>probabilidad</vt:lpstr>
      <vt:lpstr>procesos</vt:lpstr>
      <vt:lpstr>Seguridad_de_la_informacion</vt:lpstr>
      <vt:lpstr>tipo_de_amenaza</vt:lpstr>
      <vt:lpstr>tipo_de_riesgos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Nelson Ovalle</dc:creator>
  <cp:keywords/>
  <dc:description/>
  <cp:lastModifiedBy>Angela Cristina Cifuentes Corredor</cp:lastModifiedBy>
  <cp:revision/>
  <dcterms:created xsi:type="dcterms:W3CDTF">2016-01-18T15:45:02Z</dcterms:created>
  <dcterms:modified xsi:type="dcterms:W3CDTF">2021-12-21T17:57:45Z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ies>
</file>